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8.xml" ContentType="application/vnd.openxmlformats-officedocument.spreadsheetml.comments+xml"/>
  <Override PartName="/xl/drawings/drawing5.xml" ContentType="application/vnd.openxmlformats-officedocument.drawing+xml"/>
  <Override PartName="/xl/comments9.xml" ContentType="application/vnd.openxmlformats-officedocument.spreadsheetml.comments+xml"/>
  <Override PartName="/xl/drawings/drawing6.xml" ContentType="application/vnd.openxmlformats-officedocument.drawing+xml"/>
  <Override PartName="/xl/comments10.xml" ContentType="application/vnd.openxmlformats-officedocument.spreadsheetml.comments+xml"/>
  <Override PartName="/xl/drawings/drawing7.xml" ContentType="application/vnd.openxmlformats-officedocument.drawing+xml"/>
  <Override PartName="/xl/comments11.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12.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13.xml" ContentType="application/vnd.openxmlformats-officedocument.spreadsheetml.comments+xml"/>
  <Override PartName="/xl/drawings/drawing19.xml" ContentType="application/vnd.openxmlformats-officedocument.drawing+xml"/>
  <Override PartName="/xl/charts/chart1.xml" ContentType="application/vnd.openxmlformats-officedocument.drawingml.chart+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LIFTONPARK-FP1\cliftonpark\Employee Files\Nicolella, Tiffany\"/>
    </mc:Choice>
  </mc:AlternateContent>
  <bookViews>
    <workbookView xWindow="6090" yWindow="-90" windowWidth="2760" windowHeight="7245" tabRatio="853"/>
  </bookViews>
  <sheets>
    <sheet name="Instructions" sheetId="51" r:id="rId1"/>
    <sheet name="Prescriptive Path" sheetId="14" r:id="rId2"/>
    <sheet name="Version History" sheetId="78" r:id="rId3"/>
    <sheet name="Baseline" sheetId="13" state="hidden" r:id="rId4"/>
    <sheet name="Proposed" sheetId="3" state="hidden" r:id="rId5"/>
    <sheet name="ClimateZoneLookup" sheetId="15" state="hidden" r:id="rId6"/>
    <sheet name="Avoided Costs" sheetId="23" state="hidden" r:id="rId7"/>
    <sheet name="Gut Rehab Envelope" sheetId="50" state="hidden" r:id="rId8"/>
    <sheet name="Savings" sheetId="18" r:id="rId9"/>
    <sheet name="Funding Overview" sheetId="79" state="hidden" r:id="rId10"/>
    <sheet name="T&amp;V Instructions" sheetId="52" r:id="rId11"/>
    <sheet name="Project Info" sheetId="53" r:id="rId12"/>
    <sheet name="Table Of Contents" sheetId="54" r:id="rId13"/>
    <sheet name="ERMs" sheetId="55" r:id="rId14"/>
    <sheet name="Prescriptive Path Checklist" sheetId="56" r:id="rId15"/>
    <sheet name="Prescriptive Tables 1, 2 &amp;  (2" sheetId="57" state="hidden" r:id="rId16"/>
    <sheet name="Overview" sheetId="58" r:id="rId17"/>
    <sheet name="1.1 - APPLIANCES" sheetId="59" r:id="rId18"/>
    <sheet name="2.1-2.2 - DOMESTIC HOT WATER" sheetId="60" r:id="rId19"/>
    <sheet name="3.1 - ENV_BELOW GRADE WALLS" sheetId="61" r:id="rId20"/>
    <sheet name="3.1 - ENV_ABOVE GRADE WALLS" sheetId="62" r:id="rId21"/>
    <sheet name="3.2 - ENV_ROOF" sheetId="63" r:id="rId22"/>
    <sheet name="3.3 - ENV_FLOORS" sheetId="64" r:id="rId23"/>
    <sheet name="3.4 - ENV_WINDOWS" sheetId="65" r:id="rId24"/>
    <sheet name="3.5 - ENV_EXTERIOR DOORS" sheetId="66" r:id="rId25"/>
    <sheet name="4.1 - GARAGES_CMPTZ &amp; HEATING " sheetId="67" r:id="rId26"/>
    <sheet name="5.1, 5.3 - HEATING" sheetId="68" r:id="rId27"/>
    <sheet name="5.2, 5.4 - COOLING" sheetId="69" r:id="rId28"/>
    <sheet name="6.1, 6.2, 6.3 - LIGHTING" sheetId="70" r:id="rId29"/>
    <sheet name="7.1 - MOTORS" sheetId="71" r:id="rId30"/>
    <sheet name="8.1 - INF_EXT AIR BARRIER" sheetId="72" r:id="rId31"/>
    <sheet name="8.1-INF_COMPTZN VIS INSPECTION" sheetId="73" r:id="rId32"/>
    <sheet name="8.1 - INF_BLOWER DOOR TEST" sheetId="74" r:id="rId33"/>
    <sheet name="8.2 - VENT_SCHEDULE&amp;TAB REPORT" sheetId="75" r:id="rId34"/>
    <sheet name="8.2 - VENT_DUCT TIGHTNESS" sheetId="76" r:id="rId35"/>
    <sheet name="9.1 - METERS" sheetId="77" r:id="rId36"/>
    <sheet name="Prescriptive Tables 1, 2 &amp; 3" sheetId="29" state="hidden" r:id="rId37"/>
  </sheets>
  <externalReferences>
    <externalReference r:id="rId38"/>
  </externalReferences>
  <definedNames>
    <definedName name="_xlnm._FilterDatabase" localSheetId="19" hidden="1">'3.1 - ENV_BELOW GRADE WALLS'!$L$16:$L$24</definedName>
    <definedName name="_xlnm._FilterDatabase" localSheetId="25" hidden="1">'4.1 - GARAGES_CMPTZ &amp; HEATING '!$L$25:$L$27</definedName>
    <definedName name="_xlnm._FilterDatabase" localSheetId="30" hidden="1">'8.1 - INF_EXT AIR BARRIER'!$L$34:$L$46</definedName>
    <definedName name="_xlnm._FilterDatabase" localSheetId="14" hidden="1">'Prescriptive Path Checklist'!$D$8:$F$8</definedName>
    <definedName name="_xlnm._FilterDatabase" localSheetId="15" hidden="1">'Prescriptive Tables 1, 2 &amp;  (2'!#REF!</definedName>
    <definedName name="AvoidCostTable">'Avoided Costs'!$B$20:$AZ$33</definedName>
    <definedName name="AvoidedCostTable" localSheetId="9">'Avoided Costs'!$A$16:$AY$24</definedName>
    <definedName name="CentralHudson" localSheetId="9">'Avoided Costs'!$A$26:$AY$47</definedName>
    <definedName name="ConEd" localSheetId="9">'Avoided Costs'!$A$49:$AY$70</definedName>
    <definedName name="counties">ClimateZoneLookup!$A$4:$A$65</definedName>
    <definedName name="EEPS_Funding">ClimateZoneLookup!$AY$14:$AY$15</definedName>
    <definedName name="ElecUtility">'Prescriptive Path'!$D$5</definedName>
    <definedName name="FanType">ClimateZoneLookup!$BG$4:$BG$7</definedName>
    <definedName name="Floors">'[1]MeasureQC Calcs'!$B$53</definedName>
    <definedName name="Funding_Source_Code">ClimateZoneLookup!$AY$14:$AY$15</definedName>
    <definedName name="GasList">ClimateZoneLookup!$BB$4:$BB$8</definedName>
    <definedName name="GasUtility">'Prescriptive Path'!$D$6</definedName>
    <definedName name="KEDLI" localSheetId="9">'Avoided Costs'!$A$164:$AY$185</definedName>
    <definedName name="Location">'[1]MeasureQC Calcs'!$B$52</definedName>
    <definedName name="MeasureList">'[1]MeasureQC Calcs'!$A$6:$A$46</definedName>
    <definedName name="MeasureQCdata">'[1]MeasureQC Calcs'!$A$6:$AZ$45</definedName>
    <definedName name="NationalGrid" localSheetId="9">'Avoided Costs'!$A$72:$AY$93</definedName>
    <definedName name="NYSEG" localSheetId="9">'Avoided Costs'!$A$95:$AY$116</definedName>
    <definedName name="OandR" localSheetId="9">'Avoided Costs'!$A$118:$AY$139</definedName>
    <definedName name="_xlnm.Print_Area" localSheetId="17">'1.1 - APPLIANCES'!$B$1:$Q$33</definedName>
    <definedName name="_xlnm.Print_Area" localSheetId="18">'2.1-2.2 - DOMESTIC HOT WATER'!$B$1:$P$58</definedName>
    <definedName name="_xlnm.Print_Area" localSheetId="20">'3.1 - ENV_ABOVE GRADE WALLS'!$B$1:$J$71</definedName>
    <definedName name="_xlnm.Print_Area" localSheetId="19">'3.1 - ENV_BELOW GRADE WALLS'!$B$1:$J$53</definedName>
    <definedName name="_xlnm.Print_Area" localSheetId="21">'3.2 - ENV_ROOF'!$B$1:$J$52</definedName>
    <definedName name="_xlnm.Print_Area" localSheetId="22">'3.3 - ENV_FLOORS'!$B$1:$J$74</definedName>
    <definedName name="_xlnm.Print_Area" localSheetId="23">'3.4 - ENV_WINDOWS'!$B$1:$P$46</definedName>
    <definedName name="_xlnm.Print_Area" localSheetId="24">'3.5 - ENV_EXTERIOR DOORS'!$B$1:$N$42</definedName>
    <definedName name="_xlnm.Print_Area" localSheetId="25">'4.1 - GARAGES_CMPTZ &amp; HEATING '!$B$1:$J$27</definedName>
    <definedName name="_xlnm.Print_Area" localSheetId="26">'5.1, 5.3 - HEATING'!$B$1:$P$87</definedName>
    <definedName name="_xlnm.Print_Area" localSheetId="27">'5.2, 5.4 - COOLING'!$B$1:$Q$73</definedName>
    <definedName name="_xlnm.Print_Area" localSheetId="28">'6.1, 6.2, 6.3 - LIGHTING'!$B$1:$Q$107</definedName>
    <definedName name="_xlnm.Print_Area" localSheetId="29">'7.1 - MOTORS'!$B$1:$M$40</definedName>
    <definedName name="_xlnm.Print_Area" localSheetId="32">'8.1 - INF_BLOWER DOOR TEST'!$B$1:$N$49</definedName>
    <definedName name="_xlnm.Print_Area" localSheetId="30">'8.1 - INF_EXT AIR BARRIER'!$B$1:$J$72</definedName>
    <definedName name="_xlnm.Print_Area" localSheetId="31">'8.1-INF_COMPTZN VIS INSPECTION'!$B$1:$J$52</definedName>
    <definedName name="_xlnm.Print_Area" localSheetId="34">'8.2 - VENT_DUCT TIGHTNESS'!$B$1:$J$89</definedName>
    <definedName name="_xlnm.Print_Area" localSheetId="33">'8.2 - VENT_SCHEDULE&amp;TAB REPORT'!$B$1:$T$171</definedName>
    <definedName name="_xlnm.Print_Area" localSheetId="35">'9.1 - METERS'!$B$1:$N$33</definedName>
    <definedName name="_xlnm.Print_Area" localSheetId="13">ERMs!$A$8:$E$61</definedName>
    <definedName name="_xlnm.Print_Area" localSheetId="16">Overview!$C$6:$I$287</definedName>
    <definedName name="_xlnm.Print_Area" localSheetId="14">'Prescriptive Path Checklist'!$B$7:$G$132</definedName>
    <definedName name="_xlnm.Print_Area" localSheetId="15">'Prescriptive Tables 1, 2 &amp;  (2'!$A$2:$W$71</definedName>
    <definedName name="_xlnm.Print_Area" localSheetId="11">'Project Info'!$B$3:$G$59</definedName>
    <definedName name="_xlnm.Print_Area" localSheetId="12">'Table Of Contents'!$B$3:$D$30</definedName>
    <definedName name="_xlnm.Print_Titles" localSheetId="13">ERMs!$A:$A,ERMs!$8:$10</definedName>
    <definedName name="RGandE" localSheetId="9">'Avoided Costs'!$A$141:$AY$162</definedName>
    <definedName name="Rise">'[1]MeasureQC Calcs'!$B$54</definedName>
    <definedName name="RoofRValue">ClimateZoneLookup!$BM$4:$BM$10</definedName>
    <definedName name="SplitType" localSheetId="9">'Funding Overview'!$Q$29:$Q$31</definedName>
    <definedName name="SqFt">'[1]MeasureQC Calcs'!$B$55</definedName>
    <definedName name="Utilities">ClimateZoneLookup!$AY$4:$AY$9</definedName>
    <definedName name="WallRValue">ClimateZoneLookup!$BL$4:$BL$10</definedName>
    <definedName name="WindowType">ClimateZoneLookup!$BN$4:$BN$8</definedName>
    <definedName name="YesNo">ClimateZoneLookup!$BE$4:$BE$6</definedName>
    <definedName name="YN">ClimateZoneLookup!$BE$4:$BE$6</definedName>
    <definedName name="Z_64EBBD8A_4566_42FC_86CE_DB7AB51EA8C6_.wvu.Cols" localSheetId="17" hidden="1">'1.1 - APPLIANCES'!$U:$U</definedName>
    <definedName name="Z_64EBBD8A_4566_42FC_86CE_DB7AB51EA8C6_.wvu.Cols" localSheetId="18" hidden="1">'2.1-2.2 - DOMESTIC HOT WATER'!$V:$V</definedName>
    <definedName name="Z_64EBBD8A_4566_42FC_86CE_DB7AB51EA8C6_.wvu.Cols" localSheetId="20" hidden="1">'3.1 - ENV_ABOVE GRADE WALLS'!$Q:$Q</definedName>
    <definedName name="Z_64EBBD8A_4566_42FC_86CE_DB7AB51EA8C6_.wvu.Cols" localSheetId="19" hidden="1">'3.1 - ENV_BELOW GRADE WALLS'!$R:$R</definedName>
    <definedName name="Z_64EBBD8A_4566_42FC_86CE_DB7AB51EA8C6_.wvu.Cols" localSheetId="21" hidden="1">'3.2 - ENV_ROOF'!$Q:$Q</definedName>
    <definedName name="Z_64EBBD8A_4566_42FC_86CE_DB7AB51EA8C6_.wvu.Cols" localSheetId="22" hidden="1">'3.3 - ENV_FLOORS'!$Q:$Q</definedName>
    <definedName name="Z_64EBBD8A_4566_42FC_86CE_DB7AB51EA8C6_.wvu.Cols" localSheetId="23" hidden="1">'3.4 - ENV_WINDOWS'!$T:$T</definedName>
    <definedName name="Z_64EBBD8A_4566_42FC_86CE_DB7AB51EA8C6_.wvu.Cols" localSheetId="24" hidden="1">'3.5 - ENV_EXTERIOR DOORS'!$Q:$Q</definedName>
    <definedName name="Z_64EBBD8A_4566_42FC_86CE_DB7AB51EA8C6_.wvu.Cols" localSheetId="25" hidden="1">'4.1 - GARAGES_CMPTZ &amp; HEATING '!$N:$N</definedName>
    <definedName name="Z_64EBBD8A_4566_42FC_86CE_DB7AB51EA8C6_.wvu.Cols" localSheetId="26" hidden="1">'5.1, 5.3 - HEATING'!$V:$V</definedName>
    <definedName name="Z_64EBBD8A_4566_42FC_86CE_DB7AB51EA8C6_.wvu.Cols" localSheetId="27" hidden="1">'5.2, 5.4 - COOLING'!$U:$U</definedName>
    <definedName name="Z_64EBBD8A_4566_42FC_86CE_DB7AB51EA8C6_.wvu.Cols" localSheetId="28" hidden="1">'6.1, 6.2, 6.3 - LIGHTING'!$U:$U</definedName>
    <definedName name="Z_64EBBD8A_4566_42FC_86CE_DB7AB51EA8C6_.wvu.Cols" localSheetId="29" hidden="1">'7.1 - MOTORS'!$Q:$Q</definedName>
    <definedName name="Z_64EBBD8A_4566_42FC_86CE_DB7AB51EA8C6_.wvu.Cols" localSheetId="32" hidden="1">'8.1 - INF_BLOWER DOOR TEST'!$P:$P</definedName>
    <definedName name="Z_64EBBD8A_4566_42FC_86CE_DB7AB51EA8C6_.wvu.Cols" localSheetId="30" hidden="1">'8.1 - INF_EXT AIR BARRIER'!$N:$N</definedName>
    <definedName name="Z_64EBBD8A_4566_42FC_86CE_DB7AB51EA8C6_.wvu.Cols" localSheetId="31" hidden="1">'8.1-INF_COMPTZN VIS INSPECTION'!$N:$N</definedName>
    <definedName name="Z_64EBBD8A_4566_42FC_86CE_DB7AB51EA8C6_.wvu.Cols" localSheetId="34" hidden="1">'8.2 - VENT_DUCT TIGHTNESS'!$N:$P</definedName>
    <definedName name="Z_64EBBD8A_4566_42FC_86CE_DB7AB51EA8C6_.wvu.Cols" localSheetId="33" hidden="1">'8.2 - VENT_SCHEDULE&amp;TAB REPORT'!$X:$X</definedName>
    <definedName name="Z_64EBBD8A_4566_42FC_86CE_DB7AB51EA8C6_.wvu.Cols" localSheetId="35" hidden="1">'9.1 - METERS'!$R:$R</definedName>
    <definedName name="Z_64EBBD8A_4566_42FC_86CE_DB7AB51EA8C6_.wvu.Cols" localSheetId="16" hidden="1">Overview!$E:$F</definedName>
    <definedName name="Z_64EBBD8A_4566_42FC_86CE_DB7AB51EA8C6_.wvu.Cols" localSheetId="14" hidden="1">'Prescriptive Path Checklist'!$K:$K,'Prescriptive Path Checklist'!#REF!</definedName>
    <definedName name="Z_64EBBD8A_4566_42FC_86CE_DB7AB51EA8C6_.wvu.Cols" localSheetId="15" hidden="1">'Prescriptive Tables 1, 2 &amp;  (2'!#REF!,'Prescriptive Tables 1, 2 &amp;  (2'!$F:$M</definedName>
    <definedName name="Z_64EBBD8A_4566_42FC_86CE_DB7AB51EA8C6_.wvu.FilterData" localSheetId="19" hidden="1">'3.1 - ENV_BELOW GRADE WALLS'!$L$16:$L$24</definedName>
    <definedName name="Z_64EBBD8A_4566_42FC_86CE_DB7AB51EA8C6_.wvu.FilterData" localSheetId="25" hidden="1">'4.1 - GARAGES_CMPTZ &amp; HEATING '!$L$25:$L$27</definedName>
    <definedName name="Z_64EBBD8A_4566_42FC_86CE_DB7AB51EA8C6_.wvu.FilterData" localSheetId="30" hidden="1">'8.1 - INF_EXT AIR BARRIER'!$L$34:$L$46</definedName>
    <definedName name="Z_64EBBD8A_4566_42FC_86CE_DB7AB51EA8C6_.wvu.PrintArea" localSheetId="17" hidden="1">'1.1 - APPLIANCES'!$B$1:$Q$33</definedName>
    <definedName name="Z_64EBBD8A_4566_42FC_86CE_DB7AB51EA8C6_.wvu.PrintArea" localSheetId="18" hidden="1">'2.1-2.2 - DOMESTIC HOT WATER'!$B$1:$P$59</definedName>
    <definedName name="Z_64EBBD8A_4566_42FC_86CE_DB7AB51EA8C6_.wvu.PrintArea" localSheetId="20" hidden="1">'3.1 - ENV_ABOVE GRADE WALLS'!$B$1:$J$71</definedName>
    <definedName name="Z_64EBBD8A_4566_42FC_86CE_DB7AB51EA8C6_.wvu.PrintArea" localSheetId="19" hidden="1">'3.1 - ENV_BELOW GRADE WALLS'!$B$1:$J$53</definedName>
    <definedName name="Z_64EBBD8A_4566_42FC_86CE_DB7AB51EA8C6_.wvu.PrintArea" localSheetId="21" hidden="1">'3.2 - ENV_ROOF'!$B$1:$J$52</definedName>
    <definedName name="Z_64EBBD8A_4566_42FC_86CE_DB7AB51EA8C6_.wvu.PrintArea" localSheetId="22" hidden="1">'3.3 - ENV_FLOORS'!$B$1:$J$74</definedName>
    <definedName name="Z_64EBBD8A_4566_42FC_86CE_DB7AB51EA8C6_.wvu.PrintArea" localSheetId="23" hidden="1">'3.4 - ENV_WINDOWS'!$B$1:$P$46</definedName>
    <definedName name="Z_64EBBD8A_4566_42FC_86CE_DB7AB51EA8C6_.wvu.PrintArea" localSheetId="24" hidden="1">'3.5 - ENV_EXTERIOR DOORS'!$B$1:$N$42</definedName>
    <definedName name="Z_64EBBD8A_4566_42FC_86CE_DB7AB51EA8C6_.wvu.PrintArea" localSheetId="25" hidden="1">'4.1 - GARAGES_CMPTZ &amp; HEATING '!$B$1:$J$27</definedName>
    <definedName name="Z_64EBBD8A_4566_42FC_86CE_DB7AB51EA8C6_.wvu.PrintArea" localSheetId="26" hidden="1">'5.1, 5.3 - HEATING'!$B$1:$P$87</definedName>
    <definedName name="Z_64EBBD8A_4566_42FC_86CE_DB7AB51EA8C6_.wvu.PrintArea" localSheetId="27" hidden="1">'5.2, 5.4 - COOLING'!$B$1:$Q$73</definedName>
    <definedName name="Z_64EBBD8A_4566_42FC_86CE_DB7AB51EA8C6_.wvu.PrintArea" localSheetId="28" hidden="1">'6.1, 6.2, 6.3 - LIGHTING'!$B$1:$Q$107</definedName>
    <definedName name="Z_64EBBD8A_4566_42FC_86CE_DB7AB51EA8C6_.wvu.PrintArea" localSheetId="29" hidden="1">'7.1 - MOTORS'!$B$1:$M$40</definedName>
    <definedName name="Z_64EBBD8A_4566_42FC_86CE_DB7AB51EA8C6_.wvu.PrintArea" localSheetId="32" hidden="1">'8.1 - INF_BLOWER DOOR TEST'!$B$1:$M$49</definedName>
    <definedName name="Z_64EBBD8A_4566_42FC_86CE_DB7AB51EA8C6_.wvu.PrintArea" localSheetId="30" hidden="1">'8.1 - INF_EXT AIR BARRIER'!$B$1:$J$72</definedName>
    <definedName name="Z_64EBBD8A_4566_42FC_86CE_DB7AB51EA8C6_.wvu.PrintArea" localSheetId="31" hidden="1">'8.1-INF_COMPTZN VIS INSPECTION'!$B$1:$J$52</definedName>
    <definedName name="Z_64EBBD8A_4566_42FC_86CE_DB7AB51EA8C6_.wvu.PrintArea" localSheetId="34" hidden="1">'8.2 - VENT_DUCT TIGHTNESS'!$B$1:$J$90</definedName>
    <definedName name="Z_64EBBD8A_4566_42FC_86CE_DB7AB51EA8C6_.wvu.PrintArea" localSheetId="33" hidden="1">'8.2 - VENT_SCHEDULE&amp;TAB REPORT'!$B$1:$S$83</definedName>
    <definedName name="Z_64EBBD8A_4566_42FC_86CE_DB7AB51EA8C6_.wvu.PrintArea" localSheetId="35" hidden="1">'9.1 - METERS'!$B$1:$N$33</definedName>
    <definedName name="Z_64EBBD8A_4566_42FC_86CE_DB7AB51EA8C6_.wvu.PrintArea" localSheetId="13" hidden="1">ERMs!$A$8:$B$58</definedName>
    <definedName name="Z_64EBBD8A_4566_42FC_86CE_DB7AB51EA8C6_.wvu.PrintArea" localSheetId="16" hidden="1">Overview!$C$6:$I$287</definedName>
    <definedName name="Z_64EBBD8A_4566_42FC_86CE_DB7AB51EA8C6_.wvu.PrintArea" localSheetId="14" hidden="1">'Prescriptive Path Checklist'!$B$1:$F$132</definedName>
    <definedName name="Z_64EBBD8A_4566_42FC_86CE_DB7AB51EA8C6_.wvu.PrintArea" localSheetId="15" hidden="1">'Prescriptive Tables 1, 2 &amp;  (2'!#REF!</definedName>
    <definedName name="Z_64EBBD8A_4566_42FC_86CE_DB7AB51EA8C6_.wvu.PrintTitles" localSheetId="13" hidden="1">ERMs!$8:$10</definedName>
    <definedName name="Z_F9A20F36_B02B_42EA_9527_78282515A3BC_.wvu.Cols" localSheetId="17" hidden="1">'1.1 - APPLIANCES'!$U:$U</definedName>
    <definedName name="Z_F9A20F36_B02B_42EA_9527_78282515A3BC_.wvu.Cols" localSheetId="18" hidden="1">'2.1-2.2 - DOMESTIC HOT WATER'!$V:$V</definedName>
    <definedName name="Z_F9A20F36_B02B_42EA_9527_78282515A3BC_.wvu.Cols" localSheetId="20" hidden="1">'3.1 - ENV_ABOVE GRADE WALLS'!$Q:$Q</definedName>
    <definedName name="Z_F9A20F36_B02B_42EA_9527_78282515A3BC_.wvu.Cols" localSheetId="19" hidden="1">'3.1 - ENV_BELOW GRADE WALLS'!$R:$R</definedName>
    <definedName name="Z_F9A20F36_B02B_42EA_9527_78282515A3BC_.wvu.Cols" localSheetId="21" hidden="1">'3.2 - ENV_ROOF'!$Q:$Q</definedName>
    <definedName name="Z_F9A20F36_B02B_42EA_9527_78282515A3BC_.wvu.Cols" localSheetId="22" hidden="1">'3.3 - ENV_FLOORS'!$Q:$Q</definedName>
    <definedName name="Z_F9A20F36_B02B_42EA_9527_78282515A3BC_.wvu.Cols" localSheetId="23" hidden="1">'3.4 - ENV_WINDOWS'!$T:$T</definedName>
    <definedName name="Z_F9A20F36_B02B_42EA_9527_78282515A3BC_.wvu.Cols" localSheetId="24" hidden="1">'3.5 - ENV_EXTERIOR DOORS'!$Q:$Q</definedName>
    <definedName name="Z_F9A20F36_B02B_42EA_9527_78282515A3BC_.wvu.Cols" localSheetId="25" hidden="1">'4.1 - GARAGES_CMPTZ &amp; HEATING '!$N:$N</definedName>
    <definedName name="Z_F9A20F36_B02B_42EA_9527_78282515A3BC_.wvu.Cols" localSheetId="26" hidden="1">'5.1, 5.3 - HEATING'!$V:$V</definedName>
    <definedName name="Z_F9A20F36_B02B_42EA_9527_78282515A3BC_.wvu.Cols" localSheetId="27" hidden="1">'5.2, 5.4 - COOLING'!$U:$U</definedName>
    <definedName name="Z_F9A20F36_B02B_42EA_9527_78282515A3BC_.wvu.Cols" localSheetId="28" hidden="1">'6.1, 6.2, 6.3 - LIGHTING'!$U:$U</definedName>
    <definedName name="Z_F9A20F36_B02B_42EA_9527_78282515A3BC_.wvu.Cols" localSheetId="29" hidden="1">'7.1 - MOTORS'!$Q:$Q</definedName>
    <definedName name="Z_F9A20F36_B02B_42EA_9527_78282515A3BC_.wvu.Cols" localSheetId="32" hidden="1">'8.1 - INF_BLOWER DOOR TEST'!$P:$P</definedName>
    <definedName name="Z_F9A20F36_B02B_42EA_9527_78282515A3BC_.wvu.Cols" localSheetId="30" hidden="1">'8.1 - INF_EXT AIR BARRIER'!$N:$N</definedName>
    <definedName name="Z_F9A20F36_B02B_42EA_9527_78282515A3BC_.wvu.Cols" localSheetId="31" hidden="1">'8.1-INF_COMPTZN VIS INSPECTION'!$N:$N</definedName>
    <definedName name="Z_F9A20F36_B02B_42EA_9527_78282515A3BC_.wvu.Cols" localSheetId="34" hidden="1">'8.2 - VENT_DUCT TIGHTNESS'!$N:$P</definedName>
    <definedName name="Z_F9A20F36_B02B_42EA_9527_78282515A3BC_.wvu.Cols" localSheetId="33" hidden="1">'8.2 - VENT_SCHEDULE&amp;TAB REPORT'!$X:$X</definedName>
    <definedName name="Z_F9A20F36_B02B_42EA_9527_78282515A3BC_.wvu.Cols" localSheetId="35" hidden="1">'9.1 - METERS'!$R:$R</definedName>
    <definedName name="Z_F9A20F36_B02B_42EA_9527_78282515A3BC_.wvu.Cols" localSheetId="16" hidden="1">Overview!$E:$F</definedName>
    <definedName name="Z_F9A20F36_B02B_42EA_9527_78282515A3BC_.wvu.Cols" localSheetId="14" hidden="1">'Prescriptive Path Checklist'!$K:$K,'Prescriptive Path Checklist'!#REF!</definedName>
    <definedName name="Z_F9A20F36_B02B_42EA_9527_78282515A3BC_.wvu.Cols" localSheetId="15" hidden="1">'Prescriptive Tables 1, 2 &amp;  (2'!#REF!,'Prescriptive Tables 1, 2 &amp;  (2'!$F:$M</definedName>
    <definedName name="Z_F9A20F36_B02B_42EA_9527_78282515A3BC_.wvu.FilterData" localSheetId="19" hidden="1">'3.1 - ENV_BELOW GRADE WALLS'!$L$16:$L$24</definedName>
    <definedName name="Z_F9A20F36_B02B_42EA_9527_78282515A3BC_.wvu.FilterData" localSheetId="25" hidden="1">'4.1 - GARAGES_CMPTZ &amp; HEATING '!$L$25:$L$27</definedName>
    <definedName name="Z_F9A20F36_B02B_42EA_9527_78282515A3BC_.wvu.FilterData" localSheetId="30" hidden="1">'8.1 - INF_EXT AIR BARRIER'!$L$34:$L$46</definedName>
    <definedName name="Z_F9A20F36_B02B_42EA_9527_78282515A3BC_.wvu.FilterData" localSheetId="14" hidden="1">'Prescriptive Path Checklist'!$D$8:$F$8</definedName>
    <definedName name="Z_F9A20F36_B02B_42EA_9527_78282515A3BC_.wvu.FilterData" localSheetId="15" hidden="1">'Prescriptive Tables 1, 2 &amp;  (2'!#REF!</definedName>
    <definedName name="Z_F9A20F36_B02B_42EA_9527_78282515A3BC_.wvu.PrintArea" localSheetId="17" hidden="1">'1.1 - APPLIANCES'!$B$1:$Q$33</definedName>
    <definedName name="Z_F9A20F36_B02B_42EA_9527_78282515A3BC_.wvu.PrintArea" localSheetId="18" hidden="1">'2.1-2.2 - DOMESTIC HOT WATER'!$B$1:$P$59</definedName>
    <definedName name="Z_F9A20F36_B02B_42EA_9527_78282515A3BC_.wvu.PrintArea" localSheetId="20" hidden="1">'3.1 - ENV_ABOVE GRADE WALLS'!$B$1:$J$71</definedName>
    <definedName name="Z_F9A20F36_B02B_42EA_9527_78282515A3BC_.wvu.PrintArea" localSheetId="19" hidden="1">'3.1 - ENV_BELOW GRADE WALLS'!$B$1:$J$53</definedName>
    <definedName name="Z_F9A20F36_B02B_42EA_9527_78282515A3BC_.wvu.PrintArea" localSheetId="21" hidden="1">'3.2 - ENV_ROOF'!$B$1:$J$52</definedName>
    <definedName name="Z_F9A20F36_B02B_42EA_9527_78282515A3BC_.wvu.PrintArea" localSheetId="22" hidden="1">'3.3 - ENV_FLOORS'!$B$1:$J$74</definedName>
    <definedName name="Z_F9A20F36_B02B_42EA_9527_78282515A3BC_.wvu.PrintArea" localSheetId="23" hidden="1">'3.4 - ENV_WINDOWS'!$B$1:$P$46</definedName>
    <definedName name="Z_F9A20F36_B02B_42EA_9527_78282515A3BC_.wvu.PrintArea" localSheetId="24" hidden="1">'3.5 - ENV_EXTERIOR DOORS'!$B$1:$N$42</definedName>
    <definedName name="Z_F9A20F36_B02B_42EA_9527_78282515A3BC_.wvu.PrintArea" localSheetId="25" hidden="1">'4.1 - GARAGES_CMPTZ &amp; HEATING '!$B$1:$J$27</definedName>
    <definedName name="Z_F9A20F36_B02B_42EA_9527_78282515A3BC_.wvu.PrintArea" localSheetId="26" hidden="1">'5.1, 5.3 - HEATING'!$B$1:$P$87</definedName>
    <definedName name="Z_F9A20F36_B02B_42EA_9527_78282515A3BC_.wvu.PrintArea" localSheetId="27" hidden="1">'5.2, 5.4 - COOLING'!$B$1:$Q$73</definedName>
    <definedName name="Z_F9A20F36_B02B_42EA_9527_78282515A3BC_.wvu.PrintArea" localSheetId="28" hidden="1">'6.1, 6.2, 6.3 - LIGHTING'!$B$1:$Q$107</definedName>
    <definedName name="Z_F9A20F36_B02B_42EA_9527_78282515A3BC_.wvu.PrintArea" localSheetId="29" hidden="1">'7.1 - MOTORS'!$B$1:$M$40</definedName>
    <definedName name="Z_F9A20F36_B02B_42EA_9527_78282515A3BC_.wvu.PrintArea" localSheetId="32" hidden="1">'8.1 - INF_BLOWER DOOR TEST'!$B$1:$M$49</definedName>
    <definedName name="Z_F9A20F36_B02B_42EA_9527_78282515A3BC_.wvu.PrintArea" localSheetId="30" hidden="1">'8.1 - INF_EXT AIR BARRIER'!$B$1:$J$72</definedName>
    <definedName name="Z_F9A20F36_B02B_42EA_9527_78282515A3BC_.wvu.PrintArea" localSheetId="31" hidden="1">'8.1-INF_COMPTZN VIS INSPECTION'!$B$1:$J$52</definedName>
    <definedName name="Z_F9A20F36_B02B_42EA_9527_78282515A3BC_.wvu.PrintArea" localSheetId="34" hidden="1">'8.2 - VENT_DUCT TIGHTNESS'!$B$1:$J$90</definedName>
    <definedName name="Z_F9A20F36_B02B_42EA_9527_78282515A3BC_.wvu.PrintArea" localSheetId="33" hidden="1">'8.2 - VENT_SCHEDULE&amp;TAB REPORT'!$B$1:$S$83</definedName>
    <definedName name="Z_F9A20F36_B02B_42EA_9527_78282515A3BC_.wvu.PrintArea" localSheetId="35" hidden="1">'9.1 - METERS'!$B$1:$N$33</definedName>
    <definedName name="Z_F9A20F36_B02B_42EA_9527_78282515A3BC_.wvu.PrintArea" localSheetId="13" hidden="1">ERMs!$A$8:$B$58</definedName>
    <definedName name="Z_F9A20F36_B02B_42EA_9527_78282515A3BC_.wvu.PrintArea" localSheetId="16" hidden="1">Overview!$C$6:$I$287</definedName>
    <definedName name="Z_F9A20F36_B02B_42EA_9527_78282515A3BC_.wvu.PrintArea" localSheetId="14" hidden="1">'Prescriptive Path Checklist'!$B$1:$F$132</definedName>
    <definedName name="Z_F9A20F36_B02B_42EA_9527_78282515A3BC_.wvu.PrintArea" localSheetId="15" hidden="1">'Prescriptive Tables 1, 2 &amp;  (2'!#REF!</definedName>
    <definedName name="Z_F9A20F36_B02B_42EA_9527_78282515A3BC_.wvu.PrintTitles" localSheetId="13" hidden="1">ERMs!$8:$10</definedName>
  </definedNames>
  <calcPr calcId="152511"/>
</workbook>
</file>

<file path=xl/calcChain.xml><?xml version="1.0" encoding="utf-8"?>
<calcChain xmlns="http://schemas.openxmlformats.org/spreadsheetml/2006/main">
  <c r="G108" i="3" l="1"/>
  <c r="F108" i="3"/>
  <c r="AL36" i="18" l="1"/>
  <c r="I78" i="18" l="1"/>
  <c r="J78" i="18" s="1"/>
  <c r="I76" i="18"/>
  <c r="J76" i="18" s="1"/>
  <c r="I74" i="18"/>
  <c r="J74" i="18" s="1"/>
  <c r="I73" i="18"/>
  <c r="J73" i="18" s="1"/>
  <c r="I72" i="18"/>
  <c r="H72" i="18"/>
  <c r="I71" i="18"/>
  <c r="I70" i="18"/>
  <c r="J70" i="18" s="1"/>
  <c r="H71" i="18"/>
  <c r="H70" i="18"/>
  <c r="I68" i="18"/>
  <c r="H68" i="18"/>
  <c r="I61" i="18"/>
  <c r="I62" i="18"/>
  <c r="I63" i="18"/>
  <c r="I60" i="18"/>
  <c r="H61" i="18"/>
  <c r="H62" i="18"/>
  <c r="H63" i="18"/>
  <c r="H60" i="18"/>
  <c r="I46" i="18"/>
  <c r="H46" i="18"/>
  <c r="V56" i="3"/>
  <c r="I45" i="18" s="1"/>
  <c r="J45" i="18" s="1"/>
  <c r="H39" i="18"/>
  <c r="I39" i="18"/>
  <c r="H40" i="18"/>
  <c r="I40" i="18"/>
  <c r="H41" i="18"/>
  <c r="I41" i="18"/>
  <c r="H42" i="18"/>
  <c r="I42" i="18"/>
  <c r="H43" i="18"/>
  <c r="I43" i="18"/>
  <c r="H44" i="18"/>
  <c r="I44" i="18"/>
  <c r="I38" i="18"/>
  <c r="J38" i="18" s="1"/>
  <c r="H38" i="18"/>
  <c r="I37" i="18"/>
  <c r="H37" i="18"/>
  <c r="H35" i="18"/>
  <c r="I35" i="18"/>
  <c r="I34" i="18"/>
  <c r="H34" i="18"/>
  <c r="I30" i="18"/>
  <c r="J30" i="18" s="1"/>
  <c r="I31" i="18"/>
  <c r="I32" i="18"/>
  <c r="I33" i="18"/>
  <c r="I29" i="18"/>
  <c r="J29" i="18" s="1"/>
  <c r="H30" i="18"/>
  <c r="H31" i="18"/>
  <c r="H32" i="18"/>
  <c r="H33" i="18"/>
  <c r="H29" i="18"/>
  <c r="I28" i="18"/>
  <c r="H28" i="18"/>
  <c r="I27" i="18"/>
  <c r="J27" i="18" s="1"/>
  <c r="H27" i="18"/>
  <c r="I26" i="18"/>
  <c r="J26" i="18" s="1"/>
  <c r="I24" i="18"/>
  <c r="I23" i="18"/>
  <c r="J23" i="18" s="1"/>
  <c r="H26" i="18"/>
  <c r="H24" i="18"/>
  <c r="H23" i="18"/>
  <c r="I22" i="18"/>
  <c r="H22" i="18"/>
  <c r="I21" i="18"/>
  <c r="J21" i="18" s="1"/>
  <c r="H21" i="18"/>
  <c r="I18" i="18"/>
  <c r="H18" i="18"/>
  <c r="I15" i="18"/>
  <c r="I16" i="18"/>
  <c r="H15" i="18"/>
  <c r="H16" i="18"/>
  <c r="I12" i="18"/>
  <c r="I13" i="18"/>
  <c r="I11" i="18"/>
  <c r="H11" i="18"/>
  <c r="H12" i="18"/>
  <c r="H13" i="18"/>
  <c r="I10" i="18"/>
  <c r="I9" i="18"/>
  <c r="H10" i="18"/>
  <c r="H9" i="18"/>
  <c r="I6" i="18"/>
  <c r="I4" i="18"/>
  <c r="I3" i="18"/>
  <c r="J3" i="18" s="1"/>
  <c r="I5" i="18"/>
  <c r="I2" i="18"/>
  <c r="H6" i="18"/>
  <c r="H4" i="18"/>
  <c r="H3" i="18"/>
  <c r="H5" i="18"/>
  <c r="H2" i="18"/>
  <c r="J44" i="18" l="1"/>
  <c r="J42" i="18"/>
  <c r="J40" i="18"/>
  <c r="J63" i="18"/>
  <c r="J71" i="18"/>
  <c r="J62" i="18"/>
  <c r="J15" i="18"/>
  <c r="J60" i="18"/>
  <c r="J4" i="18"/>
  <c r="J10" i="18"/>
  <c r="J28" i="18"/>
  <c r="J34" i="18"/>
  <c r="J12" i="18"/>
  <c r="J33" i="18"/>
  <c r="J68" i="18"/>
  <c r="J2" i="18"/>
  <c r="J6" i="18"/>
  <c r="J11" i="18"/>
  <c r="J18" i="18"/>
  <c r="J22" i="18"/>
  <c r="J32" i="18"/>
  <c r="J37" i="18"/>
  <c r="J5" i="18"/>
  <c r="J13" i="18"/>
  <c r="J16" i="18"/>
  <c r="J24" i="18"/>
  <c r="J31" i="18"/>
  <c r="J35" i="18"/>
  <c r="J43" i="18"/>
  <c r="J41" i="18"/>
  <c r="J39" i="18"/>
  <c r="J46" i="18"/>
  <c r="J61" i="18"/>
  <c r="J72" i="18"/>
  <c r="J9" i="18"/>
  <c r="AJ36" i="18"/>
  <c r="AH36" i="18"/>
  <c r="AK36" i="18" s="1"/>
  <c r="AI36" i="18"/>
  <c r="M14" i="79"/>
  <c r="M15" i="79"/>
  <c r="M16" i="79"/>
  <c r="M17" i="79"/>
  <c r="L15" i="79"/>
  <c r="L16" i="79"/>
  <c r="L17" i="79"/>
  <c r="L14" i="79"/>
  <c r="M8" i="79"/>
  <c r="M9" i="79"/>
  <c r="M10" i="79"/>
  <c r="L9" i="79"/>
  <c r="L10" i="79"/>
  <c r="L11" i="79"/>
  <c r="L8" i="79"/>
  <c r="M11" i="79"/>
  <c r="Y28" i="18" l="1"/>
  <c r="W28" i="18"/>
  <c r="E38" i="3"/>
  <c r="L38" i="3" s="1"/>
  <c r="Q38" i="3" s="1"/>
  <c r="E38" i="13"/>
  <c r="I38" i="13" s="1"/>
  <c r="M38" i="13" s="1"/>
  <c r="P38" i="13" s="1"/>
  <c r="E37" i="3"/>
  <c r="L37" i="3" s="1"/>
  <c r="Q37" i="3" s="1"/>
  <c r="E37" i="13"/>
  <c r="I37" i="13" s="1"/>
  <c r="M37" i="13" s="1"/>
  <c r="O38" i="13"/>
  <c r="K38" i="13"/>
  <c r="G38" i="13"/>
  <c r="D28" i="18" l="1"/>
  <c r="AB28" i="18" s="1"/>
  <c r="P28" i="18"/>
  <c r="D27" i="18"/>
  <c r="P27" i="18"/>
  <c r="F56" i="3"/>
  <c r="D56" i="3"/>
  <c r="L56" i="13"/>
  <c r="H56" i="13"/>
  <c r="V56" i="13"/>
  <c r="U56" i="13"/>
  <c r="AW5" i="15"/>
  <c r="AW6" i="15"/>
  <c r="AW7" i="15"/>
  <c r="AW8" i="15"/>
  <c r="AW9" i="15"/>
  <c r="AW10" i="15"/>
  <c r="AW11" i="15"/>
  <c r="AW12" i="15"/>
  <c r="AW13" i="15"/>
  <c r="AW14" i="15"/>
  <c r="AW15" i="15"/>
  <c r="AW16" i="15"/>
  <c r="AW17" i="15"/>
  <c r="AW18" i="15"/>
  <c r="AW19" i="15"/>
  <c r="AW20" i="15"/>
  <c r="AW21" i="15"/>
  <c r="AW22" i="15"/>
  <c r="AW23" i="15"/>
  <c r="AW24" i="15"/>
  <c r="AW25" i="15"/>
  <c r="AW26" i="15"/>
  <c r="AW27" i="15"/>
  <c r="AW28" i="15"/>
  <c r="AW29" i="15"/>
  <c r="AW30" i="15"/>
  <c r="AW31" i="15"/>
  <c r="AW32" i="15"/>
  <c r="AW33" i="15"/>
  <c r="AW34" i="15"/>
  <c r="AW35" i="15"/>
  <c r="AW36" i="15"/>
  <c r="AW37" i="15"/>
  <c r="AW38" i="15"/>
  <c r="AW39" i="15"/>
  <c r="AW40" i="15"/>
  <c r="AW41" i="15"/>
  <c r="AW42" i="15"/>
  <c r="AW43" i="15"/>
  <c r="AW44" i="15"/>
  <c r="AW45" i="15"/>
  <c r="AW46" i="15"/>
  <c r="AW47" i="15"/>
  <c r="AW48" i="15"/>
  <c r="AW49" i="15"/>
  <c r="AW50" i="15"/>
  <c r="AW51" i="15"/>
  <c r="AW52" i="15"/>
  <c r="AW53" i="15"/>
  <c r="AW54" i="15"/>
  <c r="AW55" i="15"/>
  <c r="AW56" i="15"/>
  <c r="AW57" i="15"/>
  <c r="AW58" i="15"/>
  <c r="AW59" i="15"/>
  <c r="AW60" i="15"/>
  <c r="AW61" i="15"/>
  <c r="AW62" i="15"/>
  <c r="AW63" i="15"/>
  <c r="AW64" i="15"/>
  <c r="AW65" i="15"/>
  <c r="AW4" i="15"/>
  <c r="AV5" i="15"/>
  <c r="AV6" i="15"/>
  <c r="AV7" i="15"/>
  <c r="AV8" i="15"/>
  <c r="AV9" i="15"/>
  <c r="AV10" i="15"/>
  <c r="AV11" i="15"/>
  <c r="AV12" i="15"/>
  <c r="AV13" i="15"/>
  <c r="AV14" i="15"/>
  <c r="AV15" i="15"/>
  <c r="AV16" i="15"/>
  <c r="AV17" i="15"/>
  <c r="AV18" i="15"/>
  <c r="AV19" i="15"/>
  <c r="AV20" i="15"/>
  <c r="AV21" i="15"/>
  <c r="AV22" i="15"/>
  <c r="AV23" i="15"/>
  <c r="AV24" i="15"/>
  <c r="AV25" i="15"/>
  <c r="AV26" i="15"/>
  <c r="AV27" i="15"/>
  <c r="AV28" i="15"/>
  <c r="AV29" i="15"/>
  <c r="AV30" i="15"/>
  <c r="AV31" i="15"/>
  <c r="AV32" i="15"/>
  <c r="AV33" i="15"/>
  <c r="AV34" i="15"/>
  <c r="AV35" i="15"/>
  <c r="AV36" i="15"/>
  <c r="AV37" i="15"/>
  <c r="AV38" i="15"/>
  <c r="AV39" i="15"/>
  <c r="AV40" i="15"/>
  <c r="AV41" i="15"/>
  <c r="AV42" i="15"/>
  <c r="AV43" i="15"/>
  <c r="AV44" i="15"/>
  <c r="AV45" i="15"/>
  <c r="AV46" i="15"/>
  <c r="AV47" i="15"/>
  <c r="AV48" i="15"/>
  <c r="AV49" i="15"/>
  <c r="AV50" i="15"/>
  <c r="AV51" i="15"/>
  <c r="AV52" i="15"/>
  <c r="AV53" i="15"/>
  <c r="AV54" i="15"/>
  <c r="AV55" i="15"/>
  <c r="AV56" i="15"/>
  <c r="AV57" i="15"/>
  <c r="AV58" i="15"/>
  <c r="AV59" i="15"/>
  <c r="AV60" i="15"/>
  <c r="AV61" i="15"/>
  <c r="AV62" i="15"/>
  <c r="AV63" i="15"/>
  <c r="AV64" i="15"/>
  <c r="AV65" i="15"/>
  <c r="AV4" i="15"/>
  <c r="X28" i="18" l="1"/>
  <c r="Z28" i="18"/>
  <c r="AE28" i="18" s="1"/>
  <c r="AH28" i="18" s="1"/>
  <c r="AK28" i="18" s="1"/>
  <c r="C45" i="18"/>
  <c r="J94" i="18"/>
  <c r="G94" i="18"/>
  <c r="P94" i="18" l="1"/>
  <c r="AJ28" i="18"/>
  <c r="AL28" i="18" s="1"/>
  <c r="AI28" i="18"/>
  <c r="E48" i="3"/>
  <c r="O48" i="3"/>
  <c r="T48" i="3" s="1"/>
  <c r="L48" i="3" l="1"/>
  <c r="Q48" i="3" s="1"/>
  <c r="E56" i="13" l="1"/>
  <c r="N67" i="13" l="1"/>
  <c r="M67" i="13"/>
  <c r="L67" i="13"/>
  <c r="N66" i="13"/>
  <c r="M66" i="13"/>
  <c r="L66" i="13"/>
  <c r="N65" i="13"/>
  <c r="M65" i="13"/>
  <c r="L65" i="13"/>
  <c r="N64" i="13"/>
  <c r="M64" i="13"/>
  <c r="L64" i="13"/>
  <c r="N63" i="13"/>
  <c r="M63" i="13"/>
  <c r="L63" i="13"/>
  <c r="N62" i="13"/>
  <c r="M62" i="13"/>
  <c r="L62" i="13"/>
  <c r="N61" i="13"/>
  <c r="M61" i="13"/>
  <c r="L61" i="13"/>
  <c r="N60" i="13"/>
  <c r="M60" i="13"/>
  <c r="L60" i="13"/>
  <c r="N59" i="13"/>
  <c r="M59" i="13"/>
  <c r="N58" i="13"/>
  <c r="M58" i="13"/>
  <c r="J67" i="13"/>
  <c r="I67" i="13"/>
  <c r="H67" i="13"/>
  <c r="J66" i="13"/>
  <c r="I66" i="13"/>
  <c r="H66" i="13"/>
  <c r="J65" i="13"/>
  <c r="I65" i="13"/>
  <c r="H65" i="13"/>
  <c r="J64" i="13"/>
  <c r="I64" i="13"/>
  <c r="H64" i="13"/>
  <c r="J63" i="13"/>
  <c r="I63" i="13"/>
  <c r="H63" i="13"/>
  <c r="J62" i="13"/>
  <c r="I62" i="13"/>
  <c r="H62" i="13"/>
  <c r="J61" i="13"/>
  <c r="I61" i="13"/>
  <c r="H61" i="13"/>
  <c r="J60" i="13"/>
  <c r="I60" i="13"/>
  <c r="H60" i="13"/>
  <c r="J59" i="13"/>
  <c r="I59" i="13"/>
  <c r="J58" i="13"/>
  <c r="I58" i="13"/>
  <c r="F67" i="13"/>
  <c r="F66" i="13"/>
  <c r="E67" i="13"/>
  <c r="E66" i="13"/>
  <c r="D67" i="13"/>
  <c r="D66" i="13"/>
  <c r="D65" i="13"/>
  <c r="E65" i="13"/>
  <c r="F65" i="13"/>
  <c r="F64" i="13"/>
  <c r="E64" i="13"/>
  <c r="E63" i="13"/>
  <c r="D64" i="13"/>
  <c r="F59" i="13"/>
  <c r="E59" i="13"/>
  <c r="F58" i="13"/>
  <c r="G58" i="3"/>
  <c r="E58" i="13"/>
  <c r="F58" i="3"/>
  <c r="E60" i="13"/>
  <c r="F63" i="13"/>
  <c r="F62" i="13"/>
  <c r="F61" i="13"/>
  <c r="F60" i="13"/>
  <c r="G60" i="3"/>
  <c r="D63" i="13"/>
  <c r="D62" i="13"/>
  <c r="D61" i="13"/>
  <c r="D60" i="13"/>
  <c r="E60" i="3"/>
  <c r="E62" i="13"/>
  <c r="E61" i="13"/>
  <c r="D46" i="18" l="1"/>
  <c r="M48" i="13"/>
  <c r="I48" i="13"/>
  <c r="E48" i="13"/>
  <c r="D37" i="18" s="1"/>
  <c r="M56" i="13"/>
  <c r="I56" i="13"/>
  <c r="E56" i="3" l="1"/>
  <c r="E95" i="3" l="1"/>
  <c r="C69" i="79" l="1"/>
  <c r="C68" i="79"/>
  <c r="E85" i="79" l="1"/>
  <c r="C84" i="79"/>
  <c r="D52" i="79" l="1"/>
  <c r="D51" i="79"/>
  <c r="C77" i="79" l="1"/>
  <c r="H18" i="79"/>
  <c r="H19" i="79"/>
  <c r="H17" i="79"/>
  <c r="F90" i="79"/>
  <c r="D63" i="79" s="1"/>
  <c r="E90" i="79"/>
  <c r="H20" i="79" l="1"/>
  <c r="C19" i="79"/>
  <c r="R56" i="3"/>
  <c r="M56" i="3"/>
  <c r="Q56" i="3"/>
  <c r="L56" i="3"/>
  <c r="S56" i="3"/>
  <c r="N56" i="3"/>
  <c r="G56" i="3"/>
  <c r="D41" i="18"/>
  <c r="D40" i="18"/>
  <c r="D45" i="18" l="1"/>
  <c r="P45" i="18"/>
  <c r="E102" i="75"/>
  <c r="E103" i="75"/>
  <c r="E104" i="75"/>
  <c r="E105" i="75"/>
  <c r="E106" i="75"/>
  <c r="E107" i="75"/>
  <c r="E108" i="75"/>
  <c r="E109" i="75"/>
  <c r="E101" i="75"/>
  <c r="AB45" i="18" l="1"/>
  <c r="F98" i="70"/>
  <c r="C50" i="53" l="1"/>
  <c r="C49" i="53"/>
  <c r="C48" i="53"/>
  <c r="C45" i="53"/>
  <c r="C3" i="53"/>
  <c r="D3" i="73" s="1"/>
  <c r="C2" i="77"/>
  <c r="C2" i="76"/>
  <c r="C32" i="76"/>
  <c r="D32" i="76"/>
  <c r="E271" i="58" s="1"/>
  <c r="C33" i="76"/>
  <c r="G46" i="76"/>
  <c r="H46" i="76"/>
  <c r="G47" i="76"/>
  <c r="H47" i="76"/>
  <c r="G48" i="76"/>
  <c r="H48" i="76"/>
  <c r="G49" i="76"/>
  <c r="H49" i="76"/>
  <c r="G50" i="76"/>
  <c r="H50" i="76"/>
  <c r="G51" i="76"/>
  <c r="H51" i="76"/>
  <c r="G52" i="76"/>
  <c r="H52" i="76"/>
  <c r="G53" i="76"/>
  <c r="H53" i="76"/>
  <c r="G54" i="76"/>
  <c r="H54" i="76"/>
  <c r="F64" i="76"/>
  <c r="G64" i="76" s="1"/>
  <c r="I64" i="76" s="1"/>
  <c r="H64" i="76"/>
  <c r="D74" i="76" s="1"/>
  <c r="D76" i="76" s="1"/>
  <c r="F65" i="76"/>
  <c r="G65" i="76" s="1"/>
  <c r="I65" i="76" s="1"/>
  <c r="H65" i="76"/>
  <c r="F66" i="76"/>
  <c r="G66" i="76" s="1"/>
  <c r="I66" i="76" s="1"/>
  <c r="H66" i="76"/>
  <c r="F67" i="76"/>
  <c r="G67" i="76" s="1"/>
  <c r="I67" i="76" s="1"/>
  <c r="H67" i="76"/>
  <c r="F68" i="76"/>
  <c r="G68" i="76" s="1"/>
  <c r="I68" i="76" s="1"/>
  <c r="H68" i="76"/>
  <c r="D73" i="76"/>
  <c r="D77" i="76" s="1"/>
  <c r="D78" i="76"/>
  <c r="C2" i="75"/>
  <c r="E52" i="75"/>
  <c r="F52" i="75"/>
  <c r="E249" i="58" s="1"/>
  <c r="E53" i="75"/>
  <c r="F53" i="75"/>
  <c r="E250" i="58" s="1"/>
  <c r="E54" i="75"/>
  <c r="F54" i="75"/>
  <c r="E251" i="58" s="1"/>
  <c r="F55" i="75"/>
  <c r="E252" i="58" s="1"/>
  <c r="E56" i="75"/>
  <c r="F56" i="75"/>
  <c r="E253" i="58" s="1"/>
  <c r="F57" i="75"/>
  <c r="E254" i="58" s="1"/>
  <c r="C74" i="75"/>
  <c r="F74" i="75"/>
  <c r="I74" i="75"/>
  <c r="L74" i="75"/>
  <c r="O74" i="75"/>
  <c r="R74" i="75"/>
  <c r="E88" i="75"/>
  <c r="F88" i="75"/>
  <c r="K88" i="75" s="1"/>
  <c r="K93" i="75" s="1"/>
  <c r="G88" i="75"/>
  <c r="L88" i="75"/>
  <c r="M88" i="75"/>
  <c r="E89" i="75"/>
  <c r="K89" i="75" s="1"/>
  <c r="F89" i="75"/>
  <c r="G89" i="75"/>
  <c r="L89" i="75"/>
  <c r="M89" i="75" s="1"/>
  <c r="E90" i="75"/>
  <c r="F90" i="75"/>
  <c r="G90" i="75"/>
  <c r="L90" i="75"/>
  <c r="M90" i="75"/>
  <c r="E91" i="75"/>
  <c r="F91" i="75"/>
  <c r="K91" i="75" s="1"/>
  <c r="G91" i="75"/>
  <c r="L91" i="75"/>
  <c r="M91" i="75"/>
  <c r="E92" i="75"/>
  <c r="F92" i="75"/>
  <c r="G92" i="75"/>
  <c r="L92" i="75"/>
  <c r="M92" i="75" s="1"/>
  <c r="J93" i="75"/>
  <c r="L93" i="75"/>
  <c r="E110" i="75"/>
  <c r="F101" i="75"/>
  <c r="H101" i="75"/>
  <c r="G102" i="75"/>
  <c r="F102" i="75"/>
  <c r="H102" i="75" s="1"/>
  <c r="G103" i="75"/>
  <c r="F103" i="75"/>
  <c r="H103" i="75"/>
  <c r="G104" i="75"/>
  <c r="F104" i="75"/>
  <c r="H104" i="75"/>
  <c r="G105" i="75"/>
  <c r="F105" i="75"/>
  <c r="H105" i="75"/>
  <c r="G106" i="75"/>
  <c r="F106" i="75"/>
  <c r="H106" i="75" s="1"/>
  <c r="G107" i="75"/>
  <c r="F107" i="75"/>
  <c r="H107" i="75"/>
  <c r="G108" i="75"/>
  <c r="F108" i="75"/>
  <c r="H108" i="75"/>
  <c r="G109" i="75"/>
  <c r="F109" i="75"/>
  <c r="H109" i="75"/>
  <c r="D110" i="75"/>
  <c r="E116" i="75"/>
  <c r="F116" i="75" s="1"/>
  <c r="E117" i="75"/>
  <c r="F117" i="75" s="1"/>
  <c r="E118" i="75"/>
  <c r="F118" i="75"/>
  <c r="E119" i="75"/>
  <c r="F119" i="75" s="1"/>
  <c r="E120" i="75"/>
  <c r="F120" i="75"/>
  <c r="E121" i="75"/>
  <c r="F121" i="75" s="1"/>
  <c r="E125" i="75"/>
  <c r="E126" i="75"/>
  <c r="E127" i="75"/>
  <c r="E128" i="75"/>
  <c r="E129" i="75"/>
  <c r="D136" i="75"/>
  <c r="E136" i="75"/>
  <c r="D137" i="75"/>
  <c r="E137" i="75" s="1"/>
  <c r="C2" i="74"/>
  <c r="C3" i="74"/>
  <c r="C33" i="74"/>
  <c r="I41" i="74"/>
  <c r="J41" i="74" s="1"/>
  <c r="I42" i="74"/>
  <c r="L42" i="74" s="1"/>
  <c r="J42" i="74"/>
  <c r="I43" i="74"/>
  <c r="J43" i="74"/>
  <c r="L43" i="74"/>
  <c r="I44" i="74"/>
  <c r="J44" i="74"/>
  <c r="L44" i="74"/>
  <c r="I45" i="74"/>
  <c r="J45" i="74" s="1"/>
  <c r="I46" i="74"/>
  <c r="L46" i="74" s="1"/>
  <c r="J46" i="74"/>
  <c r="I47" i="74"/>
  <c r="J47" i="74"/>
  <c r="L47" i="74"/>
  <c r="I48" i="74"/>
  <c r="J48" i="74"/>
  <c r="L48" i="74"/>
  <c r="I49" i="74"/>
  <c r="J49" i="74" s="1"/>
  <c r="C2" i="73"/>
  <c r="C2" i="72"/>
  <c r="C47" i="72"/>
  <c r="C2" i="71"/>
  <c r="D34" i="71"/>
  <c r="F34" i="71"/>
  <c r="E176" i="58" s="1"/>
  <c r="D35" i="71"/>
  <c r="F35" i="71"/>
  <c r="E177" i="58" s="1"/>
  <c r="D36" i="71"/>
  <c r="F36" i="71"/>
  <c r="E178" i="58" s="1"/>
  <c r="C2" i="70"/>
  <c r="F28" i="70"/>
  <c r="J47" i="70"/>
  <c r="L47" i="70"/>
  <c r="J48" i="70"/>
  <c r="L48" i="70"/>
  <c r="J49" i="70"/>
  <c r="L49" i="70"/>
  <c r="J50" i="70"/>
  <c r="L50" i="70"/>
  <c r="J51" i="70"/>
  <c r="L51" i="70"/>
  <c r="J52" i="70"/>
  <c r="L52" i="70"/>
  <c r="J53" i="70"/>
  <c r="L53" i="70"/>
  <c r="J54" i="70"/>
  <c r="L54" i="70"/>
  <c r="J55" i="70"/>
  <c r="L55" i="70"/>
  <c r="J56" i="70"/>
  <c r="L56" i="70"/>
  <c r="J57" i="70"/>
  <c r="L57" i="70"/>
  <c r="J58" i="70"/>
  <c r="L58" i="70"/>
  <c r="J59" i="70"/>
  <c r="L59" i="70"/>
  <c r="J60" i="70"/>
  <c r="L60" i="70"/>
  <c r="J61" i="70"/>
  <c r="L61" i="70"/>
  <c r="J65" i="70"/>
  <c r="K65" i="70"/>
  <c r="J66" i="70"/>
  <c r="K66" i="70"/>
  <c r="J67" i="70"/>
  <c r="K67" i="70"/>
  <c r="J68" i="70"/>
  <c r="K68" i="70"/>
  <c r="J69" i="70"/>
  <c r="K69" i="70"/>
  <c r="J70" i="70"/>
  <c r="K70" i="70"/>
  <c r="G75" i="70"/>
  <c r="J75" i="70"/>
  <c r="L75" i="70"/>
  <c r="G76" i="70"/>
  <c r="K76" i="70" s="1"/>
  <c r="J76" i="70"/>
  <c r="L76" i="70"/>
  <c r="G77" i="70"/>
  <c r="K77" i="70" s="1"/>
  <c r="J77" i="70"/>
  <c r="L77" i="70"/>
  <c r="G78" i="70"/>
  <c r="K78" i="70" s="1"/>
  <c r="J78" i="70"/>
  <c r="L78" i="70"/>
  <c r="G79" i="70"/>
  <c r="K79" i="70" s="1"/>
  <c r="J79" i="70"/>
  <c r="L79" i="70"/>
  <c r="G80" i="70"/>
  <c r="K80" i="70" s="1"/>
  <c r="J80" i="70"/>
  <c r="L80" i="70"/>
  <c r="G81" i="70"/>
  <c r="K81" i="70" s="1"/>
  <c r="J81" i="70"/>
  <c r="L81" i="70"/>
  <c r="G82" i="70"/>
  <c r="K82" i="70" s="1"/>
  <c r="J82" i="70"/>
  <c r="L82" i="70"/>
  <c r="G83" i="70"/>
  <c r="K83" i="70" s="1"/>
  <c r="J83" i="70"/>
  <c r="L83" i="70"/>
  <c r="G84" i="70"/>
  <c r="K84" i="70" s="1"/>
  <c r="J84" i="70"/>
  <c r="L84" i="70"/>
  <c r="G85" i="70"/>
  <c r="K85" i="70" s="1"/>
  <c r="J85" i="70"/>
  <c r="L85" i="70"/>
  <c r="G86" i="70"/>
  <c r="K86" i="70" s="1"/>
  <c r="J86" i="70"/>
  <c r="L86" i="70"/>
  <c r="G87" i="70"/>
  <c r="K87" i="70" s="1"/>
  <c r="J87" i="70"/>
  <c r="L87" i="70"/>
  <c r="G88" i="70"/>
  <c r="K88" i="70" s="1"/>
  <c r="J88" i="70"/>
  <c r="L88" i="70"/>
  <c r="G89" i="70"/>
  <c r="K89" i="70" s="1"/>
  <c r="J89" i="70"/>
  <c r="L89" i="70"/>
  <c r="E92" i="70"/>
  <c r="G92" i="70" s="1"/>
  <c r="F92" i="70"/>
  <c r="E93" i="70"/>
  <c r="F93" i="70"/>
  <c r="E94" i="70"/>
  <c r="G94" i="70" s="1"/>
  <c r="F94" i="70"/>
  <c r="D97" i="70"/>
  <c r="F97" i="70"/>
  <c r="E163" i="58" s="1"/>
  <c r="F163" i="58"/>
  <c r="E164" i="58"/>
  <c r="F165" i="58"/>
  <c r="D99" i="70"/>
  <c r="D100" i="70"/>
  <c r="F100" i="70"/>
  <c r="E166" i="58" s="1"/>
  <c r="F166" i="58"/>
  <c r="D101" i="70"/>
  <c r="F101" i="70"/>
  <c r="E167" i="58" s="1"/>
  <c r="F168" i="58"/>
  <c r="D103" i="70"/>
  <c r="F104" i="70"/>
  <c r="E170" i="58" s="1"/>
  <c r="F170" i="58"/>
  <c r="C2" i="69"/>
  <c r="D33" i="69"/>
  <c r="D35" i="69"/>
  <c r="E35" i="69"/>
  <c r="E134" i="58" s="1"/>
  <c r="E36" i="69"/>
  <c r="E135" i="58" s="1"/>
  <c r="E37" i="69"/>
  <c r="E136" i="58" s="1"/>
  <c r="I65" i="69"/>
  <c r="K65" i="69"/>
  <c r="N65" i="69"/>
  <c r="I66" i="69"/>
  <c r="K66" i="69"/>
  <c r="N66" i="69"/>
  <c r="I67" i="69"/>
  <c r="K67" i="69"/>
  <c r="N67" i="69"/>
  <c r="I68" i="69"/>
  <c r="K68" i="69"/>
  <c r="N68" i="69"/>
  <c r="I69" i="69"/>
  <c r="K69" i="69"/>
  <c r="N69" i="69"/>
  <c r="I70" i="69"/>
  <c r="K70" i="69"/>
  <c r="N70" i="69"/>
  <c r="I71" i="69"/>
  <c r="K71" i="69"/>
  <c r="N71" i="69"/>
  <c r="I72" i="69"/>
  <c r="K72" i="69"/>
  <c r="N72" i="69"/>
  <c r="I73" i="69"/>
  <c r="K73" i="69"/>
  <c r="M73" i="69"/>
  <c r="N73" i="69"/>
  <c r="C2" i="68"/>
  <c r="D44" i="68"/>
  <c r="D46" i="68"/>
  <c r="F46" i="68"/>
  <c r="E102" i="58" s="1"/>
  <c r="F47" i="68"/>
  <c r="E103" i="58" s="1"/>
  <c r="D48" i="68"/>
  <c r="F48" i="68"/>
  <c r="F49" i="68"/>
  <c r="E105" i="58" s="1"/>
  <c r="F50" i="68"/>
  <c r="E106" i="58" s="1"/>
  <c r="I79" i="68"/>
  <c r="K79" i="68"/>
  <c r="N79" i="68"/>
  <c r="I80" i="68"/>
  <c r="K80" i="68"/>
  <c r="N80" i="68"/>
  <c r="I81" i="68"/>
  <c r="K81" i="68"/>
  <c r="N81" i="68"/>
  <c r="I82" i="68"/>
  <c r="K82" i="68"/>
  <c r="N82" i="68"/>
  <c r="I83" i="68"/>
  <c r="K83" i="68"/>
  <c r="N83" i="68"/>
  <c r="I84" i="68"/>
  <c r="K84" i="68"/>
  <c r="N84" i="68"/>
  <c r="I85" i="68"/>
  <c r="K85" i="68"/>
  <c r="N85" i="68"/>
  <c r="I86" i="68"/>
  <c r="K86" i="68"/>
  <c r="N86" i="68"/>
  <c r="I87" i="68"/>
  <c r="K87" i="68"/>
  <c r="N87" i="68"/>
  <c r="C2" i="67"/>
  <c r="D23" i="67"/>
  <c r="D24" i="67"/>
  <c r="C2" i="66"/>
  <c r="D37" i="66"/>
  <c r="E37" i="66"/>
  <c r="E86" i="58" s="1"/>
  <c r="D38" i="66"/>
  <c r="C2" i="65"/>
  <c r="E39" i="65"/>
  <c r="E76" i="58" s="1"/>
  <c r="C2" i="64"/>
  <c r="B34" i="64"/>
  <c r="D34" i="64"/>
  <c r="E63" i="58" s="1"/>
  <c r="B44" i="64"/>
  <c r="D44" i="64"/>
  <c r="E64" i="58" s="1"/>
  <c r="B54" i="64"/>
  <c r="D54" i="64"/>
  <c r="E65" i="58" s="1"/>
  <c r="B64" i="64"/>
  <c r="D64" i="64"/>
  <c r="E66" i="58" s="1"/>
  <c r="D68" i="64"/>
  <c r="C2" i="63"/>
  <c r="B46" i="63"/>
  <c r="D46" i="63"/>
  <c r="E56" i="58" s="1"/>
  <c r="D49" i="63"/>
  <c r="C2" i="62"/>
  <c r="C61" i="62"/>
  <c r="D61" i="62"/>
  <c r="E46" i="58" s="1"/>
  <c r="C63" i="62"/>
  <c r="D63" i="62"/>
  <c r="E47" i="58" s="1"/>
  <c r="D66" i="62"/>
  <c r="C2" i="61"/>
  <c r="B45" i="61"/>
  <c r="D45" i="61"/>
  <c r="E39" i="58" s="1"/>
  <c r="D50" i="61"/>
  <c r="C2" i="60"/>
  <c r="D46" i="60"/>
  <c r="D48" i="60"/>
  <c r="F48" i="60"/>
  <c r="E25" i="58" s="1"/>
  <c r="D49" i="60"/>
  <c r="F49" i="60"/>
  <c r="E26" i="58" s="1"/>
  <c r="D50" i="60"/>
  <c r="F50" i="60"/>
  <c r="E27" i="58" s="1"/>
  <c r="C26" i="59"/>
  <c r="E26" i="59"/>
  <c r="E15" i="58" s="1"/>
  <c r="E27" i="59"/>
  <c r="E16" i="58" s="1"/>
  <c r="E28" i="59"/>
  <c r="E17" i="58" s="1"/>
  <c r="E29" i="59"/>
  <c r="E18" i="58" s="1"/>
  <c r="E30" i="59"/>
  <c r="E19" i="58" s="1"/>
  <c r="E32" i="59"/>
  <c r="E20" i="58" s="1"/>
  <c r="G7" i="58"/>
  <c r="G8" i="58"/>
  <c r="G9" i="58"/>
  <c r="D15" i="58"/>
  <c r="F15" i="58"/>
  <c r="G15" i="58"/>
  <c r="H15" i="58"/>
  <c r="I15" i="58"/>
  <c r="J15" i="58"/>
  <c r="K15" i="58"/>
  <c r="L15" i="58"/>
  <c r="D16" i="58"/>
  <c r="F16" i="58"/>
  <c r="G16" i="58"/>
  <c r="H16" i="58"/>
  <c r="I16" i="58"/>
  <c r="J16" i="58"/>
  <c r="K16" i="58"/>
  <c r="L16" i="58"/>
  <c r="D17" i="58"/>
  <c r="F17" i="58"/>
  <c r="G17" i="58"/>
  <c r="H17" i="58"/>
  <c r="I17" i="58"/>
  <c r="J17" i="58"/>
  <c r="K17" i="58"/>
  <c r="L17" i="58"/>
  <c r="D18" i="58"/>
  <c r="F18" i="58"/>
  <c r="G18" i="58"/>
  <c r="H18" i="58"/>
  <c r="I18" i="58"/>
  <c r="J18" i="58"/>
  <c r="K18" i="58"/>
  <c r="L18" i="58"/>
  <c r="D19" i="58"/>
  <c r="F19" i="58"/>
  <c r="G19" i="58"/>
  <c r="H19" i="58"/>
  <c r="I19" i="58"/>
  <c r="J19" i="58"/>
  <c r="K19" i="58"/>
  <c r="L19" i="58"/>
  <c r="F20" i="58"/>
  <c r="G20" i="58"/>
  <c r="H20" i="58"/>
  <c r="I20" i="58"/>
  <c r="J20" i="58"/>
  <c r="K20" i="58"/>
  <c r="L20" i="58"/>
  <c r="J21" i="58"/>
  <c r="L21" i="58"/>
  <c r="E23" i="58"/>
  <c r="F23" i="58"/>
  <c r="G23" i="58"/>
  <c r="H23" i="58"/>
  <c r="I23" i="58"/>
  <c r="J23" i="58"/>
  <c r="K23" i="58"/>
  <c r="L23" i="58"/>
  <c r="F25" i="58"/>
  <c r="G25" i="58"/>
  <c r="H25" i="58"/>
  <c r="I25" i="58"/>
  <c r="J25" i="58"/>
  <c r="K25" i="58"/>
  <c r="L25" i="58"/>
  <c r="F26" i="58"/>
  <c r="G26" i="58"/>
  <c r="H26" i="58"/>
  <c r="I26" i="58"/>
  <c r="J26" i="58"/>
  <c r="K26" i="58"/>
  <c r="L26" i="58"/>
  <c r="F27" i="58"/>
  <c r="G27" i="58"/>
  <c r="H27" i="58"/>
  <c r="I27" i="58"/>
  <c r="J27" i="58"/>
  <c r="K27" i="58"/>
  <c r="L27" i="58"/>
  <c r="G29" i="58"/>
  <c r="H29" i="58"/>
  <c r="I29" i="58"/>
  <c r="J29" i="58"/>
  <c r="K29" i="58"/>
  <c r="L29" i="58"/>
  <c r="G30" i="58"/>
  <c r="H30" i="58"/>
  <c r="I30" i="58"/>
  <c r="J30" i="58"/>
  <c r="K30" i="58"/>
  <c r="L30" i="58"/>
  <c r="G31" i="58"/>
  <c r="H31" i="58"/>
  <c r="I31" i="58"/>
  <c r="J31" i="58"/>
  <c r="K31" i="58"/>
  <c r="L31" i="58"/>
  <c r="G32" i="58"/>
  <c r="H32" i="58"/>
  <c r="I32" i="58"/>
  <c r="J32" i="58"/>
  <c r="K32" i="58"/>
  <c r="L32" i="58"/>
  <c r="J33" i="58"/>
  <c r="K33" i="58"/>
  <c r="L33" i="58"/>
  <c r="J34" i="58"/>
  <c r="K34" i="58"/>
  <c r="L34" i="58"/>
  <c r="J35" i="58"/>
  <c r="K35" i="58"/>
  <c r="L35" i="58"/>
  <c r="G38" i="58"/>
  <c r="H38" i="58"/>
  <c r="I38" i="58"/>
  <c r="F39" i="58"/>
  <c r="G39" i="58"/>
  <c r="H39" i="58"/>
  <c r="I39" i="58"/>
  <c r="J39" i="58"/>
  <c r="K39" i="58"/>
  <c r="L39" i="58"/>
  <c r="G40" i="58"/>
  <c r="H40" i="58"/>
  <c r="I40" i="58"/>
  <c r="J40" i="58"/>
  <c r="K40" i="58"/>
  <c r="L40" i="58"/>
  <c r="G41" i="58"/>
  <c r="H41" i="58"/>
  <c r="I41" i="58"/>
  <c r="J41" i="58"/>
  <c r="K41" i="58"/>
  <c r="L41" i="58"/>
  <c r="G42" i="58"/>
  <c r="H42" i="58"/>
  <c r="I42" i="58"/>
  <c r="J42" i="58"/>
  <c r="L42" i="58"/>
  <c r="J43" i="58"/>
  <c r="L43" i="58"/>
  <c r="G45" i="58"/>
  <c r="H45" i="58"/>
  <c r="I45" i="58"/>
  <c r="F46" i="58"/>
  <c r="G46" i="58"/>
  <c r="H46" i="58"/>
  <c r="I46" i="58"/>
  <c r="J46" i="58"/>
  <c r="K46" i="58"/>
  <c r="L46" i="58"/>
  <c r="F47" i="58"/>
  <c r="G47" i="58"/>
  <c r="H47" i="58"/>
  <c r="I47" i="58"/>
  <c r="J47" i="58"/>
  <c r="K47" i="58"/>
  <c r="L47" i="58"/>
  <c r="G48" i="58"/>
  <c r="H48" i="58"/>
  <c r="I48" i="58"/>
  <c r="J48" i="58"/>
  <c r="K48" i="58"/>
  <c r="L48" i="58"/>
  <c r="G49" i="58"/>
  <c r="H49" i="58"/>
  <c r="I49" i="58"/>
  <c r="J49" i="58"/>
  <c r="K49" i="58"/>
  <c r="L49" i="58"/>
  <c r="G50" i="58"/>
  <c r="H50" i="58"/>
  <c r="I50" i="58"/>
  <c r="J50" i="58"/>
  <c r="K50" i="58"/>
  <c r="L50" i="58"/>
  <c r="G51" i="58"/>
  <c r="H51" i="58"/>
  <c r="I51" i="58"/>
  <c r="J51" i="58"/>
  <c r="K51" i="58"/>
  <c r="L51" i="58"/>
  <c r="G52" i="58"/>
  <c r="H52" i="58"/>
  <c r="I52" i="58"/>
  <c r="J52" i="58"/>
  <c r="L52" i="58"/>
  <c r="J53" i="58"/>
  <c r="L53" i="58"/>
  <c r="G55" i="58"/>
  <c r="H55" i="58"/>
  <c r="I55" i="58"/>
  <c r="F56" i="58"/>
  <c r="G56" i="58"/>
  <c r="H56" i="58"/>
  <c r="I56" i="58"/>
  <c r="J56" i="58"/>
  <c r="K56" i="58"/>
  <c r="L56" i="58"/>
  <c r="G57" i="58"/>
  <c r="H57" i="58"/>
  <c r="I57" i="58"/>
  <c r="J57" i="58"/>
  <c r="K57" i="58"/>
  <c r="L57" i="58"/>
  <c r="G58" i="58"/>
  <c r="H58" i="58"/>
  <c r="I58" i="58"/>
  <c r="J58" i="58"/>
  <c r="K58" i="58"/>
  <c r="L58" i="58"/>
  <c r="G59" i="58"/>
  <c r="H59" i="58"/>
  <c r="I59" i="58"/>
  <c r="J59" i="58"/>
  <c r="L59" i="58"/>
  <c r="J60" i="58"/>
  <c r="L60" i="58"/>
  <c r="G62" i="58"/>
  <c r="H62" i="58"/>
  <c r="I62" i="58"/>
  <c r="F63" i="58"/>
  <c r="G63" i="58"/>
  <c r="H63" i="58"/>
  <c r="I63" i="58"/>
  <c r="J63" i="58"/>
  <c r="K63" i="58"/>
  <c r="L63" i="58"/>
  <c r="F64" i="58"/>
  <c r="G64" i="58"/>
  <c r="H64" i="58"/>
  <c r="I64" i="58"/>
  <c r="J64" i="58"/>
  <c r="K64" i="58"/>
  <c r="L64" i="58"/>
  <c r="F65" i="58"/>
  <c r="G65" i="58"/>
  <c r="H65" i="58"/>
  <c r="I65" i="58"/>
  <c r="J65" i="58"/>
  <c r="K65" i="58"/>
  <c r="L65" i="58"/>
  <c r="F66" i="58"/>
  <c r="G66" i="58"/>
  <c r="H66" i="58"/>
  <c r="I66" i="58"/>
  <c r="J66" i="58"/>
  <c r="K66" i="58"/>
  <c r="L66" i="58"/>
  <c r="G67" i="58"/>
  <c r="H67" i="58"/>
  <c r="I67" i="58"/>
  <c r="J67" i="58"/>
  <c r="K67" i="58"/>
  <c r="L67" i="58"/>
  <c r="G68" i="58"/>
  <c r="H68" i="58"/>
  <c r="I68" i="58"/>
  <c r="J68" i="58"/>
  <c r="K68" i="58"/>
  <c r="L68" i="58"/>
  <c r="G69" i="58"/>
  <c r="H69" i="58"/>
  <c r="I69" i="58"/>
  <c r="J69" i="58"/>
  <c r="K69" i="58"/>
  <c r="L69" i="58"/>
  <c r="G70" i="58"/>
  <c r="H70" i="58"/>
  <c r="I70" i="58"/>
  <c r="J70" i="58"/>
  <c r="K70" i="58"/>
  <c r="L70" i="58"/>
  <c r="G71" i="58"/>
  <c r="H71" i="58"/>
  <c r="I71" i="58"/>
  <c r="J71" i="58"/>
  <c r="K71" i="58"/>
  <c r="L71" i="58"/>
  <c r="G72" i="58"/>
  <c r="H72" i="58"/>
  <c r="I72" i="58"/>
  <c r="J72" i="58"/>
  <c r="L72" i="58"/>
  <c r="J73" i="58"/>
  <c r="L73" i="58"/>
  <c r="G75" i="58"/>
  <c r="H75" i="58"/>
  <c r="I75" i="58"/>
  <c r="F76" i="58"/>
  <c r="G76" i="58"/>
  <c r="H76" i="58"/>
  <c r="I76" i="58"/>
  <c r="J76" i="58"/>
  <c r="K76" i="58"/>
  <c r="L76" i="58"/>
  <c r="G77" i="58"/>
  <c r="H77" i="58"/>
  <c r="I77" i="58"/>
  <c r="J77" i="58"/>
  <c r="K77" i="58"/>
  <c r="L77" i="58"/>
  <c r="J78" i="58"/>
  <c r="L78" i="58"/>
  <c r="J79" i="58"/>
  <c r="L79" i="58"/>
  <c r="J80" i="58"/>
  <c r="L80" i="58"/>
  <c r="J81" i="58"/>
  <c r="L81" i="58"/>
  <c r="J82" i="58"/>
  <c r="L82" i="58"/>
  <c r="J83" i="58"/>
  <c r="L83" i="58"/>
  <c r="G85" i="58"/>
  <c r="H85" i="58"/>
  <c r="I85" i="58"/>
  <c r="F86" i="58"/>
  <c r="G86" i="58"/>
  <c r="H86" i="58"/>
  <c r="I86" i="58"/>
  <c r="J86" i="58"/>
  <c r="K86" i="58"/>
  <c r="L86" i="58"/>
  <c r="G87" i="58"/>
  <c r="H87" i="58"/>
  <c r="I87" i="58"/>
  <c r="J87" i="58"/>
  <c r="L87" i="58"/>
  <c r="J88" i="58"/>
  <c r="L88" i="58"/>
  <c r="J89" i="58"/>
  <c r="L89" i="58"/>
  <c r="J90" i="58"/>
  <c r="L90" i="58"/>
  <c r="J91" i="58"/>
  <c r="L91" i="58"/>
  <c r="G93" i="58"/>
  <c r="H93" i="58"/>
  <c r="I93" i="58"/>
  <c r="G94" i="58"/>
  <c r="H94" i="58"/>
  <c r="I94" i="58"/>
  <c r="J94" i="58"/>
  <c r="K94" i="58"/>
  <c r="L94" i="58"/>
  <c r="G95" i="58"/>
  <c r="H95" i="58"/>
  <c r="I95" i="58"/>
  <c r="J95" i="58"/>
  <c r="K95" i="58"/>
  <c r="L95" i="58"/>
  <c r="G96" i="58"/>
  <c r="H96" i="58"/>
  <c r="I96" i="58"/>
  <c r="J96" i="58"/>
  <c r="K96" i="58"/>
  <c r="L96" i="58"/>
  <c r="J97" i="58"/>
  <c r="L97" i="58"/>
  <c r="J98" i="58"/>
  <c r="L98" i="58"/>
  <c r="E100" i="58"/>
  <c r="F100" i="58"/>
  <c r="G100" i="58"/>
  <c r="H100" i="58"/>
  <c r="I100" i="58"/>
  <c r="J100" i="58"/>
  <c r="K100" i="58"/>
  <c r="L100" i="58"/>
  <c r="F102" i="58"/>
  <c r="G102" i="58"/>
  <c r="H102" i="58"/>
  <c r="I102" i="58"/>
  <c r="J102" i="58"/>
  <c r="K102" i="58"/>
  <c r="L102" i="58"/>
  <c r="F103" i="58"/>
  <c r="G103" i="58"/>
  <c r="H103" i="58"/>
  <c r="I103" i="58"/>
  <c r="J103" i="58"/>
  <c r="K103" i="58"/>
  <c r="L103" i="58"/>
  <c r="E104" i="58"/>
  <c r="F104" i="58"/>
  <c r="G104" i="58"/>
  <c r="H104" i="58"/>
  <c r="I104" i="58"/>
  <c r="J104" i="58"/>
  <c r="K104" i="58"/>
  <c r="L104" i="58"/>
  <c r="F105" i="58"/>
  <c r="G105" i="58"/>
  <c r="H105" i="58"/>
  <c r="I105" i="58"/>
  <c r="J105" i="58"/>
  <c r="K105" i="58"/>
  <c r="L105" i="58"/>
  <c r="F106" i="58"/>
  <c r="G106" i="58"/>
  <c r="H106" i="58"/>
  <c r="I106" i="58"/>
  <c r="J106" i="58"/>
  <c r="K106" i="58"/>
  <c r="L106" i="58"/>
  <c r="G108" i="58"/>
  <c r="H108" i="58"/>
  <c r="I108" i="58"/>
  <c r="J108" i="58"/>
  <c r="K108" i="58"/>
  <c r="L108" i="58"/>
  <c r="G109" i="58"/>
  <c r="H109" i="58"/>
  <c r="I109" i="58"/>
  <c r="J109" i="58"/>
  <c r="K109" i="58"/>
  <c r="L109" i="58"/>
  <c r="G110" i="58"/>
  <c r="H110" i="58"/>
  <c r="I110" i="58"/>
  <c r="J110" i="58"/>
  <c r="K110" i="58"/>
  <c r="L110" i="58"/>
  <c r="G111" i="58"/>
  <c r="H111" i="58"/>
  <c r="I111" i="58"/>
  <c r="J111" i="58"/>
  <c r="K111" i="58"/>
  <c r="L111" i="58"/>
  <c r="G112" i="58"/>
  <c r="H112" i="58"/>
  <c r="I112" i="58"/>
  <c r="J112" i="58"/>
  <c r="K112" i="58"/>
  <c r="L112" i="58"/>
  <c r="G113" i="58"/>
  <c r="H113" i="58"/>
  <c r="I113" i="58"/>
  <c r="J113" i="58"/>
  <c r="K113" i="58"/>
  <c r="L113" i="58"/>
  <c r="G115" i="58"/>
  <c r="H115" i="58"/>
  <c r="I115" i="58"/>
  <c r="J115" i="58"/>
  <c r="K115" i="58"/>
  <c r="L115" i="58"/>
  <c r="G116" i="58"/>
  <c r="H116" i="58"/>
  <c r="I116" i="58"/>
  <c r="J116" i="58"/>
  <c r="K116" i="58"/>
  <c r="L116" i="58"/>
  <c r="G117" i="58"/>
  <c r="H117" i="58"/>
  <c r="I117" i="58"/>
  <c r="J117" i="58"/>
  <c r="K117" i="58"/>
  <c r="L117" i="58"/>
  <c r="G118" i="58"/>
  <c r="H118" i="58"/>
  <c r="I118" i="58"/>
  <c r="J118" i="58"/>
  <c r="K118" i="58"/>
  <c r="L118" i="58"/>
  <c r="J119" i="58"/>
  <c r="K119" i="58"/>
  <c r="L119" i="58"/>
  <c r="J120" i="58"/>
  <c r="K120" i="58"/>
  <c r="L120" i="58"/>
  <c r="G122" i="58"/>
  <c r="H122" i="58"/>
  <c r="I122" i="58"/>
  <c r="J122" i="58"/>
  <c r="K122" i="58"/>
  <c r="L122" i="58"/>
  <c r="G123" i="58"/>
  <c r="H123" i="58"/>
  <c r="I123" i="58"/>
  <c r="J123" i="58"/>
  <c r="K123" i="58"/>
  <c r="L123" i="58"/>
  <c r="G124" i="58"/>
  <c r="H124" i="58"/>
  <c r="I124" i="58"/>
  <c r="J124" i="58"/>
  <c r="K124" i="58"/>
  <c r="L124" i="58"/>
  <c r="G125" i="58"/>
  <c r="H125" i="58"/>
  <c r="I125" i="58"/>
  <c r="J125" i="58"/>
  <c r="K125" i="58"/>
  <c r="L125" i="58"/>
  <c r="G127" i="58"/>
  <c r="H127" i="58"/>
  <c r="I127" i="58"/>
  <c r="J127" i="58"/>
  <c r="K127" i="58"/>
  <c r="L127" i="58"/>
  <c r="J128" i="58"/>
  <c r="K128" i="58"/>
  <c r="L128" i="58"/>
  <c r="J129" i="58"/>
  <c r="K129" i="58"/>
  <c r="L129" i="58"/>
  <c r="J130" i="58"/>
  <c r="K130" i="58"/>
  <c r="L130" i="58"/>
  <c r="E132" i="58"/>
  <c r="F132" i="58"/>
  <c r="G132" i="58"/>
  <c r="H132" i="58"/>
  <c r="I132" i="58"/>
  <c r="J132" i="58"/>
  <c r="K132" i="58"/>
  <c r="L132" i="58"/>
  <c r="F134" i="58"/>
  <c r="G134" i="58"/>
  <c r="H134" i="58"/>
  <c r="I134" i="58"/>
  <c r="J134" i="58"/>
  <c r="K134" i="58"/>
  <c r="L134" i="58"/>
  <c r="F135" i="58"/>
  <c r="G135" i="58"/>
  <c r="H135" i="58"/>
  <c r="I135" i="58"/>
  <c r="J135" i="58"/>
  <c r="K135" i="58"/>
  <c r="L135" i="58"/>
  <c r="F136" i="58"/>
  <c r="G136" i="58"/>
  <c r="H136" i="58"/>
  <c r="I136" i="58"/>
  <c r="J136" i="58"/>
  <c r="K136" i="58"/>
  <c r="L136" i="58"/>
  <c r="G138" i="58"/>
  <c r="H138" i="58"/>
  <c r="I138" i="58"/>
  <c r="J138" i="58"/>
  <c r="K138" i="58"/>
  <c r="L138" i="58"/>
  <c r="G139" i="58"/>
  <c r="H139" i="58"/>
  <c r="I139" i="58"/>
  <c r="J139" i="58"/>
  <c r="K139" i="58"/>
  <c r="L139" i="58"/>
  <c r="G140" i="58"/>
  <c r="H140" i="58"/>
  <c r="I140" i="58"/>
  <c r="J140" i="58"/>
  <c r="K140" i="58"/>
  <c r="L140" i="58"/>
  <c r="G141" i="58"/>
  <c r="H141" i="58"/>
  <c r="I141" i="58"/>
  <c r="J141" i="58"/>
  <c r="K141" i="58"/>
  <c r="L141" i="58"/>
  <c r="G142" i="58"/>
  <c r="H142" i="58"/>
  <c r="I142" i="58"/>
  <c r="J142" i="58"/>
  <c r="K142" i="58"/>
  <c r="L142" i="58"/>
  <c r="J143" i="58"/>
  <c r="L143" i="58"/>
  <c r="G145" i="58"/>
  <c r="H145" i="58"/>
  <c r="I145" i="58"/>
  <c r="J145" i="58"/>
  <c r="K145" i="58"/>
  <c r="L145" i="58"/>
  <c r="G146" i="58"/>
  <c r="H146" i="58"/>
  <c r="I146" i="58"/>
  <c r="J146" i="58"/>
  <c r="K146" i="58"/>
  <c r="L146" i="58"/>
  <c r="G147" i="58"/>
  <c r="H147" i="58"/>
  <c r="I147" i="58"/>
  <c r="J147" i="58"/>
  <c r="K147" i="58"/>
  <c r="L147" i="58"/>
  <c r="G148" i="58"/>
  <c r="H148" i="58"/>
  <c r="I148" i="58"/>
  <c r="J148" i="58"/>
  <c r="K148" i="58"/>
  <c r="L148" i="58"/>
  <c r="G149" i="58"/>
  <c r="H149" i="58"/>
  <c r="I149" i="58"/>
  <c r="J149" i="58"/>
  <c r="K149" i="58"/>
  <c r="L149" i="58"/>
  <c r="G150" i="58"/>
  <c r="H150" i="58"/>
  <c r="I150" i="58"/>
  <c r="J150" i="58"/>
  <c r="K150" i="58"/>
  <c r="L150" i="58"/>
  <c r="G151" i="58"/>
  <c r="H151" i="58"/>
  <c r="I151" i="58"/>
  <c r="J151" i="58"/>
  <c r="L151" i="58"/>
  <c r="G152" i="58"/>
  <c r="H152" i="58"/>
  <c r="I152" i="58"/>
  <c r="J152" i="58"/>
  <c r="L152" i="58"/>
  <c r="J153" i="58"/>
  <c r="L153" i="58"/>
  <c r="G155" i="58"/>
  <c r="H155" i="58"/>
  <c r="I155" i="58"/>
  <c r="J155" i="58"/>
  <c r="K155" i="58"/>
  <c r="L155" i="58"/>
  <c r="G156" i="58"/>
  <c r="H156" i="58"/>
  <c r="I156" i="58"/>
  <c r="J156" i="58"/>
  <c r="K156" i="58"/>
  <c r="L156" i="58"/>
  <c r="J157" i="58"/>
  <c r="L157" i="58"/>
  <c r="J158" i="58"/>
  <c r="L158" i="58"/>
  <c r="J159" i="58"/>
  <c r="L159" i="58"/>
  <c r="G161" i="58"/>
  <c r="H161" i="58"/>
  <c r="I161" i="58"/>
  <c r="J161" i="58"/>
  <c r="K161" i="58"/>
  <c r="L161" i="58"/>
  <c r="G162" i="58"/>
  <c r="H162" i="58"/>
  <c r="I162" i="58"/>
  <c r="J162" i="58"/>
  <c r="K162" i="58"/>
  <c r="L162" i="58"/>
  <c r="G163" i="58"/>
  <c r="H163" i="58"/>
  <c r="I163" i="58"/>
  <c r="J163" i="58"/>
  <c r="K163" i="58"/>
  <c r="L163" i="58"/>
  <c r="G164" i="58"/>
  <c r="H164" i="58"/>
  <c r="I164" i="58"/>
  <c r="J164" i="58"/>
  <c r="K164" i="58"/>
  <c r="L164" i="58"/>
  <c r="G165" i="58"/>
  <c r="H165" i="58"/>
  <c r="I165" i="58"/>
  <c r="J165" i="58"/>
  <c r="K165" i="58"/>
  <c r="L165" i="58"/>
  <c r="G166" i="58"/>
  <c r="H166" i="58"/>
  <c r="I166" i="58"/>
  <c r="J166" i="58"/>
  <c r="K166" i="58"/>
  <c r="L166" i="58"/>
  <c r="G167" i="58"/>
  <c r="H167" i="58"/>
  <c r="I167" i="58"/>
  <c r="J167" i="58"/>
  <c r="K167" i="58"/>
  <c r="L167" i="58"/>
  <c r="G168" i="58"/>
  <c r="H168" i="58"/>
  <c r="I168" i="58"/>
  <c r="J168" i="58"/>
  <c r="K168" i="58"/>
  <c r="L168" i="58"/>
  <c r="G169" i="58"/>
  <c r="H169" i="58"/>
  <c r="I169" i="58"/>
  <c r="J169" i="58"/>
  <c r="K169" i="58"/>
  <c r="L169" i="58"/>
  <c r="G170" i="58"/>
  <c r="H170" i="58"/>
  <c r="I170" i="58"/>
  <c r="J170" i="58"/>
  <c r="K170" i="58"/>
  <c r="L170" i="58"/>
  <c r="J172" i="58"/>
  <c r="L172" i="58"/>
  <c r="J173" i="58"/>
  <c r="L173" i="58"/>
  <c r="G175" i="58"/>
  <c r="H175" i="58"/>
  <c r="I175" i="58"/>
  <c r="F176" i="58"/>
  <c r="G176" i="58"/>
  <c r="H176" i="58"/>
  <c r="I176" i="58"/>
  <c r="J176" i="58"/>
  <c r="K176" i="58"/>
  <c r="L176" i="58"/>
  <c r="F177" i="58"/>
  <c r="G177" i="58"/>
  <c r="H177" i="58"/>
  <c r="I177" i="58"/>
  <c r="J177" i="58"/>
  <c r="K177" i="58"/>
  <c r="L177" i="58"/>
  <c r="F178" i="58"/>
  <c r="G178" i="58"/>
  <c r="H178" i="58"/>
  <c r="I178" i="58"/>
  <c r="J178" i="58"/>
  <c r="K178" i="58"/>
  <c r="L178" i="58"/>
  <c r="J179" i="58"/>
  <c r="L179" i="58"/>
  <c r="J180" i="58"/>
  <c r="L180" i="58"/>
  <c r="J181" i="58"/>
  <c r="L181" i="58"/>
  <c r="G184" i="58"/>
  <c r="H184" i="58"/>
  <c r="I184" i="58"/>
  <c r="G185" i="58"/>
  <c r="H185" i="58"/>
  <c r="I185" i="58"/>
  <c r="G186" i="58"/>
  <c r="H186" i="58"/>
  <c r="I186" i="58"/>
  <c r="J186" i="58"/>
  <c r="K186" i="58"/>
  <c r="L186" i="58"/>
  <c r="G187" i="58"/>
  <c r="H187" i="58"/>
  <c r="I187" i="58"/>
  <c r="J187" i="58"/>
  <c r="K187" i="58"/>
  <c r="L187" i="58"/>
  <c r="G188" i="58"/>
  <c r="H188" i="58"/>
  <c r="I188" i="58"/>
  <c r="J188" i="58"/>
  <c r="K188" i="58"/>
  <c r="L188" i="58"/>
  <c r="G189" i="58"/>
  <c r="H189" i="58"/>
  <c r="I189" i="58"/>
  <c r="J189" i="58"/>
  <c r="K189" i="58"/>
  <c r="L189" i="58"/>
  <c r="G190" i="58"/>
  <c r="H190" i="58"/>
  <c r="I190" i="58"/>
  <c r="J190" i="58"/>
  <c r="K190" i="58"/>
  <c r="L190" i="58"/>
  <c r="G191" i="58"/>
  <c r="H191" i="58"/>
  <c r="I191" i="58"/>
  <c r="J191" i="58"/>
  <c r="K191" i="58"/>
  <c r="L191" i="58"/>
  <c r="G192" i="58"/>
  <c r="H192" i="58"/>
  <c r="I192" i="58"/>
  <c r="J192" i="58"/>
  <c r="K192" i="58"/>
  <c r="L192" i="58"/>
  <c r="G193" i="58"/>
  <c r="H193" i="58"/>
  <c r="I193" i="58"/>
  <c r="J193" i="58"/>
  <c r="K193" i="58"/>
  <c r="L193" i="58"/>
  <c r="G194" i="58"/>
  <c r="H194" i="58"/>
  <c r="I194" i="58"/>
  <c r="J194" i="58"/>
  <c r="K194" i="58"/>
  <c r="L194" i="58"/>
  <c r="G195" i="58"/>
  <c r="H195" i="58"/>
  <c r="I195" i="58"/>
  <c r="J195" i="58"/>
  <c r="K195" i="58"/>
  <c r="L195" i="58"/>
  <c r="G196" i="58"/>
  <c r="H196" i="58"/>
  <c r="I196" i="58"/>
  <c r="J196" i="58"/>
  <c r="K196" i="58"/>
  <c r="L196" i="58"/>
  <c r="G197" i="58"/>
  <c r="H197" i="58"/>
  <c r="I197" i="58"/>
  <c r="J197" i="58"/>
  <c r="K197" i="58"/>
  <c r="L197" i="58"/>
  <c r="G198" i="58"/>
  <c r="H198" i="58"/>
  <c r="I198" i="58"/>
  <c r="J198" i="58"/>
  <c r="K198" i="58"/>
  <c r="L198" i="58"/>
  <c r="G199" i="58"/>
  <c r="H199" i="58"/>
  <c r="I199" i="58"/>
  <c r="J199" i="58"/>
  <c r="K199" i="58"/>
  <c r="L199" i="58"/>
  <c r="G200" i="58"/>
  <c r="H200" i="58"/>
  <c r="I200" i="58"/>
  <c r="J200" i="58"/>
  <c r="K200" i="58"/>
  <c r="L200" i="58"/>
  <c r="G201" i="58"/>
  <c r="H201" i="58"/>
  <c r="I201" i="58"/>
  <c r="J201" i="58"/>
  <c r="K201" i="58"/>
  <c r="L201" i="58"/>
  <c r="G202" i="58"/>
  <c r="H202" i="58"/>
  <c r="I202" i="58"/>
  <c r="J202" i="58"/>
  <c r="K202" i="58"/>
  <c r="L202" i="58"/>
  <c r="G203" i="58"/>
  <c r="H203" i="58"/>
  <c r="I203" i="58"/>
  <c r="J203" i="58"/>
  <c r="K203" i="58"/>
  <c r="L203" i="58"/>
  <c r="G204" i="58"/>
  <c r="H204" i="58"/>
  <c r="I204" i="58"/>
  <c r="J204" i="58"/>
  <c r="K204" i="58"/>
  <c r="L204" i="58"/>
  <c r="G205" i="58"/>
  <c r="H205" i="58"/>
  <c r="I205" i="58"/>
  <c r="J205" i="58"/>
  <c r="K205" i="58"/>
  <c r="L205" i="58"/>
  <c r="G206" i="58"/>
  <c r="H206" i="58"/>
  <c r="I206" i="58"/>
  <c r="J206" i="58"/>
  <c r="K206" i="58"/>
  <c r="L206" i="58"/>
  <c r="G207" i="58"/>
  <c r="H207" i="58"/>
  <c r="I207" i="58"/>
  <c r="J207" i="58"/>
  <c r="K207" i="58"/>
  <c r="L207" i="58"/>
  <c r="G208" i="58"/>
  <c r="H208" i="58"/>
  <c r="I208" i="58"/>
  <c r="J208" i="58"/>
  <c r="K208" i="58"/>
  <c r="L208" i="58"/>
  <c r="G209" i="58"/>
  <c r="H209" i="58"/>
  <c r="I209" i="58"/>
  <c r="J209" i="58"/>
  <c r="K209" i="58"/>
  <c r="L209" i="58"/>
  <c r="G210" i="58"/>
  <c r="H210" i="58"/>
  <c r="I210" i="58"/>
  <c r="J210" i="58"/>
  <c r="K210" i="58"/>
  <c r="L210" i="58"/>
  <c r="G211" i="58"/>
  <c r="H211" i="58"/>
  <c r="I211" i="58"/>
  <c r="J211" i="58"/>
  <c r="K211" i="58"/>
  <c r="L211" i="58"/>
  <c r="G213" i="58"/>
  <c r="H213" i="58"/>
  <c r="I213" i="58"/>
  <c r="G214" i="58"/>
  <c r="H214" i="58"/>
  <c r="I214" i="58"/>
  <c r="J214" i="58"/>
  <c r="K214" i="58"/>
  <c r="L214" i="58"/>
  <c r="J215" i="58"/>
  <c r="L215" i="58"/>
  <c r="J216" i="58"/>
  <c r="L216" i="58"/>
  <c r="J217" i="58"/>
  <c r="L217" i="58"/>
  <c r="J218" i="58"/>
  <c r="L218" i="58"/>
  <c r="J219" i="58"/>
  <c r="L219" i="58"/>
  <c r="J220" i="58"/>
  <c r="L220" i="58"/>
  <c r="J221" i="58"/>
  <c r="L221" i="58"/>
  <c r="J222" i="58"/>
  <c r="L222" i="58"/>
  <c r="J223" i="58"/>
  <c r="L223" i="58"/>
  <c r="J224" i="58"/>
  <c r="L224" i="58"/>
  <c r="J225" i="58"/>
  <c r="L225" i="58"/>
  <c r="J226" i="58"/>
  <c r="L226" i="58"/>
  <c r="J227" i="58"/>
  <c r="L227" i="58"/>
  <c r="J228" i="58"/>
  <c r="L228" i="58"/>
  <c r="J229" i="58"/>
  <c r="L229" i="58"/>
  <c r="J230" i="58"/>
  <c r="L230" i="58"/>
  <c r="J231" i="58"/>
  <c r="L231" i="58"/>
  <c r="J232" i="58"/>
  <c r="L232" i="58"/>
  <c r="J233" i="58"/>
  <c r="L233" i="58"/>
  <c r="J234" i="58"/>
  <c r="L234" i="58"/>
  <c r="J235" i="58"/>
  <c r="L235" i="58"/>
  <c r="G237" i="58"/>
  <c r="H237" i="58"/>
  <c r="I237" i="58"/>
  <c r="G238" i="58"/>
  <c r="H238" i="58"/>
  <c r="I238" i="58"/>
  <c r="J238" i="58"/>
  <c r="K238" i="58"/>
  <c r="L238" i="58"/>
  <c r="J239" i="58"/>
  <c r="L239" i="58"/>
  <c r="J240" i="58"/>
  <c r="L240" i="58"/>
  <c r="J241" i="58"/>
  <c r="L241" i="58"/>
  <c r="G243" i="58"/>
  <c r="H243" i="58"/>
  <c r="I243" i="58"/>
  <c r="G244" i="58"/>
  <c r="H244" i="58"/>
  <c r="I244" i="58"/>
  <c r="G245" i="58"/>
  <c r="H245" i="58"/>
  <c r="I245" i="58"/>
  <c r="G247" i="58"/>
  <c r="H247" i="58"/>
  <c r="I247" i="58"/>
  <c r="J247" i="58"/>
  <c r="K247" i="58"/>
  <c r="L247" i="58"/>
  <c r="F249" i="58"/>
  <c r="G249" i="58"/>
  <c r="H249" i="58"/>
  <c r="I249" i="58"/>
  <c r="J249" i="58"/>
  <c r="K249" i="58"/>
  <c r="L249" i="58"/>
  <c r="F250" i="58"/>
  <c r="G250" i="58"/>
  <c r="H250" i="58"/>
  <c r="I250" i="58"/>
  <c r="J250" i="58"/>
  <c r="K250" i="58"/>
  <c r="L250" i="58"/>
  <c r="F251" i="58"/>
  <c r="G251" i="58"/>
  <c r="H251" i="58"/>
  <c r="I251" i="58"/>
  <c r="J251" i="58"/>
  <c r="K251" i="58"/>
  <c r="L251" i="58"/>
  <c r="F252" i="58"/>
  <c r="G252" i="58"/>
  <c r="H252" i="58"/>
  <c r="I252" i="58"/>
  <c r="J252" i="58"/>
  <c r="K252" i="58"/>
  <c r="L252" i="58"/>
  <c r="F253" i="58"/>
  <c r="G253" i="58"/>
  <c r="H253" i="58"/>
  <c r="I253" i="58"/>
  <c r="J253" i="58"/>
  <c r="K253" i="58"/>
  <c r="L253" i="58"/>
  <c r="F254" i="58"/>
  <c r="G254" i="58"/>
  <c r="H254" i="58"/>
  <c r="I254" i="58"/>
  <c r="J254" i="58"/>
  <c r="K254" i="58"/>
  <c r="L254" i="58"/>
  <c r="G256" i="58"/>
  <c r="H256" i="58"/>
  <c r="I256" i="58"/>
  <c r="J256" i="58"/>
  <c r="K256" i="58"/>
  <c r="L256" i="58"/>
  <c r="G257" i="58"/>
  <c r="H257" i="58"/>
  <c r="I257" i="58"/>
  <c r="J257" i="58"/>
  <c r="K257" i="58"/>
  <c r="L257" i="58"/>
  <c r="G258" i="58"/>
  <c r="H258" i="58"/>
  <c r="I258" i="58"/>
  <c r="J258" i="58"/>
  <c r="K258" i="58"/>
  <c r="L258" i="58"/>
  <c r="G260" i="58"/>
  <c r="H260" i="58"/>
  <c r="I260" i="58"/>
  <c r="J260" i="58"/>
  <c r="K260" i="58"/>
  <c r="L260" i="58"/>
  <c r="G261" i="58"/>
  <c r="H261" i="58"/>
  <c r="I261" i="58"/>
  <c r="J261" i="58"/>
  <c r="K261" i="58"/>
  <c r="L261" i="58"/>
  <c r="G262" i="58"/>
  <c r="H262" i="58"/>
  <c r="I262" i="58"/>
  <c r="J262" i="58"/>
  <c r="K262" i="58"/>
  <c r="L262" i="58"/>
  <c r="G263" i="58"/>
  <c r="H263" i="58"/>
  <c r="I263" i="58"/>
  <c r="J263" i="58"/>
  <c r="K263" i="58"/>
  <c r="L263" i="58"/>
  <c r="G264" i="58"/>
  <c r="H264" i="58"/>
  <c r="I264" i="58"/>
  <c r="J264" i="58"/>
  <c r="K264" i="58"/>
  <c r="L264" i="58"/>
  <c r="J265" i="58"/>
  <c r="L265" i="58"/>
  <c r="J266" i="58"/>
  <c r="L266" i="58"/>
  <c r="J267" i="58"/>
  <c r="L267" i="58"/>
  <c r="J268" i="58"/>
  <c r="L268" i="58"/>
  <c r="G270" i="58"/>
  <c r="H270" i="58"/>
  <c r="I270" i="58"/>
  <c r="F271" i="58"/>
  <c r="G271" i="58"/>
  <c r="H271" i="58"/>
  <c r="I271" i="58"/>
  <c r="J271" i="58"/>
  <c r="K271" i="58"/>
  <c r="L271" i="58"/>
  <c r="F272" i="58"/>
  <c r="G272" i="58"/>
  <c r="H272" i="58"/>
  <c r="I272" i="58"/>
  <c r="J272" i="58"/>
  <c r="K272" i="58"/>
  <c r="L272" i="58"/>
  <c r="J273" i="58"/>
  <c r="L273" i="58"/>
  <c r="J274" i="58"/>
  <c r="L274" i="58"/>
  <c r="J275" i="58"/>
  <c r="L275" i="58"/>
  <c r="J276" i="58"/>
  <c r="L276" i="58"/>
  <c r="J277" i="58"/>
  <c r="L277" i="58"/>
  <c r="J278" i="58"/>
  <c r="L278" i="58"/>
  <c r="J279" i="58"/>
  <c r="L279" i="58"/>
  <c r="J280" i="58"/>
  <c r="L280" i="58"/>
  <c r="G282" i="58"/>
  <c r="H282" i="58"/>
  <c r="I282" i="58"/>
  <c r="J282" i="58"/>
  <c r="K282" i="58"/>
  <c r="L282" i="58"/>
  <c r="G283" i="58"/>
  <c r="H283" i="58"/>
  <c r="I283" i="58"/>
  <c r="J283" i="58"/>
  <c r="K283" i="58"/>
  <c r="L283" i="58"/>
  <c r="J284" i="58"/>
  <c r="L284" i="58"/>
  <c r="J285" i="58"/>
  <c r="L285" i="58"/>
  <c r="J286" i="58"/>
  <c r="L286" i="58"/>
  <c r="J287" i="58"/>
  <c r="L287" i="58"/>
  <c r="C13" i="56"/>
  <c r="D13" i="56"/>
  <c r="E13" i="56"/>
  <c r="F13" i="56"/>
  <c r="H13" i="56"/>
  <c r="C14" i="56"/>
  <c r="D14" i="56"/>
  <c r="E14" i="56"/>
  <c r="F14" i="56"/>
  <c r="H14" i="56"/>
  <c r="C15" i="56"/>
  <c r="D15" i="56"/>
  <c r="E15" i="56"/>
  <c r="F15" i="56"/>
  <c r="H15" i="56"/>
  <c r="C16" i="56"/>
  <c r="D16" i="56"/>
  <c r="E16" i="56"/>
  <c r="F16" i="56"/>
  <c r="H16" i="56"/>
  <c r="C17" i="56"/>
  <c r="D17" i="56"/>
  <c r="E17" i="56"/>
  <c r="F17" i="56"/>
  <c r="H17" i="56"/>
  <c r="D19" i="56"/>
  <c r="E19" i="56"/>
  <c r="F19" i="56"/>
  <c r="H19" i="56"/>
  <c r="D20" i="56"/>
  <c r="E20" i="56"/>
  <c r="F20" i="56"/>
  <c r="H20" i="56"/>
  <c r="D21" i="56"/>
  <c r="E21" i="56"/>
  <c r="F21" i="56"/>
  <c r="H21" i="56"/>
  <c r="D22" i="56"/>
  <c r="E22" i="56"/>
  <c r="F22" i="56"/>
  <c r="H22" i="56"/>
  <c r="D23" i="56"/>
  <c r="E23" i="56"/>
  <c r="F23" i="56"/>
  <c r="H23" i="56"/>
  <c r="D24" i="56"/>
  <c r="E24" i="56"/>
  <c r="F24" i="56"/>
  <c r="H24" i="56"/>
  <c r="D25" i="56"/>
  <c r="E25" i="56"/>
  <c r="F25" i="56"/>
  <c r="H25" i="56"/>
  <c r="D28" i="56"/>
  <c r="E28" i="56"/>
  <c r="F28" i="56"/>
  <c r="H28" i="56"/>
  <c r="D29" i="56"/>
  <c r="E29" i="56"/>
  <c r="F29" i="56"/>
  <c r="H29" i="56"/>
  <c r="D30" i="56"/>
  <c r="E30" i="56"/>
  <c r="F30" i="56"/>
  <c r="H30" i="56"/>
  <c r="D31" i="56"/>
  <c r="E31" i="56"/>
  <c r="F31" i="56"/>
  <c r="H31" i="56"/>
  <c r="D32" i="56"/>
  <c r="E32" i="56"/>
  <c r="F32" i="56"/>
  <c r="H32" i="56"/>
  <c r="D33" i="56"/>
  <c r="E33" i="56"/>
  <c r="F33" i="56"/>
  <c r="H33" i="56"/>
  <c r="D34" i="56"/>
  <c r="E34" i="56"/>
  <c r="F34" i="56"/>
  <c r="H34" i="56"/>
  <c r="D35" i="56"/>
  <c r="E35" i="56"/>
  <c r="F35" i="56"/>
  <c r="H35" i="56"/>
  <c r="D36" i="56"/>
  <c r="E36" i="56"/>
  <c r="F36" i="56"/>
  <c r="H36" i="56"/>
  <c r="D38" i="56"/>
  <c r="E38" i="56"/>
  <c r="F38" i="56"/>
  <c r="H38" i="56"/>
  <c r="D39" i="56"/>
  <c r="E39" i="56"/>
  <c r="F39" i="56"/>
  <c r="H39" i="56"/>
  <c r="D40" i="56"/>
  <c r="E40" i="56"/>
  <c r="F40" i="56"/>
  <c r="H40" i="56"/>
  <c r="D41" i="56"/>
  <c r="E41" i="56"/>
  <c r="F41" i="56"/>
  <c r="H41" i="56"/>
  <c r="D42" i="56"/>
  <c r="E42" i="56"/>
  <c r="F42" i="56"/>
  <c r="H42" i="56"/>
  <c r="D43" i="56"/>
  <c r="E43" i="56"/>
  <c r="F43" i="56"/>
  <c r="H43" i="56"/>
  <c r="D44" i="56"/>
  <c r="E44" i="56"/>
  <c r="F44" i="56"/>
  <c r="H44" i="56"/>
  <c r="D45" i="56"/>
  <c r="E45" i="56"/>
  <c r="F45" i="56"/>
  <c r="H45" i="56"/>
  <c r="D46" i="56"/>
  <c r="E46" i="56"/>
  <c r="F46" i="56"/>
  <c r="H46" i="56"/>
  <c r="D47" i="56"/>
  <c r="E47" i="56"/>
  <c r="F47" i="56"/>
  <c r="H47" i="56"/>
  <c r="C48" i="56"/>
  <c r="D39" i="65" s="1"/>
  <c r="D48" i="56"/>
  <c r="E48" i="56"/>
  <c r="F48" i="56"/>
  <c r="H48" i="56"/>
  <c r="D49" i="56"/>
  <c r="E49" i="56"/>
  <c r="F49" i="56"/>
  <c r="H49" i="56"/>
  <c r="D50" i="56"/>
  <c r="E50" i="56"/>
  <c r="F50" i="56"/>
  <c r="H50" i="56"/>
  <c r="D51" i="56"/>
  <c r="E51" i="56"/>
  <c r="F51" i="56"/>
  <c r="H51" i="56"/>
  <c r="D53" i="56"/>
  <c r="E53" i="56"/>
  <c r="F53" i="56"/>
  <c r="H53" i="56"/>
  <c r="D54" i="56"/>
  <c r="E54" i="56"/>
  <c r="F54" i="56"/>
  <c r="H54" i="56"/>
  <c r="D55" i="56"/>
  <c r="E55" i="56"/>
  <c r="F55" i="56"/>
  <c r="H55" i="56"/>
  <c r="D58" i="56"/>
  <c r="E58" i="56"/>
  <c r="F58" i="56"/>
  <c r="H58" i="56"/>
  <c r="D59" i="56"/>
  <c r="E59" i="56"/>
  <c r="F59" i="56"/>
  <c r="H59" i="56"/>
  <c r="C60" i="56"/>
  <c r="D47" i="68" s="1"/>
  <c r="D60" i="56"/>
  <c r="E60" i="56"/>
  <c r="F60" i="56"/>
  <c r="H60" i="56"/>
  <c r="D61" i="56"/>
  <c r="E61" i="56"/>
  <c r="F61" i="56"/>
  <c r="H61" i="56"/>
  <c r="D62" i="56"/>
  <c r="E62" i="56"/>
  <c r="F62" i="56"/>
  <c r="H62" i="56"/>
  <c r="D63" i="56"/>
  <c r="E63" i="56"/>
  <c r="F63" i="56"/>
  <c r="H63" i="56"/>
  <c r="D64" i="56"/>
  <c r="E64" i="56"/>
  <c r="F64" i="56"/>
  <c r="H64" i="56"/>
  <c r="C65" i="56"/>
  <c r="D36" i="69" s="1"/>
  <c r="D65" i="56"/>
  <c r="E65" i="56"/>
  <c r="F65" i="56"/>
  <c r="H65" i="56"/>
  <c r="D67" i="56"/>
  <c r="E67" i="56"/>
  <c r="F67" i="56"/>
  <c r="H67" i="56"/>
  <c r="D68" i="56"/>
  <c r="E68" i="56"/>
  <c r="F68" i="56"/>
  <c r="H68" i="56"/>
  <c r="D70" i="56"/>
  <c r="E70" i="56"/>
  <c r="F70" i="56"/>
  <c r="H70" i="56"/>
  <c r="D71" i="56"/>
  <c r="E71" i="56"/>
  <c r="F71" i="56"/>
  <c r="H71" i="56"/>
  <c r="D73" i="56"/>
  <c r="E73" i="56"/>
  <c r="F73" i="56"/>
  <c r="H73" i="56"/>
  <c r="D74" i="56"/>
  <c r="E74" i="56"/>
  <c r="F74" i="56"/>
  <c r="H74" i="56"/>
  <c r="D76" i="56"/>
  <c r="E76" i="56"/>
  <c r="F76" i="56"/>
  <c r="H76" i="56"/>
  <c r="D77" i="56"/>
  <c r="E77" i="56"/>
  <c r="F77" i="56"/>
  <c r="H77" i="56"/>
  <c r="C78" i="56"/>
  <c r="D79" i="56"/>
  <c r="E79" i="56"/>
  <c r="F79" i="56"/>
  <c r="H79" i="56"/>
  <c r="D80" i="56"/>
  <c r="E80" i="56"/>
  <c r="F80" i="56"/>
  <c r="H80" i="56"/>
  <c r="D81" i="56"/>
  <c r="E81" i="56"/>
  <c r="F81" i="56"/>
  <c r="H81" i="56"/>
  <c r="D82" i="56"/>
  <c r="E82" i="56"/>
  <c r="F82" i="56"/>
  <c r="H82" i="56"/>
  <c r="D84" i="56"/>
  <c r="E84" i="56"/>
  <c r="F84" i="56"/>
  <c r="H84" i="56"/>
  <c r="D85" i="56"/>
  <c r="E85" i="56"/>
  <c r="F85" i="56"/>
  <c r="H85" i="56"/>
  <c r="D86" i="56"/>
  <c r="E86" i="56"/>
  <c r="F86" i="56"/>
  <c r="H86" i="56"/>
  <c r="D88" i="56"/>
  <c r="E88" i="56"/>
  <c r="F88" i="56"/>
  <c r="H88" i="56"/>
  <c r="D89" i="56"/>
  <c r="E89" i="56"/>
  <c r="F89" i="56"/>
  <c r="H89" i="56"/>
  <c r="D91" i="56"/>
  <c r="E91" i="56"/>
  <c r="F91" i="56"/>
  <c r="H91" i="56"/>
  <c r="D92" i="56"/>
  <c r="E92" i="56"/>
  <c r="F92" i="56"/>
  <c r="H92" i="56"/>
  <c r="D94" i="56"/>
  <c r="E94" i="56"/>
  <c r="F94" i="56"/>
  <c r="H94" i="56"/>
  <c r="D95" i="56"/>
  <c r="E95" i="56"/>
  <c r="F95" i="56"/>
  <c r="H95" i="56"/>
  <c r="D97" i="56"/>
  <c r="E97" i="56"/>
  <c r="F97" i="56"/>
  <c r="H97" i="56"/>
  <c r="D98" i="56"/>
  <c r="E98" i="56"/>
  <c r="F98" i="56"/>
  <c r="H98" i="56"/>
  <c r="D100" i="56"/>
  <c r="E100" i="56"/>
  <c r="F100" i="56"/>
  <c r="H100" i="56"/>
  <c r="D101" i="56"/>
  <c r="E101" i="56"/>
  <c r="F101" i="56"/>
  <c r="H101" i="56"/>
  <c r="D103" i="56"/>
  <c r="E103" i="56"/>
  <c r="F103" i="56"/>
  <c r="H103" i="56"/>
  <c r="C104" i="56"/>
  <c r="D98" i="70" s="1"/>
  <c r="D104" i="56"/>
  <c r="E104" i="56"/>
  <c r="F104" i="56"/>
  <c r="H104" i="56"/>
  <c r="D105" i="56"/>
  <c r="E105" i="56"/>
  <c r="F105" i="56"/>
  <c r="H105" i="56"/>
  <c r="D106" i="56"/>
  <c r="E106" i="56"/>
  <c r="F106" i="56"/>
  <c r="H106" i="56"/>
  <c r="D107" i="56"/>
  <c r="E107" i="56"/>
  <c r="F107" i="56"/>
  <c r="H107" i="56"/>
  <c r="C108" i="56"/>
  <c r="D102" i="70" s="1"/>
  <c r="D108" i="56"/>
  <c r="E108" i="56"/>
  <c r="F108" i="56"/>
  <c r="H108" i="56"/>
  <c r="D109" i="56"/>
  <c r="E109" i="56"/>
  <c r="F109" i="56"/>
  <c r="H109" i="56"/>
  <c r="C110" i="56"/>
  <c r="D104" i="70" s="1"/>
  <c r="D110" i="56"/>
  <c r="E110" i="56"/>
  <c r="F110" i="56"/>
  <c r="H110" i="56"/>
  <c r="D111" i="56"/>
  <c r="E111" i="56"/>
  <c r="F111" i="56"/>
  <c r="H111" i="56"/>
  <c r="D113" i="56"/>
  <c r="E113" i="56"/>
  <c r="F113" i="56"/>
  <c r="H113" i="56"/>
  <c r="D114" i="56"/>
  <c r="E114" i="56"/>
  <c r="F114" i="56"/>
  <c r="H114" i="56"/>
  <c r="D115" i="56"/>
  <c r="E115" i="56"/>
  <c r="F115" i="56"/>
  <c r="H115" i="56"/>
  <c r="D117" i="56"/>
  <c r="E117" i="56"/>
  <c r="F117" i="56"/>
  <c r="H117" i="56"/>
  <c r="D118" i="56"/>
  <c r="E118" i="56"/>
  <c r="F118" i="56"/>
  <c r="H118" i="56"/>
  <c r="D119" i="56"/>
  <c r="E119" i="56"/>
  <c r="F119" i="56"/>
  <c r="H119" i="56"/>
  <c r="D120" i="56"/>
  <c r="E120" i="56"/>
  <c r="F120" i="56"/>
  <c r="H120" i="56"/>
  <c r="D121" i="56"/>
  <c r="E121" i="56"/>
  <c r="F121" i="56"/>
  <c r="H121" i="56"/>
  <c r="C122" i="56"/>
  <c r="E55" i="75" s="1"/>
  <c r="D122" i="56"/>
  <c r="E122" i="56"/>
  <c r="F122" i="56"/>
  <c r="H122" i="56"/>
  <c r="D123" i="56"/>
  <c r="E123" i="56"/>
  <c r="F123" i="56"/>
  <c r="H123" i="56"/>
  <c r="D124" i="56"/>
  <c r="E124" i="56"/>
  <c r="F124" i="56"/>
  <c r="H124" i="56"/>
  <c r="D125" i="56"/>
  <c r="E125" i="56"/>
  <c r="F125" i="56"/>
  <c r="H125" i="56"/>
  <c r="D126" i="56"/>
  <c r="E126" i="56"/>
  <c r="F126" i="56"/>
  <c r="H126" i="56"/>
  <c r="D127" i="56"/>
  <c r="E127" i="56"/>
  <c r="F127" i="56"/>
  <c r="H127" i="56"/>
  <c r="D129" i="56"/>
  <c r="E129" i="56"/>
  <c r="F129" i="56"/>
  <c r="H129" i="56"/>
  <c r="F130" i="56"/>
  <c r="H130" i="56"/>
  <c r="E9" i="55"/>
  <c r="A12" i="55"/>
  <c r="C12" i="55"/>
  <c r="D12" i="55"/>
  <c r="E12" i="55"/>
  <c r="A13" i="55"/>
  <c r="C13" i="55"/>
  <c r="D13" i="55"/>
  <c r="E13" i="55"/>
  <c r="A14" i="55"/>
  <c r="C14" i="55"/>
  <c r="D14" i="55"/>
  <c r="E14" i="55"/>
  <c r="A15" i="55"/>
  <c r="C15" i="55"/>
  <c r="D15" i="55"/>
  <c r="E15" i="55"/>
  <c r="A16" i="55"/>
  <c r="C16" i="55"/>
  <c r="D16" i="55"/>
  <c r="E16" i="55"/>
  <c r="C17" i="55"/>
  <c r="D17" i="55"/>
  <c r="E17" i="55"/>
  <c r="C19" i="55"/>
  <c r="D19" i="55"/>
  <c r="E19" i="55"/>
  <c r="C20" i="55"/>
  <c r="D20" i="55"/>
  <c r="E20" i="55"/>
  <c r="C21" i="55"/>
  <c r="D21" i="55"/>
  <c r="E21" i="55"/>
  <c r="C23" i="55"/>
  <c r="D23" i="55"/>
  <c r="E23" i="55"/>
  <c r="C24" i="55"/>
  <c r="D24" i="55"/>
  <c r="E24" i="55"/>
  <c r="C25" i="55"/>
  <c r="D25" i="55"/>
  <c r="E25" i="55"/>
  <c r="C26" i="55"/>
  <c r="D26" i="55"/>
  <c r="E26" i="55"/>
  <c r="C27" i="55"/>
  <c r="D27" i="55"/>
  <c r="E27" i="55"/>
  <c r="C28" i="55"/>
  <c r="D28" i="55"/>
  <c r="E28" i="55"/>
  <c r="C29" i="55"/>
  <c r="D29" i="55"/>
  <c r="E29" i="55"/>
  <c r="C30" i="55"/>
  <c r="D30" i="55"/>
  <c r="E30" i="55"/>
  <c r="C31" i="55"/>
  <c r="D31" i="55"/>
  <c r="E31" i="55"/>
  <c r="C32" i="55"/>
  <c r="D32" i="55"/>
  <c r="E32" i="55"/>
  <c r="C34" i="55"/>
  <c r="D34" i="55"/>
  <c r="E34" i="55"/>
  <c r="C35" i="55"/>
  <c r="D35" i="55"/>
  <c r="E35" i="55"/>
  <c r="C36" i="55"/>
  <c r="D36" i="55"/>
  <c r="E36" i="55"/>
  <c r="C37" i="55"/>
  <c r="D37" i="55"/>
  <c r="E37" i="55"/>
  <c r="C38" i="55"/>
  <c r="D38" i="55"/>
  <c r="E38" i="55"/>
  <c r="C40" i="55"/>
  <c r="D40" i="55"/>
  <c r="E40" i="55"/>
  <c r="C41" i="55"/>
  <c r="D41" i="55"/>
  <c r="E41" i="55"/>
  <c r="C42" i="55"/>
  <c r="D42" i="55"/>
  <c r="E42" i="55"/>
  <c r="C44" i="55"/>
  <c r="D44" i="55"/>
  <c r="E44" i="55"/>
  <c r="C45" i="55"/>
  <c r="D45" i="55"/>
  <c r="E45" i="55"/>
  <c r="C46" i="55"/>
  <c r="D46" i="55"/>
  <c r="E46" i="55"/>
  <c r="C47" i="55"/>
  <c r="D47" i="55"/>
  <c r="E47" i="55"/>
  <c r="C49" i="55"/>
  <c r="D49" i="55"/>
  <c r="E49" i="55"/>
  <c r="C50" i="55"/>
  <c r="D50" i="55"/>
  <c r="E50" i="55"/>
  <c r="C52" i="55"/>
  <c r="D52" i="55"/>
  <c r="E52" i="55"/>
  <c r="C53" i="55"/>
  <c r="D53" i="55"/>
  <c r="E53" i="55"/>
  <c r="C54" i="55"/>
  <c r="D54" i="55"/>
  <c r="E54" i="55"/>
  <c r="C55" i="55"/>
  <c r="D55" i="55"/>
  <c r="E55" i="55"/>
  <c r="C56" i="55"/>
  <c r="D56" i="55"/>
  <c r="E56" i="55"/>
  <c r="C57" i="55"/>
  <c r="D57" i="55"/>
  <c r="E57" i="55"/>
  <c r="C58" i="55"/>
  <c r="D58" i="55"/>
  <c r="E58" i="55"/>
  <c r="A39" i="52"/>
  <c r="A40" i="52" s="1"/>
  <c r="A41" i="52" s="1"/>
  <c r="A42" i="52" s="1"/>
  <c r="A43" i="52" s="1"/>
  <c r="A44" i="52" s="1"/>
  <c r="A45" i="52" s="1"/>
  <c r="A55" i="52"/>
  <c r="A56" i="52" s="1"/>
  <c r="A57" i="52" s="1"/>
  <c r="A58" i="52" s="1"/>
  <c r="A59" i="52" s="1"/>
  <c r="K90" i="75" l="1"/>
  <c r="K92" i="75"/>
  <c r="D3" i="62"/>
  <c r="D3" i="71"/>
  <c r="A8" i="55"/>
  <c r="B8" i="56"/>
  <c r="D3" i="61"/>
  <c r="D3" i="66"/>
  <c r="D3" i="72"/>
  <c r="E272" i="58"/>
  <c r="F164" i="58"/>
  <c r="F169" i="58"/>
  <c r="F167" i="58"/>
  <c r="E165" i="58"/>
  <c r="D3" i="67"/>
  <c r="D3" i="77"/>
  <c r="G6" i="58"/>
  <c r="D3" i="59"/>
  <c r="D3" i="60"/>
  <c r="D3" i="63"/>
  <c r="D3" i="64"/>
  <c r="D3" i="65"/>
  <c r="E3" i="74"/>
  <c r="D3" i="75"/>
  <c r="D3" i="76"/>
  <c r="D3" i="68"/>
  <c r="D3" i="69"/>
  <c r="G93" i="70"/>
  <c r="D3" i="70"/>
  <c r="D81" i="76"/>
  <c r="L49" i="74"/>
  <c r="L45" i="74"/>
  <c r="L41" i="74"/>
  <c r="G101" i="75"/>
  <c r="E169" i="58"/>
  <c r="E168" i="58"/>
  <c r="K1" i="14"/>
  <c r="D12" i="14" l="1"/>
  <c r="A2" i="14"/>
  <c r="C7" i="53"/>
  <c r="H101" i="14"/>
  <c r="G10" i="58" l="1"/>
  <c r="D44" i="57"/>
  <c r="C4" i="57"/>
  <c r="C44" i="57"/>
  <c r="L8" i="13"/>
  <c r="H8" i="13"/>
  <c r="H9" i="13"/>
  <c r="D9" i="13"/>
  <c r="L9" i="13"/>
  <c r="D8" i="13"/>
  <c r="F7" i="18"/>
  <c r="F9" i="18"/>
  <c r="AB9" i="18" l="1"/>
  <c r="AB7" i="18"/>
  <c r="D46" i="57"/>
  <c r="D52" i="57"/>
  <c r="D60" i="57"/>
  <c r="D50" i="57"/>
  <c r="D67" i="57"/>
  <c r="D55" i="57"/>
  <c r="D63" i="57"/>
  <c r="D62" i="57"/>
  <c r="D51" i="57"/>
  <c r="D70" i="57"/>
  <c r="D71" i="57"/>
  <c r="D59" i="57"/>
  <c r="D48" i="57"/>
  <c r="D58" i="57"/>
  <c r="D69" i="57"/>
  <c r="D56" i="57"/>
  <c r="D47" i="57"/>
  <c r="D65" i="57"/>
  <c r="D53" i="57"/>
  <c r="C50" i="57"/>
  <c r="C56" i="57"/>
  <c r="C65" i="57"/>
  <c r="C70" i="57"/>
  <c r="C46" i="57"/>
  <c r="C53" i="57"/>
  <c r="C58" i="57"/>
  <c r="C62" i="57"/>
  <c r="C67" i="57"/>
  <c r="C71" i="57"/>
  <c r="C47" i="57"/>
  <c r="C51" i="57"/>
  <c r="C55" i="57"/>
  <c r="C59" i="57"/>
  <c r="C63" i="57"/>
  <c r="C48" i="57"/>
  <c r="C52" i="57"/>
  <c r="C60" i="57"/>
  <c r="C69" i="57"/>
  <c r="C8" i="57"/>
  <c r="C36" i="57"/>
  <c r="C20" i="57"/>
  <c r="C16" i="57"/>
  <c r="C28" i="57"/>
  <c r="C9" i="57"/>
  <c r="C25" i="57"/>
  <c r="C6" i="57"/>
  <c r="C22" i="57"/>
  <c r="C7" i="57"/>
  <c r="C23" i="57"/>
  <c r="C12" i="57"/>
  <c r="C13" i="57"/>
  <c r="C29" i="57"/>
  <c r="C10" i="57"/>
  <c r="C26" i="57"/>
  <c r="C11" i="57"/>
  <c r="C27" i="57"/>
  <c r="C24" i="57"/>
  <c r="C17" i="57"/>
  <c r="C33" i="57"/>
  <c r="C14" i="57"/>
  <c r="C30" i="57"/>
  <c r="C15" i="57"/>
  <c r="C31" i="57"/>
  <c r="C32" i="57"/>
  <c r="C5" i="57"/>
  <c r="C21" i="57"/>
  <c r="C37" i="57"/>
  <c r="C18" i="57"/>
  <c r="C34" i="57"/>
  <c r="C19" i="57"/>
  <c r="C35" i="57"/>
  <c r="I50" i="3"/>
  <c r="I51" i="3"/>
  <c r="I52" i="3"/>
  <c r="I53" i="3"/>
  <c r="W78" i="18" l="1"/>
  <c r="W6" i="18"/>
  <c r="W7" i="18"/>
  <c r="W8" i="18"/>
  <c r="W9" i="18"/>
  <c r="W11" i="18"/>
  <c r="W12" i="18"/>
  <c r="W13" i="18"/>
  <c r="W14" i="18"/>
  <c r="W15" i="18"/>
  <c r="W16" i="18"/>
  <c r="W17" i="18"/>
  <c r="W18" i="18"/>
  <c r="W19" i="18"/>
  <c r="W20" i="18"/>
  <c r="W21" i="18"/>
  <c r="W22" i="18"/>
  <c r="W23" i="18"/>
  <c r="W24" i="18"/>
  <c r="W26" i="18"/>
  <c r="W27" i="18"/>
  <c r="W29" i="18"/>
  <c r="W30" i="18"/>
  <c r="W31" i="18"/>
  <c r="W32" i="18"/>
  <c r="W33" i="18"/>
  <c r="W34" i="18"/>
  <c r="W35" i="18"/>
  <c r="W37" i="18"/>
  <c r="W38" i="18"/>
  <c r="W39" i="18"/>
  <c r="W40" i="18"/>
  <c r="W41" i="18"/>
  <c r="W42" i="18"/>
  <c r="W43" i="18"/>
  <c r="W44" i="18"/>
  <c r="W45" i="18"/>
  <c r="W46" i="18"/>
  <c r="W60" i="18"/>
  <c r="W61" i="18"/>
  <c r="W62" i="18"/>
  <c r="W63" i="18"/>
  <c r="W68" i="18"/>
  <c r="W70" i="18"/>
  <c r="W71" i="18"/>
  <c r="W72" i="18"/>
  <c r="W73" i="18"/>
  <c r="W74" i="18"/>
  <c r="W76" i="18"/>
  <c r="Q5" i="18" l="1"/>
  <c r="J61" i="3" l="1"/>
  <c r="J62" i="3"/>
  <c r="J63" i="3"/>
  <c r="J64" i="3"/>
  <c r="J65" i="3"/>
  <c r="J66" i="3"/>
  <c r="J67" i="3"/>
  <c r="J68" i="3"/>
  <c r="J69" i="3"/>
  <c r="J70" i="3"/>
  <c r="J71" i="3"/>
  <c r="J60" i="3"/>
  <c r="J55" i="3"/>
  <c r="J54" i="3"/>
  <c r="J49" i="3"/>
  <c r="J50" i="3"/>
  <c r="J51" i="3"/>
  <c r="J52" i="3"/>
  <c r="J53" i="3"/>
  <c r="J47" i="3"/>
  <c r="J46" i="3"/>
  <c r="J45" i="3"/>
  <c r="D109" i="3" l="1"/>
  <c r="E20" i="18" s="1"/>
  <c r="D30" i="50"/>
  <c r="E30" i="50" s="1"/>
  <c r="D28" i="50"/>
  <c r="E28" i="50" s="1"/>
  <c r="D29" i="50"/>
  <c r="E29" i="50" s="1"/>
  <c r="D27" i="50"/>
  <c r="E27" i="50" s="1"/>
  <c r="D26" i="50"/>
  <c r="J10" i="14"/>
  <c r="D24" i="50"/>
  <c r="G24" i="50" s="1"/>
  <c r="D23" i="50"/>
  <c r="D22" i="50"/>
  <c r="F22" i="50" s="1"/>
  <c r="D16" i="50"/>
  <c r="D17" i="50"/>
  <c r="D18" i="50"/>
  <c r="H18" i="50" s="1"/>
  <c r="D19" i="50"/>
  <c r="H19" i="50" s="1"/>
  <c r="D20" i="50"/>
  <c r="H20" i="50" s="1"/>
  <c r="D21" i="50"/>
  <c r="G21" i="50" s="1"/>
  <c r="D15" i="50"/>
  <c r="B12" i="50"/>
  <c r="G19" i="50" s="1"/>
  <c r="E21" i="18" l="1"/>
  <c r="E22" i="18"/>
  <c r="E18" i="18"/>
  <c r="E19" i="18"/>
  <c r="E26" i="50"/>
  <c r="G23" i="50"/>
  <c r="H24" i="50"/>
  <c r="H22" i="50"/>
  <c r="F23" i="50"/>
  <c r="H21" i="50"/>
  <c r="F21" i="50"/>
  <c r="G20" i="50"/>
  <c r="F20" i="50"/>
  <c r="F19" i="50"/>
  <c r="G22" i="50"/>
  <c r="F24" i="50"/>
  <c r="F18" i="50"/>
  <c r="G18" i="50"/>
  <c r="H23" i="50"/>
  <c r="G17" i="50"/>
  <c r="H17" i="50"/>
  <c r="F17" i="50"/>
  <c r="H15" i="50"/>
  <c r="H16" i="50"/>
  <c r="G16" i="50"/>
  <c r="F16" i="50"/>
  <c r="G15" i="50"/>
  <c r="F15" i="50"/>
  <c r="Q10" i="18" l="1"/>
  <c r="W10" i="18" s="1"/>
  <c r="D71" i="29" l="1"/>
  <c r="C71" i="29"/>
  <c r="D70" i="29"/>
  <c r="C70" i="29"/>
  <c r="D69" i="29"/>
  <c r="C69" i="29"/>
  <c r="D67" i="29"/>
  <c r="C67" i="29"/>
  <c r="D65" i="29"/>
  <c r="C65" i="29"/>
  <c r="D63" i="29"/>
  <c r="C63" i="29"/>
  <c r="D62" i="29"/>
  <c r="C62" i="29"/>
  <c r="D60" i="29"/>
  <c r="C60" i="29"/>
  <c r="D59" i="29"/>
  <c r="C59" i="29"/>
  <c r="D58" i="29"/>
  <c r="C58" i="29"/>
  <c r="D56" i="29"/>
  <c r="C56" i="29"/>
  <c r="D55" i="29"/>
  <c r="C55" i="29"/>
  <c r="D53" i="29"/>
  <c r="C53" i="29"/>
  <c r="D52" i="29"/>
  <c r="C52" i="29"/>
  <c r="D51" i="29"/>
  <c r="C51" i="29"/>
  <c r="D50" i="29"/>
  <c r="C50" i="29"/>
  <c r="D48" i="29"/>
  <c r="C48" i="29"/>
  <c r="D47" i="29"/>
  <c r="C47" i="29"/>
  <c r="D46" i="29"/>
  <c r="C46" i="29"/>
  <c r="J24" i="14"/>
  <c r="C2" i="18" l="1"/>
  <c r="C43" i="23" l="1"/>
  <c r="C44" i="23" s="1"/>
  <c r="AA28" i="18" s="1"/>
  <c r="C46" i="23"/>
  <c r="C48" i="23"/>
  <c r="W5" i="18" s="1"/>
  <c r="AW33" i="23"/>
  <c r="AV33" i="23"/>
  <c r="AU33" i="23"/>
  <c r="AT33" i="23"/>
  <c r="AS33" i="23"/>
  <c r="AR33" i="23"/>
  <c r="AQ33" i="23"/>
  <c r="AP33" i="23"/>
  <c r="AO33" i="23"/>
  <c r="AN33" i="23"/>
  <c r="AM33" i="23"/>
  <c r="AL33" i="23"/>
  <c r="AK33" i="23"/>
  <c r="AJ33" i="23"/>
  <c r="AI33" i="23"/>
  <c r="AH33" i="23"/>
  <c r="AG33" i="23"/>
  <c r="AF33" i="23"/>
  <c r="AE33" i="23"/>
  <c r="AD33" i="23"/>
  <c r="AC33" i="23"/>
  <c r="AB33" i="23"/>
  <c r="AA33" i="23"/>
  <c r="Z33" i="23"/>
  <c r="Y33" i="23"/>
  <c r="X33" i="23"/>
  <c r="W33" i="23"/>
  <c r="V33" i="23"/>
  <c r="U33" i="23"/>
  <c r="T33" i="23"/>
  <c r="S33" i="23"/>
  <c r="R33" i="23"/>
  <c r="Q33" i="23"/>
  <c r="P33" i="23"/>
  <c r="O33" i="23"/>
  <c r="N33" i="23"/>
  <c r="M33" i="23"/>
  <c r="L33" i="23"/>
  <c r="K33" i="23"/>
  <c r="J33" i="23"/>
  <c r="I33" i="23"/>
  <c r="H33" i="23"/>
  <c r="G33" i="23"/>
  <c r="F33" i="23"/>
  <c r="E33" i="23"/>
  <c r="D33" i="23"/>
  <c r="C33" i="23"/>
  <c r="AW32" i="23"/>
  <c r="AV32" i="23"/>
  <c r="AU32" i="23"/>
  <c r="AT32" i="23"/>
  <c r="AS32" i="23"/>
  <c r="AR32" i="23"/>
  <c r="AQ32" i="23"/>
  <c r="AP32" i="23"/>
  <c r="AO32" i="23"/>
  <c r="AN32" i="23"/>
  <c r="AM32" i="23"/>
  <c r="AL32" i="23"/>
  <c r="AK32" i="23"/>
  <c r="AJ32" i="23"/>
  <c r="AI32" i="23"/>
  <c r="AH32" i="23"/>
  <c r="AG32" i="23"/>
  <c r="AF32" i="23"/>
  <c r="AE32" i="23"/>
  <c r="AD32" i="23"/>
  <c r="AC32" i="23"/>
  <c r="AB32" i="23"/>
  <c r="AA32" i="23"/>
  <c r="Z32" i="23"/>
  <c r="Y32" i="23"/>
  <c r="X32" i="23"/>
  <c r="W32" i="23"/>
  <c r="V32" i="23"/>
  <c r="U32" i="23"/>
  <c r="T32" i="23"/>
  <c r="S32" i="23"/>
  <c r="R32" i="23"/>
  <c r="Q32" i="23"/>
  <c r="P32" i="23"/>
  <c r="O32" i="23"/>
  <c r="Y3" i="18" s="1"/>
  <c r="N32" i="23"/>
  <c r="M32" i="23"/>
  <c r="L32" i="23"/>
  <c r="K32" i="23"/>
  <c r="J32" i="23"/>
  <c r="I32" i="23"/>
  <c r="H32" i="23"/>
  <c r="G32" i="23"/>
  <c r="F32" i="23"/>
  <c r="E32" i="23"/>
  <c r="D32" i="23"/>
  <c r="C32" i="23"/>
  <c r="AZ31" i="23"/>
  <c r="AY31" i="23"/>
  <c r="AX31" i="23"/>
  <c r="AW31" i="23"/>
  <c r="AV31" i="23"/>
  <c r="AU31" i="23"/>
  <c r="AT31" i="23"/>
  <c r="AS31" i="23"/>
  <c r="AR31" i="23"/>
  <c r="AQ31" i="23"/>
  <c r="AP31" i="23"/>
  <c r="AO31" i="23"/>
  <c r="AN31" i="23"/>
  <c r="AM31" i="23"/>
  <c r="AL31" i="23"/>
  <c r="AK31" i="23"/>
  <c r="AJ31" i="23"/>
  <c r="AI31" i="23"/>
  <c r="AH31" i="23"/>
  <c r="AG31" i="23"/>
  <c r="AF31" i="23"/>
  <c r="AE31" i="23"/>
  <c r="AD31" i="23"/>
  <c r="AC31" i="23"/>
  <c r="AB31" i="23"/>
  <c r="AA31" i="23"/>
  <c r="Z31" i="23"/>
  <c r="Y31" i="23"/>
  <c r="X31" i="23"/>
  <c r="W31" i="23"/>
  <c r="V31" i="23"/>
  <c r="U31" i="23"/>
  <c r="T31" i="23"/>
  <c r="S31" i="23"/>
  <c r="R31" i="23"/>
  <c r="Q31" i="23"/>
  <c r="P31" i="23"/>
  <c r="O31" i="23"/>
  <c r="X7" i="18" s="1"/>
  <c r="N31" i="23"/>
  <c r="M31" i="23"/>
  <c r="L31" i="23"/>
  <c r="K31" i="23"/>
  <c r="J31" i="23"/>
  <c r="I31" i="23"/>
  <c r="H31" i="23"/>
  <c r="G31" i="23"/>
  <c r="F31" i="23"/>
  <c r="E31" i="23"/>
  <c r="D31" i="23"/>
  <c r="C31" i="23"/>
  <c r="AZ30" i="23"/>
  <c r="AY30" i="23"/>
  <c r="AX30" i="23"/>
  <c r="AW30" i="23"/>
  <c r="AV30" i="23"/>
  <c r="AU30" i="23"/>
  <c r="AT30" i="23"/>
  <c r="AS30" i="23"/>
  <c r="AR30" i="23"/>
  <c r="AQ30" i="23"/>
  <c r="AP30" i="23"/>
  <c r="AO30" i="23"/>
  <c r="AN30" i="23"/>
  <c r="AM30" i="23"/>
  <c r="AL30" i="23"/>
  <c r="AK30" i="23"/>
  <c r="AJ30" i="23"/>
  <c r="AI30" i="23"/>
  <c r="AH30" i="23"/>
  <c r="AG30" i="23"/>
  <c r="AF30" i="23"/>
  <c r="AE30" i="23"/>
  <c r="AD30" i="23"/>
  <c r="AC30" i="23"/>
  <c r="AB30" i="23"/>
  <c r="AA30" i="23"/>
  <c r="Z30" i="23"/>
  <c r="Y30" i="23"/>
  <c r="X30" i="23"/>
  <c r="W30" i="23"/>
  <c r="V30" i="23"/>
  <c r="U30" i="23"/>
  <c r="T30" i="23"/>
  <c r="S30" i="23"/>
  <c r="R30" i="23"/>
  <c r="Q30" i="23"/>
  <c r="P30" i="23"/>
  <c r="O30" i="23"/>
  <c r="N30" i="23"/>
  <c r="M30" i="23"/>
  <c r="L30" i="23"/>
  <c r="K30" i="23"/>
  <c r="J30" i="23"/>
  <c r="I30" i="23"/>
  <c r="H30" i="23"/>
  <c r="G30" i="23"/>
  <c r="F30" i="23"/>
  <c r="E30" i="23"/>
  <c r="D30" i="23"/>
  <c r="C30" i="23"/>
  <c r="AZ29" i="23"/>
  <c r="AY29" i="23"/>
  <c r="AX29" i="23"/>
  <c r="AW29" i="23"/>
  <c r="AV29" i="23"/>
  <c r="AU29" i="23"/>
  <c r="AT29" i="23"/>
  <c r="AS29" i="23"/>
  <c r="AR29" i="23"/>
  <c r="AQ29" i="23"/>
  <c r="AP29" i="23"/>
  <c r="AO29" i="23"/>
  <c r="AN29" i="23"/>
  <c r="AM29" i="23"/>
  <c r="AL29" i="23"/>
  <c r="AK29" i="23"/>
  <c r="AJ29" i="23"/>
  <c r="AI29" i="23"/>
  <c r="AH29" i="23"/>
  <c r="AG29" i="23"/>
  <c r="AF29" i="23"/>
  <c r="AE29" i="23"/>
  <c r="AD29" i="23"/>
  <c r="AC29" i="23"/>
  <c r="AB29" i="23"/>
  <c r="AA29" i="23"/>
  <c r="Z29" i="23"/>
  <c r="Y29" i="23"/>
  <c r="X29" i="23"/>
  <c r="W29" i="23"/>
  <c r="V29" i="23"/>
  <c r="U29" i="23"/>
  <c r="T29" i="23"/>
  <c r="S29" i="23"/>
  <c r="R29" i="23"/>
  <c r="Q29" i="23"/>
  <c r="P29" i="23"/>
  <c r="O29" i="23"/>
  <c r="N29" i="23"/>
  <c r="M29" i="23"/>
  <c r="L29" i="23"/>
  <c r="K29" i="23"/>
  <c r="J29" i="23"/>
  <c r="I29" i="23"/>
  <c r="H29" i="23"/>
  <c r="G29" i="23"/>
  <c r="F29" i="23"/>
  <c r="E29" i="23"/>
  <c r="D29" i="23"/>
  <c r="C29" i="23"/>
  <c r="AZ28" i="23"/>
  <c r="AY28" i="23"/>
  <c r="AX28" i="23"/>
  <c r="AW28" i="23"/>
  <c r="AV28" i="23"/>
  <c r="AU28" i="23"/>
  <c r="AT28" i="23"/>
  <c r="AS28" i="23"/>
  <c r="AR28" i="23"/>
  <c r="AQ28" i="23"/>
  <c r="AP28" i="23"/>
  <c r="AO28" i="23"/>
  <c r="AN28" i="23"/>
  <c r="AM28" i="23"/>
  <c r="AL28" i="23"/>
  <c r="AK28" i="23"/>
  <c r="AJ28" i="23"/>
  <c r="AI28" i="23"/>
  <c r="AH28" i="23"/>
  <c r="AG28" i="23"/>
  <c r="AF28" i="23"/>
  <c r="AE28" i="23"/>
  <c r="AD28" i="23"/>
  <c r="AC28" i="23"/>
  <c r="AB28" i="23"/>
  <c r="AA28" i="23"/>
  <c r="Z28" i="23"/>
  <c r="Y28" i="23"/>
  <c r="X28" i="23"/>
  <c r="W28" i="23"/>
  <c r="V28" i="23"/>
  <c r="U28" i="23"/>
  <c r="T28" i="23"/>
  <c r="S28" i="23"/>
  <c r="R28" i="23"/>
  <c r="Q28" i="23"/>
  <c r="P28" i="23"/>
  <c r="O28" i="23"/>
  <c r="N28" i="23"/>
  <c r="M28" i="23"/>
  <c r="L28" i="23"/>
  <c r="K28" i="23"/>
  <c r="J28" i="23"/>
  <c r="I28" i="23"/>
  <c r="H28" i="23"/>
  <c r="G28" i="23"/>
  <c r="F28" i="23"/>
  <c r="E28" i="23"/>
  <c r="D28" i="23"/>
  <c r="C28" i="23"/>
  <c r="AZ27" i="23"/>
  <c r="AY27" i="23"/>
  <c r="AX27" i="23"/>
  <c r="AW27" i="23"/>
  <c r="AV27" i="23"/>
  <c r="AU27" i="23"/>
  <c r="AT27" i="23"/>
  <c r="AS27" i="23"/>
  <c r="AR27" i="23"/>
  <c r="AQ27" i="23"/>
  <c r="AP27" i="23"/>
  <c r="AO27" i="23"/>
  <c r="AN27" i="23"/>
  <c r="AM27" i="23"/>
  <c r="AL27" i="23"/>
  <c r="AK27" i="23"/>
  <c r="AJ27" i="23"/>
  <c r="AI27" i="23"/>
  <c r="AH27" i="23"/>
  <c r="AG27" i="23"/>
  <c r="AF27" i="23"/>
  <c r="AE27" i="23"/>
  <c r="AD27" i="23"/>
  <c r="AC27" i="23"/>
  <c r="AB27" i="23"/>
  <c r="AA27" i="23"/>
  <c r="Z27" i="23"/>
  <c r="Y27" i="23"/>
  <c r="X27" i="23"/>
  <c r="W27" i="23"/>
  <c r="V27" i="23"/>
  <c r="U27" i="23"/>
  <c r="T27" i="23"/>
  <c r="S27" i="23"/>
  <c r="R27" i="23"/>
  <c r="Q27" i="23"/>
  <c r="P27" i="23"/>
  <c r="O27" i="23"/>
  <c r="N27" i="23"/>
  <c r="M27" i="23"/>
  <c r="L27" i="23"/>
  <c r="K27" i="23"/>
  <c r="J27" i="23"/>
  <c r="I27" i="23"/>
  <c r="H27" i="23"/>
  <c r="G27" i="23"/>
  <c r="F27" i="23"/>
  <c r="E27" i="23"/>
  <c r="D27" i="23"/>
  <c r="C27" i="23"/>
  <c r="AZ26" i="23"/>
  <c r="AY26" i="23"/>
  <c r="AX26" i="23"/>
  <c r="AW26" i="23"/>
  <c r="AV26" i="23"/>
  <c r="AU26" i="23"/>
  <c r="AT26" i="23"/>
  <c r="AS26" i="23"/>
  <c r="AR26" i="23"/>
  <c r="AQ26" i="23"/>
  <c r="AP26" i="23"/>
  <c r="AO26" i="23"/>
  <c r="AN26" i="23"/>
  <c r="AM26" i="23"/>
  <c r="AL26" i="23"/>
  <c r="AK26" i="23"/>
  <c r="AJ26" i="23"/>
  <c r="AI26" i="23"/>
  <c r="AH26" i="23"/>
  <c r="AG26" i="23"/>
  <c r="AF26" i="23"/>
  <c r="AE26" i="23"/>
  <c r="AD26" i="23"/>
  <c r="AC26" i="23"/>
  <c r="AB26" i="23"/>
  <c r="AA26" i="23"/>
  <c r="Z26" i="23"/>
  <c r="Y26" i="23"/>
  <c r="X26" i="23"/>
  <c r="W26" i="23"/>
  <c r="V26" i="23"/>
  <c r="U26" i="23"/>
  <c r="T26" i="23"/>
  <c r="S26" i="23"/>
  <c r="R26" i="23"/>
  <c r="Q26" i="23"/>
  <c r="P26" i="23"/>
  <c r="O26" i="23"/>
  <c r="N26" i="23"/>
  <c r="M26" i="23"/>
  <c r="L26" i="23"/>
  <c r="K26" i="23"/>
  <c r="J26" i="23"/>
  <c r="I26" i="23"/>
  <c r="H26" i="23"/>
  <c r="G26" i="23"/>
  <c r="F26" i="23"/>
  <c r="E26" i="23"/>
  <c r="D26" i="23"/>
  <c r="C26" i="23"/>
  <c r="AZ25" i="23"/>
  <c r="AY25" i="23"/>
  <c r="AX25" i="23"/>
  <c r="AW25" i="23"/>
  <c r="AV25" i="23"/>
  <c r="AU25" i="23"/>
  <c r="AT25" i="23"/>
  <c r="AS25" i="23"/>
  <c r="AR25" i="23"/>
  <c r="AQ25" i="23"/>
  <c r="AP25" i="23"/>
  <c r="AO25" i="23"/>
  <c r="AN25" i="23"/>
  <c r="AM25" i="23"/>
  <c r="AL25" i="23"/>
  <c r="AK25" i="23"/>
  <c r="AJ25" i="23"/>
  <c r="AI25" i="23"/>
  <c r="AH25" i="23"/>
  <c r="AG25" i="23"/>
  <c r="AF25" i="23"/>
  <c r="AE25" i="23"/>
  <c r="AD25" i="23"/>
  <c r="AC25" i="23"/>
  <c r="AB25" i="23"/>
  <c r="AA25" i="23"/>
  <c r="Z25" i="23"/>
  <c r="Y25" i="23"/>
  <c r="X25" i="23"/>
  <c r="W25" i="23"/>
  <c r="V25" i="23"/>
  <c r="U25" i="23"/>
  <c r="T25" i="23"/>
  <c r="S25" i="23"/>
  <c r="R25" i="23"/>
  <c r="Q25" i="23"/>
  <c r="P25" i="23"/>
  <c r="O25" i="23"/>
  <c r="N25" i="23"/>
  <c r="M25" i="23"/>
  <c r="L25" i="23"/>
  <c r="K25" i="23"/>
  <c r="J25" i="23"/>
  <c r="I25" i="23"/>
  <c r="H25" i="23"/>
  <c r="G25" i="23"/>
  <c r="F25" i="23"/>
  <c r="E25" i="23"/>
  <c r="D25" i="23"/>
  <c r="C25" i="23"/>
  <c r="AZ24" i="23"/>
  <c r="AY24" i="23"/>
  <c r="AX24" i="23"/>
  <c r="AW24" i="23"/>
  <c r="AV24" i="23"/>
  <c r="AU24" i="23"/>
  <c r="AT24" i="23"/>
  <c r="AS24" i="23"/>
  <c r="AR24" i="23"/>
  <c r="AQ24" i="23"/>
  <c r="AP24" i="23"/>
  <c r="AO24" i="23"/>
  <c r="AN24" i="23"/>
  <c r="AM24" i="23"/>
  <c r="AL24" i="23"/>
  <c r="AK24" i="23"/>
  <c r="AJ24" i="23"/>
  <c r="AI24" i="23"/>
  <c r="AH24" i="23"/>
  <c r="AG24" i="23"/>
  <c r="AF24" i="23"/>
  <c r="AE24" i="23"/>
  <c r="AD24" i="23"/>
  <c r="AC24" i="23"/>
  <c r="AB24" i="23"/>
  <c r="AA24" i="23"/>
  <c r="Z24" i="23"/>
  <c r="Y24" i="23"/>
  <c r="X24" i="23"/>
  <c r="W24" i="23"/>
  <c r="V24" i="23"/>
  <c r="U24" i="23"/>
  <c r="T24" i="23"/>
  <c r="S24" i="23"/>
  <c r="R24" i="23"/>
  <c r="Q24" i="23"/>
  <c r="P24" i="23"/>
  <c r="O24" i="23"/>
  <c r="N24" i="23"/>
  <c r="M24" i="23"/>
  <c r="L24" i="23"/>
  <c r="K24" i="23"/>
  <c r="J24" i="23"/>
  <c r="I24" i="23"/>
  <c r="H24" i="23"/>
  <c r="G24" i="23"/>
  <c r="F24" i="23"/>
  <c r="E24" i="23"/>
  <c r="D24" i="23"/>
  <c r="C24" i="23"/>
  <c r="AZ23" i="23"/>
  <c r="AY23" i="23"/>
  <c r="AX23" i="23"/>
  <c r="AW23" i="23"/>
  <c r="AV23" i="23"/>
  <c r="AU23" i="23"/>
  <c r="AT23" i="23"/>
  <c r="AS23" i="23"/>
  <c r="AR23" i="23"/>
  <c r="AQ23" i="23"/>
  <c r="AP23" i="23"/>
  <c r="AO23" i="23"/>
  <c r="AN23" i="23"/>
  <c r="AM23" i="23"/>
  <c r="AL23" i="23"/>
  <c r="AK23" i="23"/>
  <c r="AJ23" i="23"/>
  <c r="AI23" i="23"/>
  <c r="AH23" i="23"/>
  <c r="AG23" i="23"/>
  <c r="AF23" i="23"/>
  <c r="AE23" i="23"/>
  <c r="AD23" i="23"/>
  <c r="AC23" i="23"/>
  <c r="AB23" i="23"/>
  <c r="AA23" i="23"/>
  <c r="Z23" i="23"/>
  <c r="Y23" i="23"/>
  <c r="X23" i="23"/>
  <c r="W23" i="23"/>
  <c r="V23" i="23"/>
  <c r="U23" i="23"/>
  <c r="T23" i="23"/>
  <c r="S23" i="23"/>
  <c r="R23" i="23"/>
  <c r="Q23" i="23"/>
  <c r="P23" i="23"/>
  <c r="O23" i="23"/>
  <c r="N23" i="23"/>
  <c r="M23" i="23"/>
  <c r="L23" i="23"/>
  <c r="K23" i="23"/>
  <c r="J23" i="23"/>
  <c r="I23" i="23"/>
  <c r="H23" i="23"/>
  <c r="G23" i="23"/>
  <c r="F23" i="23"/>
  <c r="E23" i="23"/>
  <c r="D23" i="23"/>
  <c r="C23" i="23"/>
  <c r="AZ22" i="23"/>
  <c r="AY22" i="23"/>
  <c r="AX22" i="23"/>
  <c r="AW22" i="23"/>
  <c r="AV22" i="23"/>
  <c r="AU22" i="23"/>
  <c r="AT22" i="23"/>
  <c r="AS22" i="23"/>
  <c r="AR22" i="23"/>
  <c r="AQ22" i="23"/>
  <c r="AP22" i="23"/>
  <c r="AO22" i="23"/>
  <c r="AN22" i="23"/>
  <c r="AM22" i="23"/>
  <c r="AL22" i="23"/>
  <c r="AK22" i="23"/>
  <c r="AJ22" i="23"/>
  <c r="AI22" i="23"/>
  <c r="AH22" i="23"/>
  <c r="AG22" i="23"/>
  <c r="AF22" i="23"/>
  <c r="AE22" i="23"/>
  <c r="AD22" i="23"/>
  <c r="AC22" i="23"/>
  <c r="AB22" i="23"/>
  <c r="AA22" i="23"/>
  <c r="Z22" i="23"/>
  <c r="Y22" i="23"/>
  <c r="X22" i="23"/>
  <c r="W22" i="23"/>
  <c r="V22" i="23"/>
  <c r="U22" i="23"/>
  <c r="T22" i="23"/>
  <c r="S22" i="23"/>
  <c r="R22" i="23"/>
  <c r="Q22" i="23"/>
  <c r="P22" i="23"/>
  <c r="O22" i="23"/>
  <c r="N22" i="23"/>
  <c r="M22" i="23"/>
  <c r="L22" i="23"/>
  <c r="K22" i="23"/>
  <c r="J22" i="23"/>
  <c r="I22" i="23"/>
  <c r="H22" i="23"/>
  <c r="G22" i="23"/>
  <c r="F22" i="23"/>
  <c r="E22" i="23"/>
  <c r="D22" i="23"/>
  <c r="C22" i="23"/>
  <c r="AZ21" i="23"/>
  <c r="AY21" i="23"/>
  <c r="AX21" i="23"/>
  <c r="AW21" i="23"/>
  <c r="AV21" i="23"/>
  <c r="AU21" i="23"/>
  <c r="AT21" i="23"/>
  <c r="AS21" i="23"/>
  <c r="AR21" i="23"/>
  <c r="AQ21" i="23"/>
  <c r="AP21" i="23"/>
  <c r="AO21" i="23"/>
  <c r="AN21" i="23"/>
  <c r="AM21" i="23"/>
  <c r="AL21" i="23"/>
  <c r="AK21" i="23"/>
  <c r="AJ21" i="23"/>
  <c r="AI21" i="23"/>
  <c r="AH21" i="23"/>
  <c r="AG21" i="23"/>
  <c r="AF21" i="23"/>
  <c r="AE21" i="23"/>
  <c r="AD21" i="23"/>
  <c r="AC21" i="23"/>
  <c r="AB21" i="23"/>
  <c r="AA21" i="23"/>
  <c r="Z21" i="23"/>
  <c r="Y21" i="23"/>
  <c r="X21" i="23"/>
  <c r="W21" i="23"/>
  <c r="V21" i="23"/>
  <c r="U21" i="23"/>
  <c r="T21" i="23"/>
  <c r="S21" i="23"/>
  <c r="R21" i="23"/>
  <c r="Q21" i="23"/>
  <c r="P21" i="23"/>
  <c r="O21" i="23"/>
  <c r="N21" i="23"/>
  <c r="M21" i="23"/>
  <c r="L21" i="23"/>
  <c r="K21" i="23"/>
  <c r="J21" i="23"/>
  <c r="I21" i="23"/>
  <c r="H21" i="23"/>
  <c r="G21" i="23"/>
  <c r="F21" i="23"/>
  <c r="E21" i="23"/>
  <c r="D21" i="23"/>
  <c r="C21" i="23"/>
  <c r="AG20" i="23"/>
  <c r="AH20" i="23" s="1"/>
  <c r="AI20" i="23" s="1"/>
  <c r="AJ20" i="23" s="1"/>
  <c r="AK20" i="23" s="1"/>
  <c r="AL20" i="23" s="1"/>
  <c r="AM20" i="23" s="1"/>
  <c r="AN20" i="23" s="1"/>
  <c r="AO20" i="23" s="1"/>
  <c r="AP20" i="23" s="1"/>
  <c r="AQ20" i="23" s="1"/>
  <c r="AR20" i="23" s="1"/>
  <c r="AS20" i="23" s="1"/>
  <c r="AT20" i="23" s="1"/>
  <c r="AU20" i="23" s="1"/>
  <c r="AV20" i="23" s="1"/>
  <c r="AW20" i="23" s="1"/>
  <c r="AX20" i="23" s="1"/>
  <c r="AY20" i="23" s="1"/>
  <c r="AZ20" i="23" s="1"/>
  <c r="AZ17" i="23"/>
  <c r="AY17" i="23"/>
  <c r="AX17" i="23"/>
  <c r="AZ33" i="23" s="1"/>
  <c r="AZ16" i="23"/>
  <c r="AY16" i="23"/>
  <c r="AX16" i="23"/>
  <c r="AX32" i="23" s="1"/>
  <c r="AD28" i="18" l="1"/>
  <c r="AC28" i="18"/>
  <c r="W2" i="18"/>
  <c r="AA45" i="18"/>
  <c r="AA9" i="18"/>
  <c r="AA7" i="18"/>
  <c r="Y31" i="18"/>
  <c r="Y33" i="18"/>
  <c r="Y74" i="18"/>
  <c r="Y8" i="18"/>
  <c r="Y30" i="18"/>
  <c r="Y37" i="18"/>
  <c r="Y27" i="18"/>
  <c r="Y32" i="18"/>
  <c r="Y73" i="18"/>
  <c r="Y29" i="18"/>
  <c r="AY33" i="23"/>
  <c r="Y46" i="18"/>
  <c r="Y61" i="18"/>
  <c r="Y62" i="18"/>
  <c r="Y63" i="18"/>
  <c r="Y60" i="18"/>
  <c r="X34" i="18"/>
  <c r="X35" i="18"/>
  <c r="Y72" i="18"/>
  <c r="Y6" i="18"/>
  <c r="X43" i="18"/>
  <c r="X9" i="18"/>
  <c r="X44" i="18"/>
  <c r="Y41" i="18"/>
  <c r="Y38" i="18"/>
  <c r="Y40" i="18"/>
  <c r="Y71" i="18"/>
  <c r="Y42" i="18"/>
  <c r="Y39" i="18"/>
  <c r="Y45" i="18"/>
  <c r="Y70" i="18"/>
  <c r="C45" i="23"/>
  <c r="C47" i="23"/>
  <c r="D46" i="23"/>
  <c r="U28" i="18" s="1"/>
  <c r="D44" i="23"/>
  <c r="AY32" i="23"/>
  <c r="AZ32" i="23"/>
  <c r="AX33" i="23"/>
  <c r="S28" i="18" l="1"/>
  <c r="R28" i="18"/>
  <c r="D47" i="23"/>
  <c r="D45" i="23"/>
  <c r="U3" i="18"/>
  <c r="U6" i="18"/>
  <c r="U10" i="18"/>
  <c r="U30" i="18"/>
  <c r="U37" i="18"/>
  <c r="U40" i="18"/>
  <c r="U46" i="18"/>
  <c r="U61" i="18"/>
  <c r="U71" i="18"/>
  <c r="U27" i="18"/>
  <c r="U73" i="18"/>
  <c r="U5" i="18"/>
  <c r="U29" i="18"/>
  <c r="U39" i="18"/>
  <c r="U70" i="18"/>
  <c r="U7" i="18"/>
  <c r="U31" i="18"/>
  <c r="U41" i="18"/>
  <c r="U62" i="18"/>
  <c r="U72" i="18"/>
  <c r="U4" i="18"/>
  <c r="U8" i="18"/>
  <c r="U32" i="18"/>
  <c r="U38" i="18"/>
  <c r="U42" i="18"/>
  <c r="U63" i="18"/>
  <c r="U9" i="18"/>
  <c r="U33" i="18"/>
  <c r="U45" i="18"/>
  <c r="U60" i="18"/>
  <c r="U74" i="18"/>
  <c r="S12" i="18"/>
  <c r="S16" i="18"/>
  <c r="S20" i="18"/>
  <c r="S24" i="18"/>
  <c r="S30" i="18"/>
  <c r="S34" i="18"/>
  <c r="R7" i="18"/>
  <c r="R43" i="18"/>
  <c r="R62" i="18"/>
  <c r="R71" i="18"/>
  <c r="S18" i="18"/>
  <c r="R5" i="18"/>
  <c r="R35" i="18"/>
  <c r="R68" i="18"/>
  <c r="S15" i="18"/>
  <c r="S23" i="18"/>
  <c r="S37" i="18"/>
  <c r="R6" i="18"/>
  <c r="R70" i="18"/>
  <c r="S7" i="18"/>
  <c r="S13" i="18"/>
  <c r="S17" i="18"/>
  <c r="S21" i="18"/>
  <c r="S26" i="18"/>
  <c r="S31" i="18"/>
  <c r="S35" i="18"/>
  <c r="S43" i="18"/>
  <c r="R4" i="18"/>
  <c r="R8" i="18"/>
  <c r="R34" i="18"/>
  <c r="R44" i="18"/>
  <c r="R63" i="18"/>
  <c r="R72" i="18"/>
  <c r="S9" i="18"/>
  <c r="S14" i="18"/>
  <c r="S22" i="18"/>
  <c r="S27" i="18"/>
  <c r="S32" i="18"/>
  <c r="S44" i="18"/>
  <c r="S78" i="18"/>
  <c r="R9" i="18"/>
  <c r="R60" i="18"/>
  <c r="R73" i="18"/>
  <c r="S11" i="18"/>
  <c r="S19" i="18"/>
  <c r="S29" i="18"/>
  <c r="S33" i="18"/>
  <c r="S46" i="18"/>
  <c r="R3" i="18"/>
  <c r="R10" i="18"/>
  <c r="R61" i="18"/>
  <c r="R74" i="18"/>
  <c r="R49" i="3"/>
  <c r="M49" i="3"/>
  <c r="F49" i="3"/>
  <c r="V15" i="18" l="1"/>
  <c r="V28" i="18"/>
  <c r="T34" i="18"/>
  <c r="T28" i="18"/>
  <c r="V35" i="18"/>
  <c r="V12" i="18"/>
  <c r="V31" i="18"/>
  <c r="V26" i="18"/>
  <c r="V62" i="18"/>
  <c r="V44" i="18"/>
  <c r="V11" i="18"/>
  <c r="V33" i="18"/>
  <c r="V43" i="18"/>
  <c r="V8" i="18"/>
  <c r="V61" i="18"/>
  <c r="V68" i="18"/>
  <c r="V17" i="18"/>
  <c r="V20" i="18"/>
  <c r="V14" i="18"/>
  <c r="V23" i="18"/>
  <c r="V2" i="18"/>
  <c r="V18" i="18"/>
  <c r="V60" i="18"/>
  <c r="V34" i="18"/>
  <c r="V6" i="18"/>
  <c r="V29" i="18"/>
  <c r="V74" i="18"/>
  <c r="V22" i="18"/>
  <c r="V27" i="18"/>
  <c r="V3" i="18"/>
  <c r="V42" i="18"/>
  <c r="V78" i="18"/>
  <c r="V41" i="18"/>
  <c r="V21" i="18"/>
  <c r="V72" i="18"/>
  <c r="V37" i="18"/>
  <c r="V16" i="18"/>
  <c r="V46" i="18"/>
  <c r="V71" i="18"/>
  <c r="V39" i="18"/>
  <c r="V19" i="18"/>
  <c r="V70" i="18"/>
  <c r="V73" i="18"/>
  <c r="V45" i="18"/>
  <c r="V30" i="18"/>
  <c r="V13" i="18"/>
  <c r="V63" i="18"/>
  <c r="V40" i="18"/>
  <c r="V24" i="18"/>
  <c r="V38" i="18"/>
  <c r="V76" i="18"/>
  <c r="V32" i="18"/>
  <c r="T10" i="18"/>
  <c r="T43" i="18"/>
  <c r="T9" i="18"/>
  <c r="T44" i="18"/>
  <c r="T35" i="18"/>
  <c r="Q95" i="3"/>
  <c r="P94" i="3"/>
  <c r="L95" i="3"/>
  <c r="K94" i="3"/>
  <c r="S2" i="18" l="1"/>
  <c r="M95" i="13" l="1"/>
  <c r="I95" i="13"/>
  <c r="E95" i="13"/>
  <c r="L94" i="13"/>
  <c r="H94" i="13"/>
  <c r="D94" i="13"/>
  <c r="C72" i="18" l="1"/>
  <c r="AA72" i="18" s="1"/>
  <c r="AB72" i="18" l="1"/>
  <c r="S72" i="18"/>
  <c r="AC72" i="18"/>
  <c r="X72" i="18"/>
  <c r="Z72" i="18"/>
  <c r="AE72" i="18"/>
  <c r="AJ72" i="18" s="1"/>
  <c r="P72" i="18"/>
  <c r="T72" i="18" s="1"/>
  <c r="AH72" i="18" l="1"/>
  <c r="AL72" i="18" s="1"/>
  <c r="AD72" i="18"/>
  <c r="AE34" i="18"/>
  <c r="AJ34" i="18" s="1"/>
  <c r="AI72" i="18" l="1"/>
  <c r="AK72" i="18"/>
  <c r="AH34" i="18"/>
  <c r="AL34" i="18" s="1"/>
  <c r="C6" i="18"/>
  <c r="AA6" i="18" s="1"/>
  <c r="AB6" i="18" l="1"/>
  <c r="X6" i="18"/>
  <c r="P6" i="18"/>
  <c r="T6" i="18" s="1"/>
  <c r="S6" i="18"/>
  <c r="AD6" i="18" l="1"/>
  <c r="AC6" i="18"/>
  <c r="Q9" i="13" l="1"/>
  <c r="H8" i="18" s="1"/>
  <c r="Q8" i="13"/>
  <c r="H7" i="18" s="1"/>
  <c r="V9" i="3" l="1"/>
  <c r="I8" i="18" s="1"/>
  <c r="J8" i="18" s="1"/>
  <c r="V8" i="3"/>
  <c r="I7" i="18" s="1"/>
  <c r="J7" i="18" s="1"/>
  <c r="P37" i="18" l="1"/>
  <c r="AE35" i="18" l="1"/>
  <c r="AJ35" i="18" s="1"/>
  <c r="AH35" i="18" l="1"/>
  <c r="AL35" i="18" s="1"/>
  <c r="Z68" i="18" l="1"/>
  <c r="AE68" i="18" s="1"/>
  <c r="AJ68" i="18" s="1"/>
  <c r="C76" i="18"/>
  <c r="D99" i="13"/>
  <c r="D94" i="3"/>
  <c r="AH68" i="18" l="1"/>
  <c r="AL68" i="18" s="1"/>
  <c r="S76" i="18"/>
  <c r="Y24" i="3"/>
  <c r="Y23" i="3"/>
  <c r="T23" i="13"/>
  <c r="Y17" i="3"/>
  <c r="S17" i="13"/>
  <c r="W17" i="3"/>
  <c r="AK68" i="18" l="1"/>
  <c r="AI68" i="18"/>
  <c r="AT62" i="15"/>
  <c r="AT58" i="15"/>
  <c r="AT54" i="15"/>
  <c r="AT51" i="15"/>
  <c r="AT50" i="15"/>
  <c r="AT49" i="15"/>
  <c r="AT45" i="15"/>
  <c r="AT42" i="15"/>
  <c r="AT65" i="15"/>
  <c r="AT33" i="15"/>
  <c r="AT30" i="15"/>
  <c r="AT28" i="15"/>
  <c r="AT26" i="15"/>
  <c r="AT25" i="15"/>
  <c r="AT24" i="15"/>
  <c r="AT23" i="15"/>
  <c r="AT21" i="15"/>
  <c r="AT20" i="15"/>
  <c r="AT19" i="15"/>
  <c r="AT29" i="15"/>
  <c r="AT56" i="15"/>
  <c r="AT14" i="15"/>
  <c r="AT13" i="15"/>
  <c r="AT11" i="15"/>
  <c r="AT10" i="15"/>
  <c r="AT9" i="15"/>
  <c r="AT57" i="15"/>
  <c r="AT6" i="15"/>
  <c r="AT61" i="15"/>
  <c r="Z6" i="18" l="1"/>
  <c r="AT38" i="15"/>
  <c r="AT46" i="15"/>
  <c r="AT15" i="15"/>
  <c r="AT27" i="15"/>
  <c r="AT31" i="15"/>
  <c r="AT35" i="15"/>
  <c r="AT39" i="15"/>
  <c r="AT43" i="15"/>
  <c r="AT47" i="15"/>
  <c r="AT55" i="15"/>
  <c r="AT59" i="15"/>
  <c r="AT63" i="15"/>
  <c r="AT8" i="15"/>
  <c r="AT12" i="15"/>
  <c r="AT16" i="15"/>
  <c r="AT32" i="15"/>
  <c r="AT36" i="15"/>
  <c r="AT40" i="15"/>
  <c r="AT44" i="15"/>
  <c r="AT52" i="15"/>
  <c r="AT60" i="15"/>
  <c r="AT64" i="15"/>
  <c r="AT22" i="15"/>
  <c r="AT5" i="15"/>
  <c r="AT41" i="15"/>
  <c r="AT53" i="15"/>
  <c r="P74" i="18"/>
  <c r="T74" i="18" s="1"/>
  <c r="P73" i="18"/>
  <c r="T73" i="18" s="1"/>
  <c r="C74" i="18"/>
  <c r="AA74" i="18" s="1"/>
  <c r="C73" i="18"/>
  <c r="AA73" i="18" s="1"/>
  <c r="AB74" i="18" l="1"/>
  <c r="AB73" i="18"/>
  <c r="AE6" i="18"/>
  <c r="AJ6" i="18" s="1"/>
  <c r="C4" i="29"/>
  <c r="S73" i="18"/>
  <c r="X73" i="18"/>
  <c r="S74" i="18"/>
  <c r="X74" i="18"/>
  <c r="P31" i="13"/>
  <c r="P42" i="13"/>
  <c r="P46" i="13"/>
  <c r="P43" i="13"/>
  <c r="P47" i="13"/>
  <c r="P55" i="13"/>
  <c r="P44" i="13"/>
  <c r="P54" i="13"/>
  <c r="P41" i="13"/>
  <c r="P45" i="13"/>
  <c r="P10" i="13"/>
  <c r="P34" i="13"/>
  <c r="P28" i="13"/>
  <c r="P33" i="13"/>
  <c r="P32" i="13"/>
  <c r="U31" i="3"/>
  <c r="U34" i="3"/>
  <c r="U28" i="3"/>
  <c r="U33" i="3"/>
  <c r="U32" i="3"/>
  <c r="Q24" i="13"/>
  <c r="H20" i="18" s="1"/>
  <c r="V23" i="3"/>
  <c r="I19" i="18" s="1"/>
  <c r="Q23" i="13"/>
  <c r="H19" i="18" s="1"/>
  <c r="V24" i="3"/>
  <c r="I20" i="18" s="1"/>
  <c r="J20" i="18" s="1"/>
  <c r="Q17" i="13"/>
  <c r="H14" i="18" s="1"/>
  <c r="V17" i="3"/>
  <c r="I14" i="18" s="1"/>
  <c r="V20" i="3"/>
  <c r="I17" i="18" s="1"/>
  <c r="Q20" i="13"/>
  <c r="H17" i="18" s="1"/>
  <c r="D62" i="14"/>
  <c r="P70" i="18"/>
  <c r="T70" i="18" s="1"/>
  <c r="C70" i="18"/>
  <c r="AA70" i="18" s="1"/>
  <c r="D53" i="14"/>
  <c r="D57" i="14"/>
  <c r="D26" i="14"/>
  <c r="D25" i="14"/>
  <c r="D21" i="14"/>
  <c r="D20" i="14"/>
  <c r="D19" i="14"/>
  <c r="D17" i="14"/>
  <c r="D18" i="14"/>
  <c r="D13" i="14"/>
  <c r="D14" i="14"/>
  <c r="D15" i="14"/>
  <c r="D11" i="14"/>
  <c r="J17" i="18" l="1"/>
  <c r="J14" i="18"/>
  <c r="J19" i="18"/>
  <c r="I79" i="18"/>
  <c r="H79" i="18"/>
  <c r="AB70" i="18"/>
  <c r="AH6" i="18"/>
  <c r="AL6" i="18" s="1"/>
  <c r="C37" i="29"/>
  <c r="C35" i="29"/>
  <c r="C23" i="29"/>
  <c r="C8" i="29"/>
  <c r="C32" i="29"/>
  <c r="C14" i="29"/>
  <c r="C30" i="29"/>
  <c r="C24" i="29"/>
  <c r="C17" i="29"/>
  <c r="C33" i="29"/>
  <c r="C7" i="29"/>
  <c r="C11" i="29"/>
  <c r="C16" i="29"/>
  <c r="C36" i="29"/>
  <c r="C18" i="29"/>
  <c r="C34" i="29"/>
  <c r="C5" i="29"/>
  <c r="C21" i="29"/>
  <c r="C27" i="29"/>
  <c r="C15" i="29"/>
  <c r="C20" i="29"/>
  <c r="C6" i="29"/>
  <c r="C22" i="29"/>
  <c r="C9" i="29"/>
  <c r="C25" i="29"/>
  <c r="C19" i="29"/>
  <c r="C31" i="29"/>
  <c r="C28" i="29"/>
  <c r="C10" i="29"/>
  <c r="C26" i="29"/>
  <c r="C12" i="29"/>
  <c r="C13" i="29"/>
  <c r="C29" i="29"/>
  <c r="Z74" i="18"/>
  <c r="Z73" i="18"/>
  <c r="S70" i="18"/>
  <c r="Z70" i="18" s="1"/>
  <c r="X70" i="18"/>
  <c r="P71" i="18"/>
  <c r="T71" i="18" s="1"/>
  <c r="T45" i="18"/>
  <c r="P42" i="18"/>
  <c r="T42" i="18" s="1"/>
  <c r="P41" i="18"/>
  <c r="T41" i="18" s="1"/>
  <c r="P40" i="18"/>
  <c r="T40" i="18" s="1"/>
  <c r="P39" i="18"/>
  <c r="T39" i="18" s="1"/>
  <c r="P31" i="18"/>
  <c r="T31" i="18" s="1"/>
  <c r="P32" i="18"/>
  <c r="T32" i="18" s="1"/>
  <c r="P33" i="18"/>
  <c r="T33" i="18" s="1"/>
  <c r="C71" i="18"/>
  <c r="AA71" i="18" s="1"/>
  <c r="B1" i="15"/>
  <c r="C1" i="15" s="1"/>
  <c r="D1" i="15" s="1"/>
  <c r="E1" i="15" s="1"/>
  <c r="F1" i="15" s="1"/>
  <c r="G1" i="15" s="1"/>
  <c r="H1" i="15" s="1"/>
  <c r="I1" i="15" s="1"/>
  <c r="J1" i="15" s="1"/>
  <c r="K1" i="15" s="1"/>
  <c r="L1" i="15" s="1"/>
  <c r="M1" i="15" s="1"/>
  <c r="N1" i="15" s="1"/>
  <c r="O1" i="15" s="1"/>
  <c r="P1" i="15" s="1"/>
  <c r="Q1" i="15" s="1"/>
  <c r="R1" i="15" s="1"/>
  <c r="S1" i="15" s="1"/>
  <c r="T1" i="15" s="1"/>
  <c r="U1" i="15" s="1"/>
  <c r="V1" i="15" s="1"/>
  <c r="W1" i="15" s="1"/>
  <c r="X1" i="15" s="1"/>
  <c r="Y1" i="15" s="1"/>
  <c r="Z1" i="15" s="1"/>
  <c r="AA1" i="15" s="1"/>
  <c r="AB1" i="15" s="1"/>
  <c r="AC1" i="15" s="1"/>
  <c r="AD1" i="15" s="1"/>
  <c r="AE1" i="15" s="1"/>
  <c r="AF1" i="15" s="1"/>
  <c r="AG1" i="15" s="1"/>
  <c r="AH1" i="15" s="1"/>
  <c r="AI1" i="15" s="1"/>
  <c r="AJ1" i="15" s="1"/>
  <c r="AK1" i="15" s="1"/>
  <c r="AL1" i="15" s="1"/>
  <c r="AM1" i="15" s="1"/>
  <c r="AN1" i="15" s="1"/>
  <c r="AO1" i="15" s="1"/>
  <c r="AP1" i="15" s="1"/>
  <c r="AQ1" i="15" s="1"/>
  <c r="AR1" i="15" s="1"/>
  <c r="AS1" i="15" s="1"/>
  <c r="S67" i="3"/>
  <c r="S66" i="3"/>
  <c r="S65" i="3"/>
  <c r="S64" i="3"/>
  <c r="S63" i="3"/>
  <c r="S62" i="3"/>
  <c r="S61" i="3"/>
  <c r="S60" i="3"/>
  <c r="S59" i="3"/>
  <c r="S58" i="3"/>
  <c r="R67" i="3"/>
  <c r="R66" i="3"/>
  <c r="R65" i="3"/>
  <c r="R64" i="3"/>
  <c r="R63" i="3"/>
  <c r="R62" i="3"/>
  <c r="R61" i="3"/>
  <c r="R60" i="3"/>
  <c r="R59" i="3"/>
  <c r="R58" i="3"/>
  <c r="Q67" i="3"/>
  <c r="Q66" i="3"/>
  <c r="Q64" i="3"/>
  <c r="Q65" i="3" s="1"/>
  <c r="Q63" i="3"/>
  <c r="Q62" i="3"/>
  <c r="Q61" i="3"/>
  <c r="Q60" i="3"/>
  <c r="N67" i="3"/>
  <c r="N66" i="3"/>
  <c r="N65" i="3"/>
  <c r="N64" i="3"/>
  <c r="N63" i="3"/>
  <c r="N62" i="3"/>
  <c r="N61" i="3"/>
  <c r="N60" i="3"/>
  <c r="N59" i="3"/>
  <c r="N58" i="3"/>
  <c r="M67" i="3"/>
  <c r="M66" i="3"/>
  <c r="M65" i="3"/>
  <c r="M64" i="3"/>
  <c r="M63" i="3"/>
  <c r="M62" i="3"/>
  <c r="M61" i="3"/>
  <c r="M60" i="3"/>
  <c r="M59" i="3"/>
  <c r="M58" i="3"/>
  <c r="L67" i="3"/>
  <c r="L66" i="3"/>
  <c r="L64" i="3"/>
  <c r="L63" i="3"/>
  <c r="L62" i="3"/>
  <c r="L61" i="3"/>
  <c r="L60" i="3"/>
  <c r="G65" i="3"/>
  <c r="G67" i="3"/>
  <c r="G66" i="3"/>
  <c r="G64" i="3"/>
  <c r="G63" i="3"/>
  <c r="G62" i="3"/>
  <c r="G61" i="3"/>
  <c r="F67" i="3"/>
  <c r="F66" i="3"/>
  <c r="F65" i="3"/>
  <c r="F64" i="3"/>
  <c r="F63" i="3"/>
  <c r="F62" i="3"/>
  <c r="F61" i="3"/>
  <c r="F60" i="3"/>
  <c r="E67" i="3"/>
  <c r="E66" i="3"/>
  <c r="E64" i="3"/>
  <c r="E63" i="3"/>
  <c r="E62" i="3"/>
  <c r="E61" i="3"/>
  <c r="G59" i="3"/>
  <c r="F59" i="3"/>
  <c r="P46" i="18"/>
  <c r="T46" i="18" s="1"/>
  <c r="L49" i="13"/>
  <c r="H49" i="13"/>
  <c r="D49" i="13"/>
  <c r="E49" i="13"/>
  <c r="E40" i="13"/>
  <c r="P30" i="18" s="1"/>
  <c r="T30" i="18" s="1"/>
  <c r="E39" i="13"/>
  <c r="J79" i="18" l="1"/>
  <c r="AK6" i="18"/>
  <c r="AB71" i="18"/>
  <c r="AI6" i="18"/>
  <c r="P39" i="13"/>
  <c r="P40" i="13"/>
  <c r="S45" i="18"/>
  <c r="AE74" i="18"/>
  <c r="AJ74" i="18" s="1"/>
  <c r="AE73" i="18"/>
  <c r="AJ73" i="18" s="1"/>
  <c r="AE70" i="18"/>
  <c r="AJ70" i="18" s="1"/>
  <c r="S71" i="18"/>
  <c r="X71" i="18"/>
  <c r="P38" i="18"/>
  <c r="T38" i="18" s="1"/>
  <c r="T37" i="18"/>
  <c r="AH70" i="18" l="1"/>
  <c r="AL70" i="18" s="1"/>
  <c r="AH73" i="18"/>
  <c r="AL73" i="18" s="1"/>
  <c r="AH74" i="18"/>
  <c r="AL74" i="18" s="1"/>
  <c r="Z71" i="18"/>
  <c r="C3" i="18"/>
  <c r="Q3" i="18"/>
  <c r="W3" i="18" s="1"/>
  <c r="AA3" i="18" l="1"/>
  <c r="AB3" i="18"/>
  <c r="AK70" i="18"/>
  <c r="AK74" i="18"/>
  <c r="AI70" i="18"/>
  <c r="AI73" i="18"/>
  <c r="AI74" i="18"/>
  <c r="AK73" i="18"/>
  <c r="AE71" i="18"/>
  <c r="AJ71" i="18" s="1"/>
  <c r="S3" i="18"/>
  <c r="X3" i="18"/>
  <c r="AQ48" i="15"/>
  <c r="AQ26" i="15" s="1"/>
  <c r="AP48" i="15"/>
  <c r="AP20" i="15" s="1"/>
  <c r="AO48" i="15"/>
  <c r="AQ37" i="15"/>
  <c r="AQ62" i="15" s="1"/>
  <c r="AP37" i="15"/>
  <c r="AP52" i="15" s="1"/>
  <c r="AO37" i="15"/>
  <c r="AO41" i="15" s="1"/>
  <c r="AQ34" i="15"/>
  <c r="AP34" i="15"/>
  <c r="AP47" i="15" s="1"/>
  <c r="AO34" i="15"/>
  <c r="AO63" i="15" s="1"/>
  <c r="AQ18" i="15"/>
  <c r="AQ64" i="15" s="1"/>
  <c r="AP18" i="15"/>
  <c r="AO18" i="15"/>
  <c r="AO64" i="15" s="1"/>
  <c r="AQ17" i="15"/>
  <c r="AQ59" i="15" s="1"/>
  <c r="AP17" i="15"/>
  <c r="AP56" i="15" s="1"/>
  <c r="AO17" i="15"/>
  <c r="AO56" i="15" s="1"/>
  <c r="AQ7" i="15"/>
  <c r="AQ58" i="15" s="1"/>
  <c r="AP7" i="15"/>
  <c r="AP58" i="15" s="1"/>
  <c r="AO7" i="15"/>
  <c r="AO58" i="15" s="1"/>
  <c r="AQ4" i="15"/>
  <c r="AP4" i="15"/>
  <c r="AP60" i="15" s="1"/>
  <c r="AO4" i="15"/>
  <c r="AO25" i="15" s="1"/>
  <c r="AQ63" i="15"/>
  <c r="AQ61" i="15"/>
  <c r="AQ60" i="15"/>
  <c r="AQ55" i="15"/>
  <c r="AQ49" i="15"/>
  <c r="AQ47" i="15"/>
  <c r="AQ46" i="15"/>
  <c r="AQ44" i="15"/>
  <c r="AQ33" i="15"/>
  <c r="AQ27" i="15"/>
  <c r="AQ25" i="15"/>
  <c r="AQ21" i="15"/>
  <c r="AQ6" i="15"/>
  <c r="AQ51" i="15"/>
  <c r="AP64" i="15"/>
  <c r="AP40" i="15"/>
  <c r="AP38" i="15"/>
  <c r="AP35" i="15"/>
  <c r="AP31" i="15"/>
  <c r="AP29" i="15"/>
  <c r="AP22" i="15"/>
  <c r="AP10" i="15"/>
  <c r="AP8" i="15"/>
  <c r="AO60" i="15"/>
  <c r="AO59" i="15"/>
  <c r="AO57" i="15"/>
  <c r="AO54" i="15"/>
  <c r="AO40" i="15"/>
  <c r="AO28" i="15"/>
  <c r="AO26" i="15"/>
  <c r="AO24" i="15"/>
  <c r="AO20" i="15"/>
  <c r="AO19" i="15"/>
  <c r="AO15" i="15"/>
  <c r="AO13" i="15"/>
  <c r="AO12" i="15"/>
  <c r="AH71" i="18" l="1"/>
  <c r="AL71" i="18" s="1"/>
  <c r="AP53" i="15"/>
  <c r="AP16" i="15"/>
  <c r="AP62" i="15"/>
  <c r="AQ43" i="15"/>
  <c r="AO21" i="15"/>
  <c r="AO44" i="15"/>
  <c r="AP5" i="15"/>
  <c r="AP41" i="15"/>
  <c r="AQ13" i="15"/>
  <c r="AQ28" i="15"/>
  <c r="AO61" i="15"/>
  <c r="AO46" i="15"/>
  <c r="AP12" i="15"/>
  <c r="AP36" i="15"/>
  <c r="AP42" i="15"/>
  <c r="AP57" i="15"/>
  <c r="AP65" i="15"/>
  <c r="AQ19" i="15"/>
  <c r="AQ56" i="15"/>
  <c r="AO27" i="15"/>
  <c r="AO55" i="15"/>
  <c r="AP11" i="15"/>
  <c r="AP54" i="15"/>
  <c r="AQ24" i="15"/>
  <c r="AO6" i="15"/>
  <c r="AO33" i="15"/>
  <c r="AO47" i="15"/>
  <c r="AP9" i="15"/>
  <c r="AP15" i="15"/>
  <c r="AP30" i="15"/>
  <c r="AQ20" i="15"/>
  <c r="AQ39" i="15"/>
  <c r="AQ65" i="15"/>
  <c r="AP26" i="15"/>
  <c r="AP59" i="15"/>
  <c r="AQ30" i="15"/>
  <c r="AQ41" i="15"/>
  <c r="AP19" i="15"/>
  <c r="AP46" i="15"/>
  <c r="AQ10" i="15"/>
  <c r="AQ36" i="15"/>
  <c r="AQ53" i="15"/>
  <c r="AO10" i="15"/>
  <c r="AO30" i="15"/>
  <c r="AO36" i="15"/>
  <c r="AO62" i="15"/>
  <c r="AP21" i="15"/>
  <c r="AP24" i="15"/>
  <c r="AP28" i="15"/>
  <c r="AP33" i="15"/>
  <c r="AP39" i="15"/>
  <c r="AP43" i="15"/>
  <c r="AP49" i="15"/>
  <c r="AP55" i="15"/>
  <c r="AP61" i="15"/>
  <c r="AP63" i="15"/>
  <c r="AQ5" i="15"/>
  <c r="AQ8" i="15"/>
  <c r="AQ12" i="15"/>
  <c r="AQ15" i="15"/>
  <c r="AQ57" i="15"/>
  <c r="AO5" i="15"/>
  <c r="AO8" i="15"/>
  <c r="AO11" i="15"/>
  <c r="AO16" i="15"/>
  <c r="AO22" i="15"/>
  <c r="AO29" i="15"/>
  <c r="AO31" i="15"/>
  <c r="AO35" i="15"/>
  <c r="AO38" i="15"/>
  <c r="AO42" i="15"/>
  <c r="AO52" i="15"/>
  <c r="AP51" i="15"/>
  <c r="AP6" i="15"/>
  <c r="AP13" i="15"/>
  <c r="AP25" i="15"/>
  <c r="AP27" i="15"/>
  <c r="AP44" i="15"/>
  <c r="AQ9" i="15"/>
  <c r="AQ11" i="15"/>
  <c r="AQ16" i="15"/>
  <c r="AQ22" i="15"/>
  <c r="AQ29" i="15"/>
  <c r="AQ31" i="15"/>
  <c r="AQ35" i="15"/>
  <c r="AQ38" i="15"/>
  <c r="AQ40" i="15"/>
  <c r="AQ42" i="15"/>
  <c r="AQ52" i="15"/>
  <c r="AQ54" i="15"/>
  <c r="AO53" i="15"/>
  <c r="AO65" i="15"/>
  <c r="AO9" i="15"/>
  <c r="AO39" i="15"/>
  <c r="AO43" i="15"/>
  <c r="AQ23" i="15"/>
  <c r="AQ45" i="15"/>
  <c r="AQ50" i="15"/>
  <c r="AQ14" i="15"/>
  <c r="AQ32" i="15"/>
  <c r="AP23" i="15"/>
  <c r="AP45" i="15"/>
  <c r="AP50" i="15"/>
  <c r="AP14" i="15"/>
  <c r="AP32" i="15"/>
  <c r="AO23" i="15"/>
  <c r="AO45" i="15"/>
  <c r="AO50" i="15"/>
  <c r="AO14" i="15"/>
  <c r="AO32" i="15"/>
  <c r="AO51" i="15"/>
  <c r="AO49" i="15"/>
  <c r="AK71" i="18" l="1"/>
  <c r="AI71" i="18"/>
  <c r="P3" i="18"/>
  <c r="T3" i="18" s="1"/>
  <c r="Z3" i="18" s="1"/>
  <c r="AE3" i="18" l="1"/>
  <c r="AJ3" i="18" s="1"/>
  <c r="AN48" i="15"/>
  <c r="AN13" i="15" s="1"/>
  <c r="AL48" i="15"/>
  <c r="AL24" i="15" s="1"/>
  <c r="AH48" i="15"/>
  <c r="AH13" i="15" s="1"/>
  <c r="AF48" i="15"/>
  <c r="AF24" i="15" s="1"/>
  <c r="AN37" i="15"/>
  <c r="AN65" i="15" s="1"/>
  <c r="AL37" i="15"/>
  <c r="AL9" i="15" s="1"/>
  <c r="AH37" i="15"/>
  <c r="AH30" i="15" s="1"/>
  <c r="AF37" i="15"/>
  <c r="AF9" i="15" s="1"/>
  <c r="AN34" i="15"/>
  <c r="AN27" i="15" s="1"/>
  <c r="AL34" i="15"/>
  <c r="AL6" i="15" s="1"/>
  <c r="AH34" i="15"/>
  <c r="AH44" i="15" s="1"/>
  <c r="AF34" i="15"/>
  <c r="AF6" i="15" s="1"/>
  <c r="AN18" i="15"/>
  <c r="AN10" i="15" s="1"/>
  <c r="AL18" i="15"/>
  <c r="AL8" i="15" s="1"/>
  <c r="AH18" i="15"/>
  <c r="AH8" i="15" s="1"/>
  <c r="AF18" i="15"/>
  <c r="AF8" i="15" s="1"/>
  <c r="AN17" i="15"/>
  <c r="AN39" i="15" s="1"/>
  <c r="AL17" i="15"/>
  <c r="AL39" i="15" s="1"/>
  <c r="AH17" i="15"/>
  <c r="AH59" i="15" s="1"/>
  <c r="AF17" i="15"/>
  <c r="AF39" i="15" s="1"/>
  <c r="AN7" i="15"/>
  <c r="AN5" i="15" s="1"/>
  <c r="AL7" i="15"/>
  <c r="AL42" i="15" s="1"/>
  <c r="AH7" i="15"/>
  <c r="AH11" i="15" s="1"/>
  <c r="AF7" i="15"/>
  <c r="AF42" i="15" s="1"/>
  <c r="AN4" i="15"/>
  <c r="AN14" i="15" s="1"/>
  <c r="AM4" i="15"/>
  <c r="AM14" i="15" s="1"/>
  <c r="AL4" i="15"/>
  <c r="AL14" i="15" s="1"/>
  <c r="AH4" i="15"/>
  <c r="AH32" i="15" s="1"/>
  <c r="AG4" i="15"/>
  <c r="AG14" i="15" s="1"/>
  <c r="AF4" i="15"/>
  <c r="AF32" i="15" s="1"/>
  <c r="U5" i="15"/>
  <c r="V5" i="15"/>
  <c r="W5" i="15"/>
  <c r="X5" i="15"/>
  <c r="Y5" i="15"/>
  <c r="Z5" i="15"/>
  <c r="AA5" i="15"/>
  <c r="AB5" i="15"/>
  <c r="AC5" i="15"/>
  <c r="AD5" i="15"/>
  <c r="AE5" i="15"/>
  <c r="AG5" i="15"/>
  <c r="AH5" i="15"/>
  <c r="AI5" i="15"/>
  <c r="AJ5" i="15"/>
  <c r="AK5" i="15"/>
  <c r="AM5" i="15"/>
  <c r="U6" i="15"/>
  <c r="V6" i="15"/>
  <c r="W6" i="15"/>
  <c r="X6" i="15"/>
  <c r="Y6" i="15"/>
  <c r="Z6" i="15"/>
  <c r="AA6" i="15"/>
  <c r="AB6" i="15"/>
  <c r="AC6" i="15"/>
  <c r="AD6" i="15"/>
  <c r="AE6" i="15"/>
  <c r="AG6" i="15"/>
  <c r="AI6" i="15"/>
  <c r="AJ6" i="15"/>
  <c r="AK6" i="15"/>
  <c r="AM6" i="15"/>
  <c r="AN6" i="15"/>
  <c r="U8" i="15"/>
  <c r="V8" i="15"/>
  <c r="W8" i="15"/>
  <c r="X8" i="15"/>
  <c r="Y8" i="15"/>
  <c r="Z8" i="15"/>
  <c r="AA8" i="15"/>
  <c r="AB8" i="15"/>
  <c r="AC8" i="15"/>
  <c r="AD8" i="15"/>
  <c r="AE8" i="15"/>
  <c r="AG8" i="15"/>
  <c r="AI8" i="15"/>
  <c r="AJ8" i="15"/>
  <c r="AK8" i="15"/>
  <c r="AM8" i="15"/>
  <c r="AN8" i="15"/>
  <c r="U9" i="15"/>
  <c r="V9" i="15"/>
  <c r="W9" i="15"/>
  <c r="X9" i="15"/>
  <c r="Y9" i="15"/>
  <c r="Z9" i="15"/>
  <c r="AA9" i="15"/>
  <c r="AB9" i="15"/>
  <c r="AC9" i="15"/>
  <c r="AD9" i="15"/>
  <c r="AE9" i="15"/>
  <c r="AG9" i="15"/>
  <c r="AI9" i="15"/>
  <c r="AJ9" i="15"/>
  <c r="AK9" i="15"/>
  <c r="AM9" i="15"/>
  <c r="U10" i="15"/>
  <c r="V10" i="15"/>
  <c r="W10" i="15"/>
  <c r="X10" i="15"/>
  <c r="Y10" i="15"/>
  <c r="Z10" i="15"/>
  <c r="AA10" i="15"/>
  <c r="AB10" i="15"/>
  <c r="AC10" i="15"/>
  <c r="AD10" i="15"/>
  <c r="AE10" i="15"/>
  <c r="AG10" i="15"/>
  <c r="AI10" i="15"/>
  <c r="AJ10" i="15"/>
  <c r="AK10" i="15"/>
  <c r="AM10" i="15"/>
  <c r="U11" i="15"/>
  <c r="V11" i="15"/>
  <c r="W11" i="15"/>
  <c r="X11" i="15"/>
  <c r="Y11" i="15"/>
  <c r="Z11" i="15"/>
  <c r="AA11" i="15"/>
  <c r="AB11" i="15"/>
  <c r="AC11" i="15"/>
  <c r="AD11" i="15"/>
  <c r="AE11" i="15"/>
  <c r="AG11" i="15"/>
  <c r="AI11" i="15"/>
  <c r="AJ11" i="15"/>
  <c r="AK11" i="15"/>
  <c r="AM11" i="15"/>
  <c r="AN11" i="15"/>
  <c r="U12" i="15"/>
  <c r="V12" i="15"/>
  <c r="W12" i="15"/>
  <c r="X12" i="15"/>
  <c r="Y12" i="15"/>
  <c r="Z12" i="15"/>
  <c r="AA12" i="15"/>
  <c r="AB12" i="15"/>
  <c r="AC12" i="15"/>
  <c r="AD12" i="15"/>
  <c r="AE12" i="15"/>
  <c r="AG12" i="15"/>
  <c r="AH12" i="15"/>
  <c r="AI12" i="15"/>
  <c r="AJ12" i="15"/>
  <c r="AK12" i="15"/>
  <c r="AM12" i="15"/>
  <c r="U13" i="15"/>
  <c r="V13" i="15"/>
  <c r="W13" i="15"/>
  <c r="X13" i="15"/>
  <c r="Y13" i="15"/>
  <c r="Z13" i="15"/>
  <c r="AA13" i="15"/>
  <c r="AB13" i="15"/>
  <c r="AC13" i="15"/>
  <c r="AD13" i="15"/>
  <c r="AE13" i="15"/>
  <c r="AG13" i="15"/>
  <c r="AI13" i="15"/>
  <c r="AJ13" i="15"/>
  <c r="AK13" i="15"/>
  <c r="AM13" i="15"/>
  <c r="U14" i="15"/>
  <c r="V14" i="15"/>
  <c r="W14" i="15"/>
  <c r="X14" i="15"/>
  <c r="Y14" i="15"/>
  <c r="Z14" i="15"/>
  <c r="AA14" i="15"/>
  <c r="AB14" i="15"/>
  <c r="AC14" i="15"/>
  <c r="AD14" i="15"/>
  <c r="AE14" i="15"/>
  <c r="AI14" i="15"/>
  <c r="AJ14" i="15"/>
  <c r="AK14" i="15"/>
  <c r="U15" i="15"/>
  <c r="V15" i="15"/>
  <c r="W15" i="15"/>
  <c r="X15" i="15"/>
  <c r="Y15" i="15"/>
  <c r="Z15" i="15"/>
  <c r="AA15" i="15"/>
  <c r="AB15" i="15"/>
  <c r="AC15" i="15"/>
  <c r="AD15" i="15"/>
  <c r="AE15" i="15"/>
  <c r="AG15" i="15"/>
  <c r="AI15" i="15"/>
  <c r="AJ15" i="15"/>
  <c r="AK15" i="15"/>
  <c r="AM15" i="15"/>
  <c r="AN15" i="15"/>
  <c r="U16" i="15"/>
  <c r="V16" i="15"/>
  <c r="W16" i="15"/>
  <c r="X16" i="15"/>
  <c r="Y16" i="15"/>
  <c r="Z16" i="15"/>
  <c r="AA16" i="15"/>
  <c r="AB16" i="15"/>
  <c r="AC16" i="15"/>
  <c r="AD16" i="15"/>
  <c r="AE16" i="15"/>
  <c r="AG16" i="15"/>
  <c r="AI16" i="15"/>
  <c r="AJ16" i="15"/>
  <c r="AK16" i="15"/>
  <c r="AM16" i="15"/>
  <c r="AN16" i="15"/>
  <c r="U19" i="15"/>
  <c r="V19" i="15"/>
  <c r="W19" i="15"/>
  <c r="X19" i="15"/>
  <c r="Y19" i="15"/>
  <c r="Z19" i="15"/>
  <c r="AA19" i="15"/>
  <c r="AB19" i="15"/>
  <c r="AC19" i="15"/>
  <c r="AD19" i="15"/>
  <c r="AE19" i="15"/>
  <c r="AG19" i="15"/>
  <c r="AI19" i="15"/>
  <c r="AJ19" i="15"/>
  <c r="AK19" i="15"/>
  <c r="AM19" i="15"/>
  <c r="U20" i="15"/>
  <c r="V20" i="15"/>
  <c r="W20" i="15"/>
  <c r="X20" i="15"/>
  <c r="Y20" i="15"/>
  <c r="Z20" i="15"/>
  <c r="AA20" i="15"/>
  <c r="AB20" i="15"/>
  <c r="AC20" i="15"/>
  <c r="AD20" i="15"/>
  <c r="AE20" i="15"/>
  <c r="AG20" i="15"/>
  <c r="AI20" i="15"/>
  <c r="AJ20" i="15"/>
  <c r="AK20" i="15"/>
  <c r="AM20" i="15"/>
  <c r="U21" i="15"/>
  <c r="V21" i="15"/>
  <c r="W21" i="15"/>
  <c r="X21" i="15"/>
  <c r="Y21" i="15"/>
  <c r="Z21" i="15"/>
  <c r="AA21" i="15"/>
  <c r="AB21" i="15"/>
  <c r="AC21" i="15"/>
  <c r="AD21" i="15"/>
  <c r="AE21" i="15"/>
  <c r="AI21" i="15"/>
  <c r="AJ21" i="15"/>
  <c r="AK21" i="15"/>
  <c r="U22" i="15"/>
  <c r="V22" i="15"/>
  <c r="W22" i="15"/>
  <c r="X22" i="15"/>
  <c r="Y22" i="15"/>
  <c r="Z22" i="15"/>
  <c r="AA22" i="15"/>
  <c r="AB22" i="15"/>
  <c r="AC22" i="15"/>
  <c r="AD22" i="15"/>
  <c r="AE22" i="15"/>
  <c r="AG22" i="15"/>
  <c r="AI22" i="15"/>
  <c r="AJ22" i="15"/>
  <c r="AK22" i="15"/>
  <c r="AM22" i="15"/>
  <c r="AN22" i="15"/>
  <c r="U23" i="15"/>
  <c r="V23" i="15"/>
  <c r="W23" i="15"/>
  <c r="X23" i="15"/>
  <c r="Y23" i="15"/>
  <c r="Z23" i="15"/>
  <c r="AA23" i="15"/>
  <c r="AB23" i="15"/>
  <c r="AC23" i="15"/>
  <c r="AD23" i="15"/>
  <c r="AE23" i="15"/>
  <c r="AG23" i="15"/>
  <c r="AI23" i="15"/>
  <c r="AJ23" i="15"/>
  <c r="AK23" i="15"/>
  <c r="AN23" i="15"/>
  <c r="U24" i="15"/>
  <c r="V24" i="15"/>
  <c r="W24" i="15"/>
  <c r="X24" i="15"/>
  <c r="Y24" i="15"/>
  <c r="Z24" i="15"/>
  <c r="AA24" i="15"/>
  <c r="AB24" i="15"/>
  <c r="AC24" i="15"/>
  <c r="AD24" i="15"/>
  <c r="AE24" i="15"/>
  <c r="AG24" i="15"/>
  <c r="AI24" i="15"/>
  <c r="AJ24" i="15"/>
  <c r="AK24" i="15"/>
  <c r="AM24" i="15"/>
  <c r="AN24" i="15"/>
  <c r="U25" i="15"/>
  <c r="V25" i="15"/>
  <c r="W25" i="15"/>
  <c r="X25" i="15"/>
  <c r="Y25" i="15"/>
  <c r="Z25" i="15"/>
  <c r="AA25" i="15"/>
  <c r="AB25" i="15"/>
  <c r="AC25" i="15"/>
  <c r="AD25" i="15"/>
  <c r="AE25" i="15"/>
  <c r="AG25" i="15"/>
  <c r="AI25" i="15"/>
  <c r="AJ25" i="15"/>
  <c r="AK25" i="15"/>
  <c r="AN25" i="15"/>
  <c r="U26" i="15"/>
  <c r="V26" i="15"/>
  <c r="W26" i="15"/>
  <c r="X26" i="15"/>
  <c r="Y26" i="15"/>
  <c r="Z26" i="15"/>
  <c r="AA26" i="15"/>
  <c r="AB26" i="15"/>
  <c r="AC26" i="15"/>
  <c r="AD26" i="15"/>
  <c r="AE26" i="15"/>
  <c r="AG26" i="15"/>
  <c r="AI26" i="15"/>
  <c r="AJ26" i="15"/>
  <c r="AK26" i="15"/>
  <c r="AM26" i="15"/>
  <c r="U27" i="15"/>
  <c r="V27" i="15"/>
  <c r="W27" i="15"/>
  <c r="X27" i="15"/>
  <c r="Y27" i="15"/>
  <c r="Z27" i="15"/>
  <c r="AA27" i="15"/>
  <c r="AB27" i="15"/>
  <c r="AC27" i="15"/>
  <c r="AD27" i="15"/>
  <c r="AE27" i="15"/>
  <c r="AG27" i="15"/>
  <c r="AI27" i="15"/>
  <c r="AJ27" i="15"/>
  <c r="AK27" i="15"/>
  <c r="AM27" i="15"/>
  <c r="U28" i="15"/>
  <c r="V28" i="15"/>
  <c r="W28" i="15"/>
  <c r="X28" i="15"/>
  <c r="Y28" i="15"/>
  <c r="Z28" i="15"/>
  <c r="AA28" i="15"/>
  <c r="AB28" i="15"/>
  <c r="AC28" i="15"/>
  <c r="AD28" i="15"/>
  <c r="AE28" i="15"/>
  <c r="AG28" i="15"/>
  <c r="AI28" i="15"/>
  <c r="AJ28" i="15"/>
  <c r="AK28" i="15"/>
  <c r="AM28" i="15"/>
  <c r="AN28" i="15"/>
  <c r="U29" i="15"/>
  <c r="V29" i="15"/>
  <c r="W29" i="15"/>
  <c r="X29" i="15"/>
  <c r="Y29" i="15"/>
  <c r="Z29" i="15"/>
  <c r="AA29" i="15"/>
  <c r="AB29" i="15"/>
  <c r="AC29" i="15"/>
  <c r="AD29" i="15"/>
  <c r="AE29" i="15"/>
  <c r="AG29" i="15"/>
  <c r="AI29" i="15"/>
  <c r="AJ29" i="15"/>
  <c r="AK29" i="15"/>
  <c r="AM29" i="15"/>
  <c r="AN29" i="15"/>
  <c r="U30" i="15"/>
  <c r="V30" i="15"/>
  <c r="W30" i="15"/>
  <c r="X30" i="15"/>
  <c r="Y30" i="15"/>
  <c r="Z30" i="15"/>
  <c r="AA30" i="15"/>
  <c r="AB30" i="15"/>
  <c r="AC30" i="15"/>
  <c r="AD30" i="15"/>
  <c r="AE30" i="15"/>
  <c r="AG30" i="15"/>
  <c r="AI30" i="15"/>
  <c r="AJ30" i="15"/>
  <c r="AK30" i="15"/>
  <c r="AM30" i="15"/>
  <c r="U31" i="15"/>
  <c r="V31" i="15"/>
  <c r="W31" i="15"/>
  <c r="X31" i="15"/>
  <c r="Y31" i="15"/>
  <c r="Z31" i="15"/>
  <c r="AA31" i="15"/>
  <c r="AB31" i="15"/>
  <c r="AC31" i="15"/>
  <c r="AD31" i="15"/>
  <c r="AE31" i="15"/>
  <c r="AG31" i="15"/>
  <c r="AI31" i="15"/>
  <c r="AJ31" i="15"/>
  <c r="AK31" i="15"/>
  <c r="AM31" i="15"/>
  <c r="U32" i="15"/>
  <c r="V32" i="15"/>
  <c r="W32" i="15"/>
  <c r="X32" i="15"/>
  <c r="Y32" i="15"/>
  <c r="Z32" i="15"/>
  <c r="AA32" i="15"/>
  <c r="AB32" i="15"/>
  <c r="AC32" i="15"/>
  <c r="AD32" i="15"/>
  <c r="AE32" i="15"/>
  <c r="AI32" i="15"/>
  <c r="AJ32" i="15"/>
  <c r="AK32" i="15"/>
  <c r="AN32" i="15"/>
  <c r="U33" i="15"/>
  <c r="V33" i="15"/>
  <c r="W33" i="15"/>
  <c r="X33" i="15"/>
  <c r="Y33" i="15"/>
  <c r="Z33" i="15"/>
  <c r="AA33" i="15"/>
  <c r="AB33" i="15"/>
  <c r="AC33" i="15"/>
  <c r="AD33" i="15"/>
  <c r="AE33" i="15"/>
  <c r="AG33" i="15"/>
  <c r="AI33" i="15"/>
  <c r="AJ33" i="15"/>
  <c r="AK33" i="15"/>
  <c r="AM33" i="15"/>
  <c r="AN33" i="15"/>
  <c r="U35" i="15"/>
  <c r="V35" i="15"/>
  <c r="W35" i="15"/>
  <c r="X35" i="15"/>
  <c r="Y35" i="15"/>
  <c r="Z35" i="15"/>
  <c r="AA35" i="15"/>
  <c r="AB35" i="15"/>
  <c r="AC35" i="15"/>
  <c r="AD35" i="15"/>
  <c r="AE35" i="15"/>
  <c r="AG35" i="15"/>
  <c r="AI35" i="15"/>
  <c r="AJ35" i="15"/>
  <c r="AK35" i="15"/>
  <c r="AM35" i="15"/>
  <c r="U36" i="15"/>
  <c r="V36" i="15"/>
  <c r="W36" i="15"/>
  <c r="X36" i="15"/>
  <c r="Y36" i="15"/>
  <c r="Z36" i="15"/>
  <c r="AA36" i="15"/>
  <c r="AB36" i="15"/>
  <c r="AC36" i="15"/>
  <c r="AD36" i="15"/>
  <c r="AE36" i="15"/>
  <c r="AG36" i="15"/>
  <c r="AH36" i="15"/>
  <c r="AI36" i="15"/>
  <c r="AJ36" i="15"/>
  <c r="AK36" i="15"/>
  <c r="AM36" i="15"/>
  <c r="AN36" i="15"/>
  <c r="U38" i="15"/>
  <c r="V38" i="15"/>
  <c r="W38" i="15"/>
  <c r="X38" i="15"/>
  <c r="Y38" i="15"/>
  <c r="Z38" i="15"/>
  <c r="AA38" i="15"/>
  <c r="AB38" i="15"/>
  <c r="AC38" i="15"/>
  <c r="AD38" i="15"/>
  <c r="AE38" i="15"/>
  <c r="AG38" i="15"/>
  <c r="AI38" i="15"/>
  <c r="AJ38" i="15"/>
  <c r="AK38" i="15"/>
  <c r="AM38" i="15"/>
  <c r="AN38" i="15"/>
  <c r="U39" i="15"/>
  <c r="V39" i="15"/>
  <c r="W39" i="15"/>
  <c r="X39" i="15"/>
  <c r="Y39" i="15"/>
  <c r="Z39" i="15"/>
  <c r="AA39" i="15"/>
  <c r="AB39" i="15"/>
  <c r="AC39" i="15"/>
  <c r="AD39" i="15"/>
  <c r="AE39" i="15"/>
  <c r="AG39" i="15"/>
  <c r="AI39" i="15"/>
  <c r="AJ39" i="15"/>
  <c r="AK39" i="15"/>
  <c r="AM39" i="15"/>
  <c r="U40" i="15"/>
  <c r="V40" i="15"/>
  <c r="W40" i="15"/>
  <c r="X40" i="15"/>
  <c r="Y40" i="15"/>
  <c r="Z40" i="15"/>
  <c r="AA40" i="15"/>
  <c r="AB40" i="15"/>
  <c r="AC40" i="15"/>
  <c r="AD40" i="15"/>
  <c r="AE40" i="15"/>
  <c r="AG40" i="15"/>
  <c r="AI40" i="15"/>
  <c r="AJ40" i="15"/>
  <c r="AK40" i="15"/>
  <c r="AM40" i="15"/>
  <c r="U41" i="15"/>
  <c r="V41" i="15"/>
  <c r="W41" i="15"/>
  <c r="X41" i="15"/>
  <c r="Y41" i="15"/>
  <c r="Z41" i="15"/>
  <c r="AA41" i="15"/>
  <c r="AB41" i="15"/>
  <c r="AC41" i="15"/>
  <c r="AD41" i="15"/>
  <c r="AE41" i="15"/>
  <c r="AG41" i="15"/>
  <c r="AI41" i="15"/>
  <c r="AJ41" i="15"/>
  <c r="AK41" i="15"/>
  <c r="AM41" i="15"/>
  <c r="AN41" i="15"/>
  <c r="U42" i="15"/>
  <c r="V42" i="15"/>
  <c r="W42" i="15"/>
  <c r="X42" i="15"/>
  <c r="Y42" i="15"/>
  <c r="Z42" i="15"/>
  <c r="AA42" i="15"/>
  <c r="AB42" i="15"/>
  <c r="AC42" i="15"/>
  <c r="AD42" i="15"/>
  <c r="AE42" i="15"/>
  <c r="AG42" i="15"/>
  <c r="AI42" i="15"/>
  <c r="AJ42" i="15"/>
  <c r="AK42" i="15"/>
  <c r="AM42" i="15"/>
  <c r="AN42" i="15"/>
  <c r="U43" i="15"/>
  <c r="V43" i="15"/>
  <c r="W43" i="15"/>
  <c r="X43" i="15"/>
  <c r="Y43" i="15"/>
  <c r="Z43" i="15"/>
  <c r="AA43" i="15"/>
  <c r="AB43" i="15"/>
  <c r="AC43" i="15"/>
  <c r="AD43" i="15"/>
  <c r="AE43" i="15"/>
  <c r="AG43" i="15"/>
  <c r="AI43" i="15"/>
  <c r="AJ43" i="15"/>
  <c r="AK43" i="15"/>
  <c r="AM43" i="15"/>
  <c r="U44" i="15"/>
  <c r="V44" i="15"/>
  <c r="W44" i="15"/>
  <c r="X44" i="15"/>
  <c r="Y44" i="15"/>
  <c r="Z44" i="15"/>
  <c r="AA44" i="15"/>
  <c r="AB44" i="15"/>
  <c r="AC44" i="15"/>
  <c r="AD44" i="15"/>
  <c r="AE44" i="15"/>
  <c r="AG44" i="15"/>
  <c r="AI44" i="15"/>
  <c r="AJ44" i="15"/>
  <c r="AK44" i="15"/>
  <c r="AM44" i="15"/>
  <c r="U45" i="15"/>
  <c r="V45" i="15"/>
  <c r="W45" i="15"/>
  <c r="X45" i="15"/>
  <c r="Y45" i="15"/>
  <c r="Z45" i="15"/>
  <c r="AA45" i="15"/>
  <c r="AB45" i="15"/>
  <c r="AC45" i="15"/>
  <c r="AD45" i="15"/>
  <c r="AE45" i="15"/>
  <c r="AI45" i="15"/>
  <c r="AJ45" i="15"/>
  <c r="AK45" i="15"/>
  <c r="AN45" i="15"/>
  <c r="U46" i="15"/>
  <c r="V46" i="15"/>
  <c r="W46" i="15"/>
  <c r="X46" i="15"/>
  <c r="Y46" i="15"/>
  <c r="Z46" i="15"/>
  <c r="AA46" i="15"/>
  <c r="AB46" i="15"/>
  <c r="AC46" i="15"/>
  <c r="AD46" i="15"/>
  <c r="AE46" i="15"/>
  <c r="AG46" i="15"/>
  <c r="AI46" i="15"/>
  <c r="AJ46" i="15"/>
  <c r="AK46" i="15"/>
  <c r="AM46" i="15"/>
  <c r="AN46" i="15"/>
  <c r="U47" i="15"/>
  <c r="V47" i="15"/>
  <c r="W47" i="15"/>
  <c r="X47" i="15"/>
  <c r="Y47" i="15"/>
  <c r="Z47" i="15"/>
  <c r="AA47" i="15"/>
  <c r="AB47" i="15"/>
  <c r="AC47" i="15"/>
  <c r="AD47" i="15"/>
  <c r="AE47" i="15"/>
  <c r="AG47" i="15"/>
  <c r="AI47" i="15"/>
  <c r="AJ47" i="15"/>
  <c r="AK47" i="15"/>
  <c r="AM47" i="15"/>
  <c r="U49" i="15"/>
  <c r="V49" i="15"/>
  <c r="W49" i="15"/>
  <c r="X49" i="15"/>
  <c r="Y49" i="15"/>
  <c r="Z49" i="15"/>
  <c r="AA49" i="15"/>
  <c r="AB49" i="15"/>
  <c r="AC49" i="15"/>
  <c r="AD49" i="15"/>
  <c r="AE49" i="15"/>
  <c r="AI49" i="15"/>
  <c r="AJ49" i="15"/>
  <c r="AK49" i="15"/>
  <c r="U50" i="15"/>
  <c r="V50" i="15"/>
  <c r="W50" i="15"/>
  <c r="X50" i="15"/>
  <c r="Y50" i="15"/>
  <c r="Z50" i="15"/>
  <c r="AA50" i="15"/>
  <c r="AB50" i="15"/>
  <c r="AC50" i="15"/>
  <c r="AD50" i="15"/>
  <c r="AE50" i="15"/>
  <c r="AI50" i="15"/>
  <c r="AJ50" i="15"/>
  <c r="AK50" i="15"/>
  <c r="U51" i="15"/>
  <c r="V51" i="15"/>
  <c r="W51" i="15"/>
  <c r="X51" i="15"/>
  <c r="Y51" i="15"/>
  <c r="Z51" i="15"/>
  <c r="AA51" i="15"/>
  <c r="AB51" i="15"/>
  <c r="AC51" i="15"/>
  <c r="AD51" i="15"/>
  <c r="AE51" i="15"/>
  <c r="AI51" i="15"/>
  <c r="AJ51" i="15"/>
  <c r="AK51" i="15"/>
  <c r="AN51" i="15"/>
  <c r="U52" i="15"/>
  <c r="V52" i="15"/>
  <c r="W52" i="15"/>
  <c r="X52" i="15"/>
  <c r="Y52" i="15"/>
  <c r="Z52" i="15"/>
  <c r="AA52" i="15"/>
  <c r="AB52" i="15"/>
  <c r="AC52" i="15"/>
  <c r="AD52" i="15"/>
  <c r="AE52" i="15"/>
  <c r="AG52" i="15"/>
  <c r="AI52" i="15"/>
  <c r="AJ52" i="15"/>
  <c r="AK52" i="15"/>
  <c r="AM52" i="15"/>
  <c r="AN52" i="15"/>
  <c r="U53" i="15"/>
  <c r="V53" i="15"/>
  <c r="W53" i="15"/>
  <c r="X53" i="15"/>
  <c r="Y53" i="15"/>
  <c r="Z53" i="15"/>
  <c r="AA53" i="15"/>
  <c r="AB53" i="15"/>
  <c r="AC53" i="15"/>
  <c r="AD53" i="15"/>
  <c r="AE53" i="15"/>
  <c r="AG53" i="15"/>
  <c r="AI53" i="15"/>
  <c r="AJ53" i="15"/>
  <c r="AK53" i="15"/>
  <c r="AM53" i="15"/>
  <c r="U54" i="15"/>
  <c r="V54" i="15"/>
  <c r="W54" i="15"/>
  <c r="X54" i="15"/>
  <c r="Y54" i="15"/>
  <c r="Z54" i="15"/>
  <c r="AA54" i="15"/>
  <c r="AB54" i="15"/>
  <c r="AC54" i="15"/>
  <c r="AD54" i="15"/>
  <c r="AE54" i="15"/>
  <c r="AG54" i="15"/>
  <c r="AH54" i="15"/>
  <c r="AI54" i="15"/>
  <c r="AJ54" i="15"/>
  <c r="AK54" i="15"/>
  <c r="AM54" i="15"/>
  <c r="AN54" i="15"/>
  <c r="U55" i="15"/>
  <c r="V55" i="15"/>
  <c r="W55" i="15"/>
  <c r="X55" i="15"/>
  <c r="Y55" i="15"/>
  <c r="Z55" i="15"/>
  <c r="AA55" i="15"/>
  <c r="AB55" i="15"/>
  <c r="AC55" i="15"/>
  <c r="AD55" i="15"/>
  <c r="AE55" i="15"/>
  <c r="AG55" i="15"/>
  <c r="AI55" i="15"/>
  <c r="AJ55" i="15"/>
  <c r="AK55" i="15"/>
  <c r="AM55" i="15"/>
  <c r="AN55" i="15"/>
  <c r="U56" i="15"/>
  <c r="V56" i="15"/>
  <c r="W56" i="15"/>
  <c r="X56" i="15"/>
  <c r="Y56" i="15"/>
  <c r="Z56" i="15"/>
  <c r="AA56" i="15"/>
  <c r="AB56" i="15"/>
  <c r="AC56" i="15"/>
  <c r="AD56" i="15"/>
  <c r="AE56" i="15"/>
  <c r="AG56" i="15"/>
  <c r="AI56" i="15"/>
  <c r="AJ56" i="15"/>
  <c r="AK56" i="15"/>
  <c r="AM56" i="15"/>
  <c r="U57" i="15"/>
  <c r="V57" i="15"/>
  <c r="W57" i="15"/>
  <c r="X57" i="15"/>
  <c r="Y57" i="15"/>
  <c r="Z57" i="15"/>
  <c r="AA57" i="15"/>
  <c r="AB57" i="15"/>
  <c r="AC57" i="15"/>
  <c r="AD57" i="15"/>
  <c r="AE57" i="15"/>
  <c r="AG57" i="15"/>
  <c r="AI57" i="15"/>
  <c r="AJ57" i="15"/>
  <c r="AK57" i="15"/>
  <c r="AM57" i="15"/>
  <c r="U58" i="15"/>
  <c r="V58" i="15"/>
  <c r="W58" i="15"/>
  <c r="X58" i="15"/>
  <c r="Y58" i="15"/>
  <c r="Z58" i="15"/>
  <c r="AA58" i="15"/>
  <c r="AB58" i="15"/>
  <c r="AC58" i="15"/>
  <c r="AD58" i="15"/>
  <c r="AE58" i="15"/>
  <c r="AG58" i="15"/>
  <c r="AI58" i="15"/>
  <c r="AJ58" i="15"/>
  <c r="AK58" i="15"/>
  <c r="AM58" i="15"/>
  <c r="AN58" i="15"/>
  <c r="U59" i="15"/>
  <c r="V59" i="15"/>
  <c r="W59" i="15"/>
  <c r="X59" i="15"/>
  <c r="Y59" i="15"/>
  <c r="Z59" i="15"/>
  <c r="AA59" i="15"/>
  <c r="AB59" i="15"/>
  <c r="AC59" i="15"/>
  <c r="AD59" i="15"/>
  <c r="AE59" i="15"/>
  <c r="AG59" i="15"/>
  <c r="AI59" i="15"/>
  <c r="AJ59" i="15"/>
  <c r="AK59" i="15"/>
  <c r="AM59" i="15"/>
  <c r="AN59" i="15"/>
  <c r="U60" i="15"/>
  <c r="V60" i="15"/>
  <c r="W60" i="15"/>
  <c r="X60" i="15"/>
  <c r="Y60" i="15"/>
  <c r="Z60" i="15"/>
  <c r="AA60" i="15"/>
  <c r="AB60" i="15"/>
  <c r="AC60" i="15"/>
  <c r="AD60" i="15"/>
  <c r="AE60" i="15"/>
  <c r="AG60" i="15"/>
  <c r="AI60" i="15"/>
  <c r="AJ60" i="15"/>
  <c r="AK60" i="15"/>
  <c r="AM60" i="15"/>
  <c r="U61" i="15"/>
  <c r="V61" i="15"/>
  <c r="W61" i="15"/>
  <c r="X61" i="15"/>
  <c r="Y61" i="15"/>
  <c r="Z61" i="15"/>
  <c r="AA61" i="15"/>
  <c r="AB61" i="15"/>
  <c r="AC61" i="15"/>
  <c r="AD61" i="15"/>
  <c r="AE61" i="15"/>
  <c r="AI61" i="15"/>
  <c r="AJ61" i="15"/>
  <c r="AK61" i="15"/>
  <c r="U62" i="15"/>
  <c r="V62" i="15"/>
  <c r="W62" i="15"/>
  <c r="X62" i="15"/>
  <c r="Y62" i="15"/>
  <c r="Z62" i="15"/>
  <c r="AA62" i="15"/>
  <c r="AB62" i="15"/>
  <c r="AC62" i="15"/>
  <c r="AD62" i="15"/>
  <c r="AE62" i="15"/>
  <c r="AG62" i="15"/>
  <c r="AH62" i="15"/>
  <c r="AI62" i="15"/>
  <c r="AJ62" i="15"/>
  <c r="AK62" i="15"/>
  <c r="AM62" i="15"/>
  <c r="AN62" i="15"/>
  <c r="U63" i="15"/>
  <c r="V63" i="15"/>
  <c r="W63" i="15"/>
  <c r="X63" i="15"/>
  <c r="Y63" i="15"/>
  <c r="Z63" i="15"/>
  <c r="AA63" i="15"/>
  <c r="AB63" i="15"/>
  <c r="AC63" i="15"/>
  <c r="AD63" i="15"/>
  <c r="AE63" i="15"/>
  <c r="AG63" i="15"/>
  <c r="AI63" i="15"/>
  <c r="AJ63" i="15"/>
  <c r="AK63" i="15"/>
  <c r="AM63" i="15"/>
  <c r="AN63" i="15"/>
  <c r="U64" i="15"/>
  <c r="V64" i="15"/>
  <c r="W64" i="15"/>
  <c r="X64" i="15"/>
  <c r="Y64" i="15"/>
  <c r="Z64" i="15"/>
  <c r="AA64" i="15"/>
  <c r="AB64" i="15"/>
  <c r="AC64" i="15"/>
  <c r="AD64" i="15"/>
  <c r="AE64" i="15"/>
  <c r="AG64" i="15"/>
  <c r="AI64" i="15"/>
  <c r="AJ64" i="15"/>
  <c r="AK64" i="15"/>
  <c r="AM64" i="15"/>
  <c r="U65" i="15"/>
  <c r="V65" i="15"/>
  <c r="W65" i="15"/>
  <c r="X65" i="15"/>
  <c r="Y65" i="15"/>
  <c r="Z65" i="15"/>
  <c r="AA65" i="15"/>
  <c r="AB65" i="15"/>
  <c r="AC65" i="15"/>
  <c r="AD65" i="15"/>
  <c r="AE65" i="15"/>
  <c r="AG65" i="15"/>
  <c r="AI65" i="15"/>
  <c r="AJ65" i="15"/>
  <c r="AK65" i="15"/>
  <c r="AM65" i="15"/>
  <c r="T5" i="15"/>
  <c r="T6" i="15"/>
  <c r="T8" i="15"/>
  <c r="T9" i="15"/>
  <c r="T10" i="15"/>
  <c r="T11" i="15"/>
  <c r="T12" i="15"/>
  <c r="T13" i="15"/>
  <c r="T14" i="15"/>
  <c r="T15" i="15"/>
  <c r="T16" i="15"/>
  <c r="T19" i="15"/>
  <c r="T20" i="15"/>
  <c r="T21" i="15"/>
  <c r="T22" i="15"/>
  <c r="T23" i="15"/>
  <c r="T24" i="15"/>
  <c r="T25" i="15"/>
  <c r="T26" i="15"/>
  <c r="T27" i="15"/>
  <c r="T28" i="15"/>
  <c r="T29" i="15"/>
  <c r="T30" i="15"/>
  <c r="T31" i="15"/>
  <c r="T32" i="15"/>
  <c r="T33" i="15"/>
  <c r="T35" i="15"/>
  <c r="T36" i="15"/>
  <c r="T38" i="15"/>
  <c r="T39" i="15"/>
  <c r="T40" i="15"/>
  <c r="T41" i="15"/>
  <c r="T42" i="15"/>
  <c r="T43" i="15"/>
  <c r="T44" i="15"/>
  <c r="T45" i="15"/>
  <c r="T46" i="15"/>
  <c r="T47" i="15"/>
  <c r="T49" i="15"/>
  <c r="T50" i="15"/>
  <c r="T51" i="15"/>
  <c r="T52" i="15"/>
  <c r="T53" i="15"/>
  <c r="T54" i="15"/>
  <c r="T55" i="15"/>
  <c r="T56" i="15"/>
  <c r="T57" i="15"/>
  <c r="T58" i="15"/>
  <c r="T59" i="15"/>
  <c r="T60" i="15"/>
  <c r="T61" i="15"/>
  <c r="T62" i="15"/>
  <c r="T63" i="15"/>
  <c r="T64" i="15"/>
  <c r="T65" i="15"/>
  <c r="I15" i="3"/>
  <c r="I16" i="3"/>
  <c r="I17" i="3"/>
  <c r="I18" i="3"/>
  <c r="I19" i="3"/>
  <c r="I21" i="3"/>
  <c r="I23" i="3"/>
  <c r="I24" i="3"/>
  <c r="I25" i="3"/>
  <c r="I14" i="3"/>
  <c r="S5" i="15"/>
  <c r="S6" i="15"/>
  <c r="P78" i="18" s="1"/>
  <c r="T78" i="18" s="1"/>
  <c r="S8" i="15"/>
  <c r="S9" i="15"/>
  <c r="S10" i="15"/>
  <c r="S11" i="15"/>
  <c r="S12" i="15"/>
  <c r="S13" i="15"/>
  <c r="S14" i="15"/>
  <c r="S15" i="15"/>
  <c r="S16" i="15"/>
  <c r="S19" i="15"/>
  <c r="S20" i="15"/>
  <c r="S21" i="15"/>
  <c r="S22" i="15"/>
  <c r="S23" i="15"/>
  <c r="S24" i="15"/>
  <c r="S25" i="15"/>
  <c r="S26" i="15"/>
  <c r="S27" i="15"/>
  <c r="S28" i="15"/>
  <c r="S29" i="15"/>
  <c r="S30" i="15"/>
  <c r="S31" i="15"/>
  <c r="S32" i="15"/>
  <c r="S33" i="15"/>
  <c r="S35" i="15"/>
  <c r="S36" i="15"/>
  <c r="S38" i="15"/>
  <c r="S39" i="15"/>
  <c r="S40" i="15"/>
  <c r="S41" i="15"/>
  <c r="S42" i="15"/>
  <c r="S43" i="15"/>
  <c r="S44" i="15"/>
  <c r="S45" i="15"/>
  <c r="S46" i="15"/>
  <c r="S47" i="15"/>
  <c r="S49" i="15"/>
  <c r="S50" i="15"/>
  <c r="S51" i="15"/>
  <c r="S52" i="15"/>
  <c r="S53" i="15"/>
  <c r="S54" i="15"/>
  <c r="S55" i="15"/>
  <c r="S56" i="15"/>
  <c r="S57" i="15"/>
  <c r="S58" i="15"/>
  <c r="S59" i="15"/>
  <c r="S60" i="15"/>
  <c r="S61" i="15"/>
  <c r="S62" i="15"/>
  <c r="S63" i="15"/>
  <c r="S64" i="15"/>
  <c r="S65" i="15"/>
  <c r="AH3" i="18" l="1"/>
  <c r="AL3" i="18" s="1"/>
  <c r="AN57" i="15"/>
  <c r="AG51" i="15"/>
  <c r="AG50" i="15"/>
  <c r="AN49" i="15"/>
  <c r="AM45" i="15"/>
  <c r="AG45" i="15"/>
  <c r="AN64" i="15"/>
  <c r="AN61" i="15"/>
  <c r="AG61" i="15"/>
  <c r="AN60" i="15"/>
  <c r="AN56" i="15"/>
  <c r="AN53" i="15"/>
  <c r="AM49" i="15"/>
  <c r="AG49" i="15"/>
  <c r="AN47" i="15"/>
  <c r="AN43" i="15"/>
  <c r="AN35" i="15"/>
  <c r="AN30" i="15"/>
  <c r="AN26" i="15"/>
  <c r="AN19" i="15"/>
  <c r="AN12" i="15"/>
  <c r="AN9" i="15"/>
  <c r="AL5" i="15"/>
  <c r="AM51" i="15"/>
  <c r="AN50" i="15"/>
  <c r="AN44" i="15"/>
  <c r="AN40" i="15"/>
  <c r="AM32" i="15"/>
  <c r="AG32" i="15"/>
  <c r="AN31" i="15"/>
  <c r="AN21" i="15"/>
  <c r="AG21" i="15"/>
  <c r="AN20" i="15"/>
  <c r="AH56" i="15"/>
  <c r="AH39" i="15"/>
  <c r="AH27" i="15"/>
  <c r="AL23" i="15"/>
  <c r="AH15" i="15"/>
  <c r="AM61" i="15"/>
  <c r="AH58" i="15"/>
  <c r="AL51" i="15"/>
  <c r="AH47" i="15"/>
  <c r="AH41" i="15"/>
  <c r="AL32" i="15"/>
  <c r="AH29" i="15"/>
  <c r="AF23" i="15"/>
  <c r="AH19" i="15"/>
  <c r="AH6" i="15"/>
  <c r="AH64" i="15"/>
  <c r="AL49" i="15"/>
  <c r="AL61" i="15"/>
  <c r="AH52" i="15"/>
  <c r="AM50" i="15"/>
  <c r="AH43" i="15"/>
  <c r="AH33" i="15"/>
  <c r="AH31" i="15"/>
  <c r="AH22" i="15"/>
  <c r="AF26" i="15"/>
  <c r="AL60" i="15"/>
  <c r="AL50" i="15"/>
  <c r="AL45" i="15"/>
  <c r="AL25" i="15"/>
  <c r="AL21" i="15"/>
  <c r="AH9" i="15"/>
  <c r="AF5" i="15"/>
  <c r="AH23" i="15"/>
  <c r="AH65" i="15"/>
  <c r="AH63" i="15"/>
  <c r="AH57" i="15"/>
  <c r="AH55" i="15"/>
  <c r="AH53" i="15"/>
  <c r="AH46" i="15"/>
  <c r="AH42" i="15"/>
  <c r="AH40" i="15"/>
  <c r="AH38" i="15"/>
  <c r="AH35" i="15"/>
  <c r="AH28" i="15"/>
  <c r="AH26" i="15"/>
  <c r="AH24" i="15"/>
  <c r="AH20" i="15"/>
  <c r="AH16" i="15"/>
  <c r="AH25" i="15"/>
  <c r="AF25" i="15"/>
  <c r="AH21" i="15"/>
  <c r="AF21" i="15"/>
  <c r="AL20" i="15"/>
  <c r="AF20" i="15"/>
  <c r="AL19" i="15"/>
  <c r="AF19" i="15"/>
  <c r="AL16" i="15"/>
  <c r="AF16" i="15"/>
  <c r="AL15" i="15"/>
  <c r="AF15" i="15"/>
  <c r="AH14" i="15"/>
  <c r="AF14" i="15"/>
  <c r="AL13" i="15"/>
  <c r="AF13" i="15"/>
  <c r="AL12" i="15"/>
  <c r="AF12" i="15"/>
  <c r="AL11" i="15"/>
  <c r="AF11" i="15"/>
  <c r="AL10" i="15"/>
  <c r="AL65" i="15"/>
  <c r="AF65" i="15"/>
  <c r="AL64" i="15"/>
  <c r="AF64" i="15"/>
  <c r="AL63" i="15"/>
  <c r="AF63" i="15"/>
  <c r="AL62" i="15"/>
  <c r="AF62" i="15"/>
  <c r="AH61" i="15"/>
  <c r="AF61" i="15"/>
  <c r="AH60" i="15"/>
  <c r="AF60" i="15"/>
  <c r="AL59" i="15"/>
  <c r="AF59" i="15"/>
  <c r="AL58" i="15"/>
  <c r="AF58" i="15"/>
  <c r="AL57" i="15"/>
  <c r="AF57" i="15"/>
  <c r="AL56" i="15"/>
  <c r="AF56" i="15"/>
  <c r="AL55" i="15"/>
  <c r="AF55" i="15"/>
  <c r="AL54" i="15"/>
  <c r="AF54" i="15"/>
  <c r="AL53" i="15"/>
  <c r="AF53" i="15"/>
  <c r="AL52" i="15"/>
  <c r="AF52" i="15"/>
  <c r="AH51" i="15"/>
  <c r="AF51" i="15"/>
  <c r="AH50" i="15"/>
  <c r="AF50" i="15"/>
  <c r="AH49" i="15"/>
  <c r="AF49" i="15"/>
  <c r="AL47" i="15"/>
  <c r="AF47" i="15"/>
  <c r="AL46" i="15"/>
  <c r="AF46" i="15"/>
  <c r="AH45" i="15"/>
  <c r="AF45" i="15"/>
  <c r="AL44" i="15"/>
  <c r="AF44" i="15"/>
  <c r="AL43" i="15"/>
  <c r="AF43" i="15"/>
  <c r="AL41" i="15"/>
  <c r="AF41" i="15"/>
  <c r="AL40" i="15"/>
  <c r="AF40" i="15"/>
  <c r="AL38" i="15"/>
  <c r="AF38" i="15"/>
  <c r="AL36" i="15"/>
  <c r="AF36" i="15"/>
  <c r="AL35" i="15"/>
  <c r="AF35" i="15"/>
  <c r="AL33" i="15"/>
  <c r="AF33" i="15"/>
  <c r="AL31" i="15"/>
  <c r="AF31" i="15"/>
  <c r="AL30" i="15"/>
  <c r="AF30" i="15"/>
  <c r="AL29" i="15"/>
  <c r="AF29" i="15"/>
  <c r="AL28" i="15"/>
  <c r="AF28" i="15"/>
  <c r="AL27" i="15"/>
  <c r="AF27" i="15"/>
  <c r="AM25" i="15"/>
  <c r="AF22" i="15"/>
  <c r="AF10" i="15"/>
  <c r="AL26" i="15"/>
  <c r="AL22" i="15"/>
  <c r="AH10" i="15"/>
  <c r="AM23" i="15"/>
  <c r="AM21" i="15"/>
  <c r="H5" i="15"/>
  <c r="I5" i="15"/>
  <c r="J5" i="15"/>
  <c r="H6" i="15"/>
  <c r="I6" i="15"/>
  <c r="J6" i="15"/>
  <c r="H8" i="15"/>
  <c r="I8" i="15"/>
  <c r="J8" i="15"/>
  <c r="H9" i="15"/>
  <c r="I9" i="15"/>
  <c r="J9" i="15"/>
  <c r="H10" i="15"/>
  <c r="I10" i="15"/>
  <c r="J10" i="15"/>
  <c r="H11" i="15"/>
  <c r="I11" i="15"/>
  <c r="J11" i="15"/>
  <c r="H12" i="15"/>
  <c r="I12" i="15"/>
  <c r="J12" i="15"/>
  <c r="H13" i="15"/>
  <c r="I13" i="15"/>
  <c r="J13" i="15"/>
  <c r="H14" i="15"/>
  <c r="I14" i="15"/>
  <c r="J14" i="15"/>
  <c r="H15" i="15"/>
  <c r="I15" i="15"/>
  <c r="J15" i="15"/>
  <c r="H16" i="15"/>
  <c r="I16" i="15"/>
  <c r="J16" i="15"/>
  <c r="H19" i="15"/>
  <c r="I19" i="15"/>
  <c r="J19" i="15"/>
  <c r="H20" i="15"/>
  <c r="I20" i="15"/>
  <c r="J20" i="15"/>
  <c r="H21" i="15"/>
  <c r="I21" i="15"/>
  <c r="J21" i="15"/>
  <c r="H22" i="15"/>
  <c r="I22" i="15"/>
  <c r="J22" i="15"/>
  <c r="H23" i="15"/>
  <c r="I23" i="15"/>
  <c r="J23" i="15"/>
  <c r="H24" i="15"/>
  <c r="I24" i="15"/>
  <c r="J24" i="15"/>
  <c r="H25" i="15"/>
  <c r="I25" i="15"/>
  <c r="J25" i="15"/>
  <c r="H26" i="15"/>
  <c r="I26" i="15"/>
  <c r="J26" i="15"/>
  <c r="H27" i="15"/>
  <c r="I27" i="15"/>
  <c r="J27" i="15"/>
  <c r="H28" i="15"/>
  <c r="I28" i="15"/>
  <c r="J28" i="15"/>
  <c r="H29" i="15"/>
  <c r="I29" i="15"/>
  <c r="J29" i="15"/>
  <c r="H30" i="15"/>
  <c r="I30" i="15"/>
  <c r="J30" i="15"/>
  <c r="H31" i="15"/>
  <c r="I31" i="15"/>
  <c r="J31" i="15"/>
  <c r="H32" i="15"/>
  <c r="I32" i="15"/>
  <c r="J32" i="15"/>
  <c r="H33" i="15"/>
  <c r="I33" i="15"/>
  <c r="J33" i="15"/>
  <c r="H35" i="15"/>
  <c r="I35" i="15"/>
  <c r="J35" i="15"/>
  <c r="H36" i="15"/>
  <c r="I36" i="15"/>
  <c r="J36" i="15"/>
  <c r="H38" i="15"/>
  <c r="I38" i="15"/>
  <c r="J38" i="15"/>
  <c r="H39" i="15"/>
  <c r="I39" i="15"/>
  <c r="J39" i="15"/>
  <c r="H40" i="15"/>
  <c r="I40" i="15"/>
  <c r="J40" i="15"/>
  <c r="H41" i="15"/>
  <c r="I41" i="15"/>
  <c r="J41" i="15"/>
  <c r="H42" i="15"/>
  <c r="I42" i="15"/>
  <c r="J42" i="15"/>
  <c r="H43" i="15"/>
  <c r="I43" i="15"/>
  <c r="J43" i="15"/>
  <c r="H44" i="15"/>
  <c r="I44" i="15"/>
  <c r="J44" i="15"/>
  <c r="H45" i="15"/>
  <c r="I45" i="15"/>
  <c r="J45" i="15"/>
  <c r="H46" i="15"/>
  <c r="I46" i="15"/>
  <c r="J46" i="15"/>
  <c r="H47" i="15"/>
  <c r="I47" i="15"/>
  <c r="J47" i="15"/>
  <c r="H49" i="15"/>
  <c r="I49" i="15"/>
  <c r="J49" i="15"/>
  <c r="H50" i="15"/>
  <c r="I50" i="15"/>
  <c r="J50" i="15"/>
  <c r="H51" i="15"/>
  <c r="I51" i="15"/>
  <c r="J51" i="15"/>
  <c r="H52" i="15"/>
  <c r="I52" i="15"/>
  <c r="J52" i="15"/>
  <c r="H53" i="15"/>
  <c r="I53" i="15"/>
  <c r="J53" i="15"/>
  <c r="H54" i="15"/>
  <c r="I54" i="15"/>
  <c r="J54" i="15"/>
  <c r="H55" i="15"/>
  <c r="I55" i="15"/>
  <c r="J55" i="15"/>
  <c r="H56" i="15"/>
  <c r="I56" i="15"/>
  <c r="J56" i="15"/>
  <c r="H57" i="15"/>
  <c r="I57" i="15"/>
  <c r="J57" i="15"/>
  <c r="H58" i="15"/>
  <c r="I58" i="15"/>
  <c r="J58" i="15"/>
  <c r="H59" i="15"/>
  <c r="I59" i="15"/>
  <c r="J59" i="15"/>
  <c r="H60" i="15"/>
  <c r="I60" i="15"/>
  <c r="J60" i="15"/>
  <c r="H61" i="15"/>
  <c r="I61" i="15"/>
  <c r="J61" i="15"/>
  <c r="H62" i="15"/>
  <c r="I62" i="15"/>
  <c r="J62" i="15"/>
  <c r="H63" i="15"/>
  <c r="I63" i="15"/>
  <c r="J63" i="15"/>
  <c r="H64" i="15"/>
  <c r="I64" i="15"/>
  <c r="J64" i="15"/>
  <c r="H65" i="15"/>
  <c r="I65" i="15"/>
  <c r="J65" i="15"/>
  <c r="M5" i="15"/>
  <c r="N5" i="15"/>
  <c r="O5" i="15"/>
  <c r="P5" i="15"/>
  <c r="Q5" i="15"/>
  <c r="R5" i="15"/>
  <c r="M6" i="15"/>
  <c r="D2" i="18" s="1"/>
  <c r="N6" i="15"/>
  <c r="O6" i="15"/>
  <c r="P6" i="15"/>
  <c r="Q6" i="15"/>
  <c r="R6" i="15"/>
  <c r="E78" i="18" s="1"/>
  <c r="M8" i="15"/>
  <c r="N8" i="15"/>
  <c r="O8" i="15"/>
  <c r="P8" i="15"/>
  <c r="Q8" i="15"/>
  <c r="R8" i="15"/>
  <c r="M9" i="15"/>
  <c r="N9" i="15"/>
  <c r="O9" i="15"/>
  <c r="P9" i="15"/>
  <c r="Q9" i="15"/>
  <c r="R9" i="15"/>
  <c r="M10" i="15"/>
  <c r="N10" i="15"/>
  <c r="O10" i="15"/>
  <c r="P10" i="15"/>
  <c r="Q10" i="15"/>
  <c r="R10" i="15"/>
  <c r="M11" i="15"/>
  <c r="N11" i="15"/>
  <c r="O11" i="15"/>
  <c r="P11" i="15"/>
  <c r="Q11" i="15"/>
  <c r="R11" i="15"/>
  <c r="M12" i="15"/>
  <c r="N12" i="15"/>
  <c r="O12" i="15"/>
  <c r="P12" i="15"/>
  <c r="Q12" i="15"/>
  <c r="R12" i="15"/>
  <c r="M13" i="15"/>
  <c r="N13" i="15"/>
  <c r="O13" i="15"/>
  <c r="P13" i="15"/>
  <c r="Q13" i="15"/>
  <c r="R13" i="15"/>
  <c r="M14" i="15"/>
  <c r="N14" i="15"/>
  <c r="O14" i="15"/>
  <c r="P14" i="15"/>
  <c r="Q14" i="15"/>
  <c r="R14" i="15"/>
  <c r="M15" i="15"/>
  <c r="N15" i="15"/>
  <c r="O15" i="15"/>
  <c r="P15" i="15"/>
  <c r="Q15" i="15"/>
  <c r="R15" i="15"/>
  <c r="M16" i="15"/>
  <c r="N16" i="15"/>
  <c r="O16" i="15"/>
  <c r="P16" i="15"/>
  <c r="Q16" i="15"/>
  <c r="R16" i="15"/>
  <c r="M19" i="15"/>
  <c r="N19" i="15"/>
  <c r="O19" i="15"/>
  <c r="P19" i="15"/>
  <c r="Q19" i="15"/>
  <c r="R19" i="15"/>
  <c r="M20" i="15"/>
  <c r="N20" i="15"/>
  <c r="O20" i="15"/>
  <c r="P20" i="15"/>
  <c r="Q20" i="15"/>
  <c r="R20" i="15"/>
  <c r="M21" i="15"/>
  <c r="N21" i="15"/>
  <c r="O21" i="15"/>
  <c r="P21" i="15"/>
  <c r="Q21" i="15"/>
  <c r="R21" i="15"/>
  <c r="M22" i="15"/>
  <c r="N22" i="15"/>
  <c r="O22" i="15"/>
  <c r="P22" i="15"/>
  <c r="Q22" i="15"/>
  <c r="R22" i="15"/>
  <c r="M23" i="15"/>
  <c r="N23" i="15"/>
  <c r="O23" i="15"/>
  <c r="P23" i="15"/>
  <c r="Q23" i="15"/>
  <c r="R23" i="15"/>
  <c r="M24" i="15"/>
  <c r="N24" i="15"/>
  <c r="O24" i="15"/>
  <c r="P24" i="15"/>
  <c r="Q24" i="15"/>
  <c r="R24" i="15"/>
  <c r="M25" i="15"/>
  <c r="N25" i="15"/>
  <c r="O25" i="15"/>
  <c r="P25" i="15"/>
  <c r="Q25" i="15"/>
  <c r="R25" i="15"/>
  <c r="M26" i="15"/>
  <c r="N26" i="15"/>
  <c r="O26" i="15"/>
  <c r="P26" i="15"/>
  <c r="Q26" i="15"/>
  <c r="R26" i="15"/>
  <c r="M27" i="15"/>
  <c r="N27" i="15"/>
  <c r="O27" i="15"/>
  <c r="P27" i="15"/>
  <c r="Q27" i="15"/>
  <c r="R27" i="15"/>
  <c r="M28" i="15"/>
  <c r="N28" i="15"/>
  <c r="O28" i="15"/>
  <c r="P28" i="15"/>
  <c r="Q28" i="15"/>
  <c r="R28" i="15"/>
  <c r="M29" i="15"/>
  <c r="N29" i="15"/>
  <c r="O29" i="15"/>
  <c r="P29" i="15"/>
  <c r="Q29" i="15"/>
  <c r="R29" i="15"/>
  <c r="M30" i="15"/>
  <c r="N30" i="15"/>
  <c r="O30" i="15"/>
  <c r="P30" i="15"/>
  <c r="Q30" i="15"/>
  <c r="R30" i="15"/>
  <c r="M31" i="15"/>
  <c r="N31" i="15"/>
  <c r="O31" i="15"/>
  <c r="P31" i="15"/>
  <c r="Q31" i="15"/>
  <c r="R31" i="15"/>
  <c r="M32" i="15"/>
  <c r="N32" i="15"/>
  <c r="O32" i="15"/>
  <c r="P32" i="15"/>
  <c r="Q32" i="15"/>
  <c r="R32" i="15"/>
  <c r="M33" i="15"/>
  <c r="N33" i="15"/>
  <c r="O33" i="15"/>
  <c r="P33" i="15"/>
  <c r="Q33" i="15"/>
  <c r="R33" i="15"/>
  <c r="M35" i="15"/>
  <c r="N35" i="15"/>
  <c r="O35" i="15"/>
  <c r="P35" i="15"/>
  <c r="Q35" i="15"/>
  <c r="R35" i="15"/>
  <c r="M36" i="15"/>
  <c r="N36" i="15"/>
  <c r="O36" i="15"/>
  <c r="P36" i="15"/>
  <c r="Q36" i="15"/>
  <c r="R36" i="15"/>
  <c r="M38" i="15"/>
  <c r="N38" i="15"/>
  <c r="O38" i="15"/>
  <c r="P38" i="15"/>
  <c r="Q38" i="15"/>
  <c r="R38" i="15"/>
  <c r="M39" i="15"/>
  <c r="N39" i="15"/>
  <c r="O39" i="15"/>
  <c r="P39" i="15"/>
  <c r="Q39" i="15"/>
  <c r="R39" i="15"/>
  <c r="M40" i="15"/>
  <c r="N40" i="15"/>
  <c r="O40" i="15"/>
  <c r="P40" i="15"/>
  <c r="Q40" i="15"/>
  <c r="R40" i="15"/>
  <c r="M41" i="15"/>
  <c r="N41" i="15"/>
  <c r="O41" i="15"/>
  <c r="P41" i="15"/>
  <c r="Q41" i="15"/>
  <c r="R41" i="15"/>
  <c r="M42" i="15"/>
  <c r="N42" i="15"/>
  <c r="O42" i="15"/>
  <c r="P42" i="15"/>
  <c r="Q42" i="15"/>
  <c r="R42" i="15"/>
  <c r="M43" i="15"/>
  <c r="N43" i="15"/>
  <c r="O43" i="15"/>
  <c r="P43" i="15"/>
  <c r="Q43" i="15"/>
  <c r="R43" i="15"/>
  <c r="M44" i="15"/>
  <c r="N44" i="15"/>
  <c r="O44" i="15"/>
  <c r="P44" i="15"/>
  <c r="Q44" i="15"/>
  <c r="R44" i="15"/>
  <c r="M45" i="15"/>
  <c r="N45" i="15"/>
  <c r="O45" i="15"/>
  <c r="P45" i="15"/>
  <c r="Q45" i="15"/>
  <c r="R45" i="15"/>
  <c r="M46" i="15"/>
  <c r="N46" i="15"/>
  <c r="O46" i="15"/>
  <c r="P46" i="15"/>
  <c r="Q46" i="15"/>
  <c r="R46" i="15"/>
  <c r="M47" i="15"/>
  <c r="N47" i="15"/>
  <c r="O47" i="15"/>
  <c r="P47" i="15"/>
  <c r="Q47" i="15"/>
  <c r="R47" i="15"/>
  <c r="M49" i="15"/>
  <c r="N49" i="15"/>
  <c r="O49" i="15"/>
  <c r="P49" i="15"/>
  <c r="Q49" i="15"/>
  <c r="R49" i="15"/>
  <c r="M50" i="15"/>
  <c r="N50" i="15"/>
  <c r="O50" i="15"/>
  <c r="P50" i="15"/>
  <c r="Q50" i="15"/>
  <c r="R50" i="15"/>
  <c r="M51" i="15"/>
  <c r="N51" i="15"/>
  <c r="O51" i="15"/>
  <c r="P51" i="15"/>
  <c r="Q51" i="15"/>
  <c r="R51" i="15"/>
  <c r="M52" i="15"/>
  <c r="N52" i="15"/>
  <c r="O52" i="15"/>
  <c r="P52" i="15"/>
  <c r="Q52" i="15"/>
  <c r="R52" i="15"/>
  <c r="M53" i="15"/>
  <c r="N53" i="15"/>
  <c r="O53" i="15"/>
  <c r="P53" i="15"/>
  <c r="Q53" i="15"/>
  <c r="R53" i="15"/>
  <c r="M54" i="15"/>
  <c r="N54" i="15"/>
  <c r="O54" i="15"/>
  <c r="P54" i="15"/>
  <c r="Q54" i="15"/>
  <c r="R54" i="15"/>
  <c r="M55" i="15"/>
  <c r="N55" i="15"/>
  <c r="O55" i="15"/>
  <c r="P55" i="15"/>
  <c r="Q55" i="15"/>
  <c r="R55" i="15"/>
  <c r="M56" i="15"/>
  <c r="N56" i="15"/>
  <c r="O56" i="15"/>
  <c r="P56" i="15"/>
  <c r="Q56" i="15"/>
  <c r="R56" i="15"/>
  <c r="M57" i="15"/>
  <c r="N57" i="15"/>
  <c r="O57" i="15"/>
  <c r="P57" i="15"/>
  <c r="Q57" i="15"/>
  <c r="R57" i="15"/>
  <c r="M58" i="15"/>
  <c r="N58" i="15"/>
  <c r="O58" i="15"/>
  <c r="P58" i="15"/>
  <c r="Q58" i="15"/>
  <c r="R58" i="15"/>
  <c r="M59" i="15"/>
  <c r="N59" i="15"/>
  <c r="O59" i="15"/>
  <c r="P59" i="15"/>
  <c r="Q59" i="15"/>
  <c r="R59" i="15"/>
  <c r="M60" i="15"/>
  <c r="N60" i="15"/>
  <c r="O60" i="15"/>
  <c r="P60" i="15"/>
  <c r="Q60" i="15"/>
  <c r="R60" i="15"/>
  <c r="M61" i="15"/>
  <c r="N61" i="15"/>
  <c r="O61" i="15"/>
  <c r="P61" i="15"/>
  <c r="Q61" i="15"/>
  <c r="R61" i="15"/>
  <c r="M62" i="15"/>
  <c r="N62" i="15"/>
  <c r="O62" i="15"/>
  <c r="P62" i="15"/>
  <c r="Q62" i="15"/>
  <c r="R62" i="15"/>
  <c r="M63" i="15"/>
  <c r="N63" i="15"/>
  <c r="O63" i="15"/>
  <c r="P63" i="15"/>
  <c r="Q63" i="15"/>
  <c r="R63" i="15"/>
  <c r="M64" i="15"/>
  <c r="N64" i="15"/>
  <c r="O64" i="15"/>
  <c r="P64" i="15"/>
  <c r="Q64" i="15"/>
  <c r="R64" i="15"/>
  <c r="M65" i="15"/>
  <c r="N65" i="15"/>
  <c r="O65" i="15"/>
  <c r="P65" i="15"/>
  <c r="Q65" i="15"/>
  <c r="R65" i="15"/>
  <c r="L13" i="15"/>
  <c r="L14" i="15"/>
  <c r="L21" i="15"/>
  <c r="L23" i="15"/>
  <c r="L25" i="15"/>
  <c r="L26" i="15"/>
  <c r="L32" i="15"/>
  <c r="L45" i="15"/>
  <c r="L19" i="15"/>
  <c r="L49" i="15"/>
  <c r="L50" i="15"/>
  <c r="L53" i="15"/>
  <c r="L60" i="15"/>
  <c r="L61" i="15"/>
  <c r="AI3" i="18" l="1"/>
  <c r="AK3" i="18"/>
  <c r="E44" i="18"/>
  <c r="AA44" i="18" s="1"/>
  <c r="E35" i="18"/>
  <c r="AA35" i="18" s="1"/>
  <c r="E34" i="18"/>
  <c r="AA34" i="18" s="1"/>
  <c r="E43" i="18"/>
  <c r="AA43" i="18" s="1"/>
  <c r="E2" i="18"/>
  <c r="AA2" i="18" s="1"/>
  <c r="X2" i="18"/>
  <c r="R2" i="18"/>
  <c r="AA37" i="18"/>
  <c r="U78" i="18"/>
  <c r="Y78" i="18"/>
  <c r="D78" i="18"/>
  <c r="AA78" i="18" s="1"/>
  <c r="C68" i="18"/>
  <c r="D42" i="18"/>
  <c r="D39" i="18"/>
  <c r="D32" i="18"/>
  <c r="AA32" i="18" s="1"/>
  <c r="D33" i="18"/>
  <c r="AA33" i="18" s="1"/>
  <c r="D31" i="18"/>
  <c r="AA31" i="18" s="1"/>
  <c r="AA46" i="18"/>
  <c r="D38" i="18"/>
  <c r="D30" i="18"/>
  <c r="AA30" i="18" s="1"/>
  <c r="C62" i="18"/>
  <c r="AA62" i="18" s="1"/>
  <c r="C60" i="18"/>
  <c r="AA60" i="18" s="1"/>
  <c r="C63" i="18"/>
  <c r="AA63" i="18" s="1"/>
  <c r="C61" i="18"/>
  <c r="AA61" i="18" s="1"/>
  <c r="C42" i="18"/>
  <c r="C40" i="18"/>
  <c r="AA40" i="18" s="1"/>
  <c r="C41" i="18"/>
  <c r="AA41" i="18" s="1"/>
  <c r="C39" i="18"/>
  <c r="C38" i="18"/>
  <c r="AA38" i="18" s="1"/>
  <c r="L28" i="15"/>
  <c r="L24" i="15"/>
  <c r="L20" i="15"/>
  <c r="I59" i="3"/>
  <c r="I60" i="3"/>
  <c r="I61" i="3"/>
  <c r="I62" i="3"/>
  <c r="I63" i="3"/>
  <c r="I64" i="3"/>
  <c r="I66" i="3"/>
  <c r="I67" i="3"/>
  <c r="I70" i="3"/>
  <c r="I71" i="3"/>
  <c r="I58" i="3"/>
  <c r="I40" i="3"/>
  <c r="I41" i="3"/>
  <c r="I42" i="3"/>
  <c r="I43" i="3"/>
  <c r="I37" i="3"/>
  <c r="Q69" i="3"/>
  <c r="Q68" i="3"/>
  <c r="L69" i="3"/>
  <c r="L68" i="3"/>
  <c r="L65" i="3"/>
  <c r="E69" i="3"/>
  <c r="I69" i="3" s="1"/>
  <c r="E68" i="3"/>
  <c r="I68" i="3" s="1"/>
  <c r="E65" i="3"/>
  <c r="I65" i="3" s="1"/>
  <c r="I39" i="3"/>
  <c r="AA39" i="18" l="1"/>
  <c r="AA42" i="18"/>
  <c r="AB40" i="18"/>
  <c r="AB60" i="18"/>
  <c r="AB34" i="18"/>
  <c r="AB38" i="18"/>
  <c r="AB62" i="18"/>
  <c r="AB39" i="18"/>
  <c r="AB61" i="18"/>
  <c r="AB30" i="18"/>
  <c r="AB33" i="18"/>
  <c r="AB46" i="18"/>
  <c r="AB42" i="18"/>
  <c r="AB31" i="18"/>
  <c r="AB32" i="18"/>
  <c r="AB35" i="18"/>
  <c r="AB41" i="18"/>
  <c r="AB63" i="18"/>
  <c r="AB37" i="18"/>
  <c r="AB43" i="18"/>
  <c r="AB44" i="18"/>
  <c r="AB78" i="18"/>
  <c r="AB2" i="18"/>
  <c r="AC35" i="18"/>
  <c r="Y35" i="18"/>
  <c r="U34" i="18"/>
  <c r="Z34" i="18" s="1"/>
  <c r="Y34" i="18"/>
  <c r="U35" i="18"/>
  <c r="Y43" i="18"/>
  <c r="U43" i="18"/>
  <c r="R37" i="18"/>
  <c r="X37" i="18"/>
  <c r="S42" i="18"/>
  <c r="X62" i="18"/>
  <c r="S38" i="18"/>
  <c r="X63" i="18"/>
  <c r="S41" i="18"/>
  <c r="X68" i="18"/>
  <c r="X61" i="18"/>
  <c r="S39" i="18"/>
  <c r="S40" i="18"/>
  <c r="X60" i="18"/>
  <c r="Z35" i="18"/>
  <c r="R46" i="18"/>
  <c r="X46" i="18"/>
  <c r="R45" i="18"/>
  <c r="X45" i="18"/>
  <c r="U44" i="18"/>
  <c r="Y44" i="18"/>
  <c r="R38" i="18"/>
  <c r="Z38" i="18" s="1"/>
  <c r="X38" i="18"/>
  <c r="R31" i="18"/>
  <c r="X31" i="18"/>
  <c r="R32" i="18"/>
  <c r="X32" i="18"/>
  <c r="R30" i="18"/>
  <c r="Z30" i="18" s="1"/>
  <c r="X30" i="18"/>
  <c r="R33" i="18"/>
  <c r="X33" i="18"/>
  <c r="R39" i="18"/>
  <c r="X39" i="18"/>
  <c r="R78" i="18"/>
  <c r="X78" i="18"/>
  <c r="R42" i="18"/>
  <c r="X42" i="18"/>
  <c r="P62" i="18"/>
  <c r="T62" i="18" s="1"/>
  <c r="S62" i="18"/>
  <c r="P63" i="18"/>
  <c r="T63" i="18" s="1"/>
  <c r="S63" i="18"/>
  <c r="Z63" i="18" s="1"/>
  <c r="P61" i="18"/>
  <c r="T61" i="18" s="1"/>
  <c r="S61" i="18"/>
  <c r="E68" i="18"/>
  <c r="AA68" i="18" s="1"/>
  <c r="S68" i="18"/>
  <c r="P60" i="18"/>
  <c r="T60" i="18" s="1"/>
  <c r="S60" i="18"/>
  <c r="Z60" i="18" s="1"/>
  <c r="D29" i="18"/>
  <c r="AA29" i="18" s="1"/>
  <c r="P29" i="18"/>
  <c r="T29" i="18" s="1"/>
  <c r="D107" i="3"/>
  <c r="D104" i="3"/>
  <c r="D105" i="3" s="1"/>
  <c r="D103" i="3" s="1"/>
  <c r="C5" i="18"/>
  <c r="F5" i="18"/>
  <c r="F4" i="18"/>
  <c r="Z37" i="18" l="1"/>
  <c r="AE37" i="18" s="1"/>
  <c r="AJ37" i="18" s="1"/>
  <c r="AB5" i="18"/>
  <c r="AA5" i="18"/>
  <c r="Z43" i="18"/>
  <c r="AE43" i="18" s="1"/>
  <c r="AB29" i="18"/>
  <c r="AB68" i="18"/>
  <c r="AK35" i="18"/>
  <c r="AI35" i="18"/>
  <c r="AK34" i="18"/>
  <c r="AI34" i="18"/>
  <c r="AD35" i="18"/>
  <c r="Z45" i="18"/>
  <c r="AE45" i="18" s="1"/>
  <c r="AJ45" i="18" s="1"/>
  <c r="AC34" i="18"/>
  <c r="AD34" i="18"/>
  <c r="X5" i="18"/>
  <c r="AE63" i="18"/>
  <c r="AJ63" i="18" s="1"/>
  <c r="Z62" i="18"/>
  <c r="Z61" i="18"/>
  <c r="AE60" i="18"/>
  <c r="AJ60" i="18" s="1"/>
  <c r="Z44" i="18"/>
  <c r="Z42" i="18"/>
  <c r="Z39" i="18"/>
  <c r="AE38" i="18"/>
  <c r="AJ38" i="18" s="1"/>
  <c r="Z32" i="18"/>
  <c r="AE30" i="18"/>
  <c r="AJ30" i="18" s="1"/>
  <c r="D20" i="18"/>
  <c r="AA20" i="18" s="1"/>
  <c r="D19" i="18"/>
  <c r="AA19" i="18" s="1"/>
  <c r="D22" i="18"/>
  <c r="AA22" i="18" s="1"/>
  <c r="D18" i="18"/>
  <c r="AA18" i="18" s="1"/>
  <c r="D21" i="18"/>
  <c r="AA21" i="18" s="1"/>
  <c r="V9" i="18"/>
  <c r="Y9" i="18"/>
  <c r="Z78" i="18"/>
  <c r="P26" i="18"/>
  <c r="T26" i="18" s="1"/>
  <c r="P24" i="18"/>
  <c r="T24" i="18" s="1"/>
  <c r="P23" i="18"/>
  <c r="T23" i="18" s="1"/>
  <c r="E76" i="18"/>
  <c r="E24" i="18"/>
  <c r="E15" i="18"/>
  <c r="E14" i="18"/>
  <c r="E26" i="18"/>
  <c r="E16" i="18"/>
  <c r="E12" i="18"/>
  <c r="E23" i="18"/>
  <c r="E17" i="18"/>
  <c r="E13" i="18"/>
  <c r="E11" i="18"/>
  <c r="AE78" i="18"/>
  <c r="AJ78" i="18" s="1"/>
  <c r="V5" i="18"/>
  <c r="Y5" i="18"/>
  <c r="V4" i="18"/>
  <c r="Y4" i="18"/>
  <c r="R29" i="18"/>
  <c r="X29" i="18"/>
  <c r="U68" i="18"/>
  <c r="Y68" i="18"/>
  <c r="P5" i="18"/>
  <c r="T5" i="18" s="1"/>
  <c r="S5" i="18"/>
  <c r="P76" i="18"/>
  <c r="T76" i="18" s="1"/>
  <c r="D108" i="3"/>
  <c r="E103" i="3"/>
  <c r="B81" i="18"/>
  <c r="B82" i="18"/>
  <c r="AH37" i="18" l="1"/>
  <c r="AL37" i="18" s="1"/>
  <c r="AH43" i="18"/>
  <c r="AL43" i="18" s="1"/>
  <c r="AJ43" i="18"/>
  <c r="AB21" i="18"/>
  <c r="AB20" i="18"/>
  <c r="AB22" i="18"/>
  <c r="AB19" i="18"/>
  <c r="AB18" i="18"/>
  <c r="Y76" i="18"/>
  <c r="AH38" i="18"/>
  <c r="AL38" i="18" s="1"/>
  <c r="AH45" i="18"/>
  <c r="AL45" i="18" s="1"/>
  <c r="AH78" i="18"/>
  <c r="AL78" i="18" s="1"/>
  <c r="AH30" i="18"/>
  <c r="AL30" i="18" s="1"/>
  <c r="AH63" i="18"/>
  <c r="AL63" i="18" s="1"/>
  <c r="AH60" i="18"/>
  <c r="AL60" i="18" s="1"/>
  <c r="Z9" i="18"/>
  <c r="AE9" i="18" s="1"/>
  <c r="AJ9" i="18" s="1"/>
  <c r="AE62" i="18"/>
  <c r="AJ62" i="18" s="1"/>
  <c r="AE61" i="18"/>
  <c r="AJ61" i="18" s="1"/>
  <c r="AJ48" i="18"/>
  <c r="AE44" i="18"/>
  <c r="AJ44" i="18" s="1"/>
  <c r="AE42" i="18"/>
  <c r="AJ42" i="18" s="1"/>
  <c r="AE39" i="18"/>
  <c r="AJ39" i="18" s="1"/>
  <c r="AE32" i="18"/>
  <c r="AJ32" i="18" s="1"/>
  <c r="U76" i="18"/>
  <c r="D23" i="18"/>
  <c r="AA23" i="18" s="1"/>
  <c r="P16" i="18"/>
  <c r="T16" i="18" s="1"/>
  <c r="D14" i="18"/>
  <c r="AA14" i="18" s="1"/>
  <c r="P12" i="18"/>
  <c r="T12" i="18" s="1"/>
  <c r="D24" i="18"/>
  <c r="AA24" i="18" s="1"/>
  <c r="P17" i="18"/>
  <c r="T17" i="18" s="1"/>
  <c r="D15" i="18"/>
  <c r="AA15" i="18" s="1"/>
  <c r="P13" i="18"/>
  <c r="T13" i="18" s="1"/>
  <c r="P15" i="18"/>
  <c r="T15" i="18" s="1"/>
  <c r="D26" i="18"/>
  <c r="AA26" i="18" s="1"/>
  <c r="D16" i="18"/>
  <c r="AA16" i="18" s="1"/>
  <c r="P14" i="18"/>
  <c r="T14" i="18" s="1"/>
  <c r="D12" i="18"/>
  <c r="AA12" i="18" s="1"/>
  <c r="D17" i="18"/>
  <c r="AA17" i="18" s="1"/>
  <c r="D13" i="18"/>
  <c r="AA13" i="18" s="1"/>
  <c r="P11" i="18"/>
  <c r="T11" i="18" s="1"/>
  <c r="D11" i="18"/>
  <c r="AA11" i="18" s="1"/>
  <c r="D76" i="18"/>
  <c r="AA76" i="18" s="1"/>
  <c r="U23" i="18"/>
  <c r="Y23" i="18"/>
  <c r="U11" i="18"/>
  <c r="Y11" i="18"/>
  <c r="U24" i="18"/>
  <c r="Y24" i="18"/>
  <c r="U12" i="18"/>
  <c r="Y12" i="18"/>
  <c r="U13" i="18"/>
  <c r="Y13" i="18"/>
  <c r="U16" i="18"/>
  <c r="Y16" i="18"/>
  <c r="U15" i="18"/>
  <c r="Y15" i="18"/>
  <c r="U26" i="18"/>
  <c r="Y26" i="18"/>
  <c r="U17" i="18"/>
  <c r="Y17" i="18"/>
  <c r="U14" i="18"/>
  <c r="Y14" i="18"/>
  <c r="U2" i="18"/>
  <c r="Y2" i="18"/>
  <c r="Q4" i="18"/>
  <c r="W4" i="18" s="1"/>
  <c r="C4" i="18"/>
  <c r="AA4" i="18" l="1"/>
  <c r="AK37" i="18"/>
  <c r="AI37" i="18"/>
  <c r="AK43" i="18"/>
  <c r="AI43" i="18"/>
  <c r="AI60" i="18"/>
  <c r="AB15" i="18"/>
  <c r="AB16" i="18"/>
  <c r="AB11" i="18"/>
  <c r="AB12" i="18"/>
  <c r="AB24" i="18"/>
  <c r="AB17" i="18"/>
  <c r="AB26" i="18"/>
  <c r="AK63" i="18"/>
  <c r="AK30" i="18"/>
  <c r="AB23" i="18"/>
  <c r="AB4" i="18"/>
  <c r="AB13" i="18"/>
  <c r="AI63" i="18"/>
  <c r="AI30" i="18"/>
  <c r="AK38" i="18"/>
  <c r="AB14" i="18"/>
  <c r="AK78" i="18"/>
  <c r="AI38" i="18"/>
  <c r="AB76" i="18"/>
  <c r="AH39" i="18"/>
  <c r="AL39" i="18" s="1"/>
  <c r="AH61" i="18"/>
  <c r="AL61" i="18" s="1"/>
  <c r="AH42" i="18"/>
  <c r="AL42" i="18" s="1"/>
  <c r="AH62" i="18"/>
  <c r="AL62" i="18" s="1"/>
  <c r="AH44" i="18"/>
  <c r="AL44" i="18" s="1"/>
  <c r="AH9" i="18"/>
  <c r="AL9" i="18" s="1"/>
  <c r="AI45" i="18"/>
  <c r="AH32" i="18"/>
  <c r="AL32" i="18" s="1"/>
  <c r="AH48" i="18"/>
  <c r="AL48" i="18" s="1"/>
  <c r="AK60" i="18"/>
  <c r="AI78" i="18"/>
  <c r="AK45" i="18"/>
  <c r="R76" i="18"/>
  <c r="X4" i="18"/>
  <c r="X76" i="18"/>
  <c r="Z76" i="18" s="1"/>
  <c r="Z31" i="18"/>
  <c r="AE31" i="18" s="1"/>
  <c r="AJ31" i="18" s="1"/>
  <c r="R12" i="18"/>
  <c r="X12" i="18"/>
  <c r="R13" i="18"/>
  <c r="X13" i="18"/>
  <c r="R14" i="18"/>
  <c r="X14" i="18"/>
  <c r="R26" i="18"/>
  <c r="X26" i="18"/>
  <c r="R24" i="18"/>
  <c r="X24" i="18"/>
  <c r="R15" i="18"/>
  <c r="X15" i="18"/>
  <c r="R11" i="18"/>
  <c r="X11" i="18"/>
  <c r="R17" i="18"/>
  <c r="X17" i="18"/>
  <c r="R23" i="18"/>
  <c r="X23" i="18"/>
  <c r="R16" i="18"/>
  <c r="X16" i="18"/>
  <c r="P4" i="18"/>
  <c r="T4" i="18" s="1"/>
  <c r="S4" i="18"/>
  <c r="AC71" i="18"/>
  <c r="AI32" i="18" l="1"/>
  <c r="AI48" i="18"/>
  <c r="AK42" i="18"/>
  <c r="AI42" i="18"/>
  <c r="AK62" i="18"/>
  <c r="AK61" i="18"/>
  <c r="AK44" i="18"/>
  <c r="AI39" i="18"/>
  <c r="AI44" i="18"/>
  <c r="AK32" i="18"/>
  <c r="AI61" i="18"/>
  <c r="AH31" i="18"/>
  <c r="AL31" i="18" s="1"/>
  <c r="AK9" i="18"/>
  <c r="AI9" i="18"/>
  <c r="AK48" i="18"/>
  <c r="AI62" i="18"/>
  <c r="AK39" i="18"/>
  <c r="AE76" i="18"/>
  <c r="AJ76" i="18" s="1"/>
  <c r="Z17" i="18"/>
  <c r="AE17" i="18" s="1"/>
  <c r="AJ17" i="18" s="1"/>
  <c r="Z16" i="18"/>
  <c r="AE16" i="18" s="1"/>
  <c r="AJ16" i="18" s="1"/>
  <c r="Z15" i="18"/>
  <c r="AE15" i="18" s="1"/>
  <c r="AJ15" i="18" s="1"/>
  <c r="Z13" i="18"/>
  <c r="AE13" i="18" s="1"/>
  <c r="AJ13" i="18" s="1"/>
  <c r="Z26" i="18"/>
  <c r="Z24" i="18"/>
  <c r="Z23" i="18"/>
  <c r="Z11" i="18"/>
  <c r="Z14" i="18"/>
  <c r="Z12" i="18"/>
  <c r="Z4" i="18"/>
  <c r="AE4" i="18" s="1"/>
  <c r="AJ4" i="18" s="1"/>
  <c r="AC2" i="18"/>
  <c r="AD76" i="18"/>
  <c r="AC76" i="18"/>
  <c r="AD71" i="18"/>
  <c r="AC70" i="18"/>
  <c r="AD70" i="18"/>
  <c r="AK31" i="18" l="1"/>
  <c r="AH13" i="18"/>
  <c r="AL13" i="18" s="1"/>
  <c r="AH76" i="18"/>
  <c r="AL76" i="18" s="1"/>
  <c r="AH4" i="18"/>
  <c r="AL4" i="18" s="1"/>
  <c r="AH15" i="18"/>
  <c r="AL15" i="18" s="1"/>
  <c r="AH16" i="18"/>
  <c r="AL16" i="18" s="1"/>
  <c r="AH17" i="18"/>
  <c r="AL17" i="18" s="1"/>
  <c r="AI31" i="18"/>
  <c r="AE26" i="18"/>
  <c r="AJ26" i="18" s="1"/>
  <c r="AE24" i="18"/>
  <c r="AJ24" i="18" s="1"/>
  <c r="AE23" i="18"/>
  <c r="AJ23" i="18" s="1"/>
  <c r="AE12" i="18"/>
  <c r="AJ12" i="18" s="1"/>
  <c r="AE14" i="18"/>
  <c r="AJ14" i="18" s="1"/>
  <c r="AE11" i="18"/>
  <c r="AJ11" i="18" s="1"/>
  <c r="R40" i="18"/>
  <c r="X40" i="18"/>
  <c r="R41" i="18"/>
  <c r="X41" i="18"/>
  <c r="AI17" i="18" l="1"/>
  <c r="AI16" i="18"/>
  <c r="AK4" i="18"/>
  <c r="AK76" i="18"/>
  <c r="AI4" i="18"/>
  <c r="AI76" i="18"/>
  <c r="AK16" i="18"/>
  <c r="AH24" i="18"/>
  <c r="AL24" i="18" s="1"/>
  <c r="AH14" i="18"/>
  <c r="AL14" i="18" s="1"/>
  <c r="AH26" i="18"/>
  <c r="AL26" i="18" s="1"/>
  <c r="AH12" i="18"/>
  <c r="AL12" i="18" s="1"/>
  <c r="AI15" i="18"/>
  <c r="AK13" i="18"/>
  <c r="AH23" i="18"/>
  <c r="AL23" i="18" s="1"/>
  <c r="AK17" i="18"/>
  <c r="AK15" i="18"/>
  <c r="AI13" i="18"/>
  <c r="AH11" i="18"/>
  <c r="AL11" i="18" s="1"/>
  <c r="Z41" i="18"/>
  <c r="AC78" i="18"/>
  <c r="AI12" i="18" l="1"/>
  <c r="AK24" i="18"/>
  <c r="AI11" i="18"/>
  <c r="AK26" i="18"/>
  <c r="AK14" i="18"/>
  <c r="AK11" i="18"/>
  <c r="AK23" i="18"/>
  <c r="AK12" i="18"/>
  <c r="AI23" i="18"/>
  <c r="AI26" i="18"/>
  <c r="AI14" i="18"/>
  <c r="AI24" i="18"/>
  <c r="AE41" i="18"/>
  <c r="AJ41" i="18" s="1"/>
  <c r="AC45" i="18"/>
  <c r="AH41" i="18" l="1"/>
  <c r="AL41" i="18" s="1"/>
  <c r="P37" i="13"/>
  <c r="AK41" i="18" l="1"/>
  <c r="AI41" i="18"/>
  <c r="Z33" i="18"/>
  <c r="AE33" i="18"/>
  <c r="AJ33" i="18" s="1"/>
  <c r="AJ52" i="18"/>
  <c r="Z29" i="18"/>
  <c r="AE29" i="18" s="1"/>
  <c r="AJ29" i="18" s="1"/>
  <c r="AJ51" i="18"/>
  <c r="AJ50" i="18"/>
  <c r="Z46" i="18"/>
  <c r="AE46" i="18" s="1"/>
  <c r="AJ46" i="18" s="1"/>
  <c r="AJ55" i="18"/>
  <c r="AJ49" i="18"/>
  <c r="T27" i="18"/>
  <c r="AA27" i="18"/>
  <c r="P9" i="3"/>
  <c r="P8" i="3"/>
  <c r="K9" i="3"/>
  <c r="K8" i="3"/>
  <c r="D9" i="3"/>
  <c r="D8" i="3"/>
  <c r="AB27" i="18" l="1"/>
  <c r="AH50" i="18"/>
  <c r="AL50" i="18" s="1"/>
  <c r="AH52" i="18"/>
  <c r="AL52" i="18" s="1"/>
  <c r="AH55" i="18"/>
  <c r="AL55" i="18" s="1"/>
  <c r="AH51" i="18"/>
  <c r="AL51" i="18" s="1"/>
  <c r="AH33" i="18"/>
  <c r="AL33" i="18" s="1"/>
  <c r="AH29" i="18"/>
  <c r="AL29" i="18" s="1"/>
  <c r="AH49" i="18"/>
  <c r="AL49" i="18" s="1"/>
  <c r="AH46" i="18"/>
  <c r="AL46" i="18" s="1"/>
  <c r="P8" i="13"/>
  <c r="P9" i="13"/>
  <c r="Z40" i="18"/>
  <c r="AE40" i="18" s="1"/>
  <c r="AJ40" i="18" s="1"/>
  <c r="R27" i="18"/>
  <c r="X27" i="18"/>
  <c r="C8" i="18"/>
  <c r="AA8" i="18" s="1"/>
  <c r="AC40" i="18"/>
  <c r="AC62" i="18"/>
  <c r="AD62" i="18"/>
  <c r="AC60" i="18"/>
  <c r="AD60" i="18"/>
  <c r="AC63" i="18"/>
  <c r="AD63" i="18"/>
  <c r="AC39" i="18"/>
  <c r="AC61" i="18"/>
  <c r="AD61" i="18"/>
  <c r="AK33" i="18" l="1"/>
  <c r="AI50" i="18"/>
  <c r="AB8" i="18"/>
  <c r="AI49" i="18"/>
  <c r="AI33" i="18"/>
  <c r="AI51" i="18"/>
  <c r="AH40" i="18"/>
  <c r="AL40" i="18" s="1"/>
  <c r="AI29" i="18"/>
  <c r="AI52" i="18"/>
  <c r="AI46" i="18"/>
  <c r="AK29" i="18"/>
  <c r="AI55" i="18"/>
  <c r="AK52" i="18"/>
  <c r="AK46" i="18"/>
  <c r="AK49" i="18"/>
  <c r="AK51" i="18"/>
  <c r="AK55" i="18"/>
  <c r="AK50" i="18"/>
  <c r="P8" i="18"/>
  <c r="T8" i="18" s="1"/>
  <c r="P7" i="18"/>
  <c r="T7" i="18" s="1"/>
  <c r="Z7" i="18" s="1"/>
  <c r="Z27" i="18"/>
  <c r="C10" i="18"/>
  <c r="V7" i="18"/>
  <c r="Y7" i="18"/>
  <c r="S8" i="18"/>
  <c r="X8" i="18"/>
  <c r="F10" i="18"/>
  <c r="AD40" i="18"/>
  <c r="AC41" i="18"/>
  <c r="AC43" i="18"/>
  <c r="AD43" i="18"/>
  <c r="AC31" i="18"/>
  <c r="AD31" i="18"/>
  <c r="AC44" i="18"/>
  <c r="AC42" i="18"/>
  <c r="AC46" i="18"/>
  <c r="AD46" i="18"/>
  <c r="AC32" i="18"/>
  <c r="AD32" i="18"/>
  <c r="AC33" i="18"/>
  <c r="AD33" i="18"/>
  <c r="T21" i="3"/>
  <c r="O21" i="3"/>
  <c r="H21" i="3"/>
  <c r="E18" i="14" l="1"/>
  <c r="AA10" i="18"/>
  <c r="AB10" i="18"/>
  <c r="AB79" i="18" s="1"/>
  <c r="AK40" i="18"/>
  <c r="AI40" i="18"/>
  <c r="AE27" i="18"/>
  <c r="AJ27" i="18" s="1"/>
  <c r="Z8" i="18"/>
  <c r="AE8" i="18" s="1"/>
  <c r="AJ8" i="18" s="1"/>
  <c r="AE7" i="18"/>
  <c r="AJ7" i="18" s="1"/>
  <c r="V10" i="18"/>
  <c r="Y10" i="18"/>
  <c r="S10" i="18"/>
  <c r="X10" i="18"/>
  <c r="AC37" i="18"/>
  <c r="AD37" i="18"/>
  <c r="AC30" i="18"/>
  <c r="AD30" i="18"/>
  <c r="AC27" i="18"/>
  <c r="AD27" i="18"/>
  <c r="AC29" i="18"/>
  <c r="AD29" i="18"/>
  <c r="R19" i="3"/>
  <c r="T19" i="3" s="1"/>
  <c r="P19" i="3"/>
  <c r="D16" i="14" s="1"/>
  <c r="O19" i="3"/>
  <c r="H19" i="3"/>
  <c r="M19" i="13"/>
  <c r="O19" i="13" s="1"/>
  <c r="L19" i="13"/>
  <c r="K19" i="13"/>
  <c r="G19" i="13"/>
  <c r="AH7" i="18" l="1"/>
  <c r="AL7" i="18" s="1"/>
  <c r="AH8" i="18"/>
  <c r="AL8" i="18" s="1"/>
  <c r="AH27" i="18"/>
  <c r="AL27" i="18" s="1"/>
  <c r="Z10" i="18"/>
  <c r="W79" i="18"/>
  <c r="Z5" i="18"/>
  <c r="E16" i="14"/>
  <c r="Q79" i="18"/>
  <c r="AI7" i="18" l="1"/>
  <c r="AI8" i="18"/>
  <c r="AK7" i="18"/>
  <c r="AK27" i="18"/>
  <c r="AI27" i="18"/>
  <c r="AK8" i="18"/>
  <c r="AE10" i="18"/>
  <c r="AJ10" i="18" s="1"/>
  <c r="AE5" i="18"/>
  <c r="AJ5" i="18" s="1"/>
  <c r="AH5" i="18" l="1"/>
  <c r="AL5" i="18" s="1"/>
  <c r="AH10" i="18"/>
  <c r="AL10" i="18" s="1"/>
  <c r="AD39" i="18"/>
  <c r="AD41" i="18"/>
  <c r="AD42" i="18"/>
  <c r="AD45" i="18"/>
  <c r="AD44" i="18"/>
  <c r="AI5" i="18" l="1"/>
  <c r="AK10" i="18"/>
  <c r="AI10" i="18"/>
  <c r="AK5" i="18"/>
  <c r="U18" i="3"/>
  <c r="U23" i="3"/>
  <c r="U14" i="3"/>
  <c r="U15" i="3"/>
  <c r="U19" i="3"/>
  <c r="U24" i="3"/>
  <c r="U16" i="3"/>
  <c r="U20" i="3"/>
  <c r="U25" i="3"/>
  <c r="U17" i="3"/>
  <c r="U21" i="3"/>
  <c r="P15" i="13"/>
  <c r="P19" i="13"/>
  <c r="P25" i="13"/>
  <c r="P16" i="13"/>
  <c r="P20" i="13"/>
  <c r="P23" i="13"/>
  <c r="P17" i="13"/>
  <c r="P21" i="13"/>
  <c r="P14" i="13"/>
  <c r="P18" i="13"/>
  <c r="P24" i="13"/>
  <c r="Y22" i="18" l="1"/>
  <c r="Y19" i="18"/>
  <c r="Y21" i="18"/>
  <c r="Y20" i="18"/>
  <c r="AD78" i="18"/>
  <c r="AC4" i="18"/>
  <c r="AD2" i="18"/>
  <c r="R22" i="18" l="1"/>
  <c r="X22" i="18"/>
  <c r="U18" i="18"/>
  <c r="Y18" i="18"/>
  <c r="R21" i="18"/>
  <c r="X21" i="18"/>
  <c r="R20" i="18"/>
  <c r="X20" i="18"/>
  <c r="R19" i="18"/>
  <c r="X19" i="18"/>
  <c r="R18" i="18"/>
  <c r="X18" i="18"/>
  <c r="U21" i="18"/>
  <c r="U22" i="18"/>
  <c r="U19" i="18"/>
  <c r="U20" i="18"/>
  <c r="P20" i="18"/>
  <c r="T20" i="18" s="1"/>
  <c r="P19" i="18"/>
  <c r="T19" i="18" s="1"/>
  <c r="P18" i="18"/>
  <c r="T18" i="18" s="1"/>
  <c r="AD22" i="18"/>
  <c r="P22" i="18"/>
  <c r="T22" i="18" s="1"/>
  <c r="P21" i="18"/>
  <c r="T21" i="18" s="1"/>
  <c r="AD19" i="18"/>
  <c r="AC20" i="18"/>
  <c r="AC21" i="18"/>
  <c r="AC15" i="18"/>
  <c r="AD15" i="18"/>
  <c r="AC16" i="18"/>
  <c r="AD16" i="18"/>
  <c r="Z22" i="18" l="1"/>
  <c r="Z21" i="18"/>
  <c r="Z20" i="18"/>
  <c r="Z19" i="18"/>
  <c r="Z18" i="18"/>
  <c r="AC22" i="18"/>
  <c r="AD21" i="18"/>
  <c r="AC19" i="18"/>
  <c r="AD20" i="18"/>
  <c r="AC74" i="18"/>
  <c r="AD74" i="18"/>
  <c r="AD73" i="18"/>
  <c r="AC73" i="18"/>
  <c r="AD4" i="18"/>
  <c r="AE22" i="18" l="1"/>
  <c r="AJ22" i="18" s="1"/>
  <c r="AE21" i="18"/>
  <c r="AJ21" i="18" s="1"/>
  <c r="AE20" i="18"/>
  <c r="AJ20" i="18" s="1"/>
  <c r="AE19" i="18"/>
  <c r="AJ19" i="18" s="1"/>
  <c r="AE18" i="18"/>
  <c r="AJ18" i="18" s="1"/>
  <c r="O21" i="13"/>
  <c r="K21" i="13"/>
  <c r="G21" i="13"/>
  <c r="O28" i="13"/>
  <c r="K28" i="13"/>
  <c r="G28" i="13"/>
  <c r="O25" i="13"/>
  <c r="K25" i="13"/>
  <c r="G25" i="13"/>
  <c r="O24" i="13"/>
  <c r="K24" i="13"/>
  <c r="G24" i="13"/>
  <c r="O23" i="13"/>
  <c r="K23" i="13"/>
  <c r="G23" i="13"/>
  <c r="O20" i="13"/>
  <c r="K20" i="13"/>
  <c r="G20" i="13"/>
  <c r="O18" i="13"/>
  <c r="K18" i="13"/>
  <c r="G18" i="13"/>
  <c r="O17" i="13"/>
  <c r="K17" i="13"/>
  <c r="G17" i="13"/>
  <c r="O16" i="13"/>
  <c r="K16" i="13"/>
  <c r="G16" i="13"/>
  <c r="O15" i="13"/>
  <c r="K15" i="13"/>
  <c r="G15" i="13"/>
  <c r="O14" i="13"/>
  <c r="K14" i="13"/>
  <c r="G14" i="13"/>
  <c r="AH21" i="18" l="1"/>
  <c r="AL21" i="18" s="1"/>
  <c r="AH18" i="18"/>
  <c r="AL18" i="18" s="1"/>
  <c r="AH22" i="18"/>
  <c r="AL22" i="18" s="1"/>
  <c r="AH19" i="18"/>
  <c r="AL19" i="18" s="1"/>
  <c r="AH20" i="18"/>
  <c r="AL20" i="18" s="1"/>
  <c r="D79" i="18"/>
  <c r="AD7" i="18"/>
  <c r="AC7" i="18"/>
  <c r="AC5" i="18"/>
  <c r="AD5" i="18"/>
  <c r="AC3" i="18"/>
  <c r="AD3" i="18"/>
  <c r="C20" i="79"/>
  <c r="T28" i="3"/>
  <c r="O28" i="3"/>
  <c r="H28" i="3"/>
  <c r="T25" i="3"/>
  <c r="O25" i="3"/>
  <c r="H25" i="3"/>
  <c r="T24" i="3"/>
  <c r="O24" i="3"/>
  <c r="H24" i="3"/>
  <c r="T23" i="3"/>
  <c r="O23" i="3"/>
  <c r="H23" i="3"/>
  <c r="T20" i="3"/>
  <c r="O20" i="3"/>
  <c r="H20" i="3"/>
  <c r="T18" i="3"/>
  <c r="O18" i="3"/>
  <c r="H18" i="3"/>
  <c r="T17" i="3"/>
  <c r="O17" i="3"/>
  <c r="H17" i="3"/>
  <c r="T16" i="3"/>
  <c r="O16" i="3"/>
  <c r="H16" i="3"/>
  <c r="T15" i="3"/>
  <c r="O15" i="3"/>
  <c r="H15" i="3"/>
  <c r="T14" i="3"/>
  <c r="O14" i="3"/>
  <c r="H14" i="3"/>
  <c r="AK20" i="18" l="1"/>
  <c r="AI18" i="18"/>
  <c r="AK18" i="18"/>
  <c r="AI22" i="18"/>
  <c r="AI19" i="18"/>
  <c r="AK22" i="18"/>
  <c r="AI21" i="18"/>
  <c r="AI20" i="18"/>
  <c r="AK19" i="18"/>
  <c r="AK21" i="18"/>
  <c r="E11" i="14"/>
  <c r="E15" i="14"/>
  <c r="E21" i="14"/>
  <c r="E14" i="14"/>
  <c r="E20" i="14"/>
  <c r="E13" i="14"/>
  <c r="E19" i="14"/>
  <c r="E12" i="14"/>
  <c r="E17" i="14"/>
  <c r="E22" i="14"/>
  <c r="AC38" i="18"/>
  <c r="AD38" i="18"/>
  <c r="AC9" i="18"/>
  <c r="AD9" i="18"/>
  <c r="AC8" i="18"/>
  <c r="AD8" i="18"/>
  <c r="AC68" i="18"/>
  <c r="AD68" i="18"/>
  <c r="F79" i="18"/>
  <c r="C79" i="18"/>
  <c r="E79" i="18"/>
  <c r="D113" i="79" l="1"/>
  <c r="B83" i="18"/>
  <c r="D112" i="79"/>
  <c r="AC10" i="18"/>
  <c r="AD10" i="18"/>
  <c r="AC17" i="18"/>
  <c r="AD17" i="18"/>
  <c r="AC18" i="18"/>
  <c r="AD18" i="18"/>
  <c r="AC11" i="18"/>
  <c r="AD11" i="18"/>
  <c r="AC13" i="18"/>
  <c r="AD13" i="18"/>
  <c r="AC12" i="18"/>
  <c r="AD12" i="18"/>
  <c r="AC26" i="18"/>
  <c r="AD26" i="18"/>
  <c r="AC14" i="18"/>
  <c r="AD14" i="18"/>
  <c r="AC23" i="18"/>
  <c r="AD23" i="18"/>
  <c r="AA79" i="18"/>
  <c r="AC24" i="18"/>
  <c r="AD24" i="18"/>
  <c r="B84" i="18"/>
  <c r="B85" i="18" l="1"/>
  <c r="AC79" i="18"/>
  <c r="AD79" i="18" s="1"/>
  <c r="L9" i="15" l="1"/>
  <c r="L52" i="15"/>
  <c r="L41" i="15"/>
  <c r="L62" i="15"/>
  <c r="L51" i="15"/>
  <c r="L36" i="15"/>
  <c r="L65" i="15"/>
  <c r="L30" i="15"/>
  <c r="L44" i="15"/>
  <c r="L27" i="15"/>
  <c r="L46" i="15"/>
  <c r="L6" i="15"/>
  <c r="P2" i="18" s="1"/>
  <c r="T2" i="18" s="1"/>
  <c r="Z2" i="18" s="1"/>
  <c r="L47" i="15"/>
  <c r="L55" i="15"/>
  <c r="L33" i="15"/>
  <c r="L63" i="15"/>
  <c r="L31" i="15"/>
  <c r="L35" i="15"/>
  <c r="L8" i="15"/>
  <c r="L64" i="15"/>
  <c r="L40" i="15"/>
  <c r="L22" i="15"/>
  <c r="L10" i="15"/>
  <c r="L38" i="15"/>
  <c r="L29" i="15"/>
  <c r="L39" i="15"/>
  <c r="L59" i="15"/>
  <c r="L43" i="15"/>
  <c r="L56" i="15"/>
  <c r="L16" i="15"/>
  <c r="L15" i="15"/>
  <c r="L57" i="15"/>
  <c r="L5" i="15"/>
  <c r="L11" i="15"/>
  <c r="L58" i="15"/>
  <c r="L12" i="15"/>
  <c r="L42" i="15"/>
  <c r="L54" i="15"/>
  <c r="AE2" i="18" l="1"/>
  <c r="AJ2" i="18" s="1"/>
  <c r="P68" i="18"/>
  <c r="T68" i="18" s="1"/>
  <c r="AH2" i="18" l="1"/>
  <c r="AI2" i="18" s="1"/>
  <c r="C102" i="79" s="1"/>
  <c r="P79" i="18"/>
  <c r="C85" i="79" s="1"/>
  <c r="AL2" i="18" l="1"/>
  <c r="AK2" i="18"/>
  <c r="C17" i="79" s="1"/>
  <c r="Z79" i="18"/>
  <c r="E23" i="79" l="1"/>
  <c r="C18" i="79"/>
  <c r="C21" i="79" s="1"/>
  <c r="D33" i="79"/>
  <c r="D34" i="79"/>
  <c r="C33" i="79"/>
  <c r="D35" i="79"/>
  <c r="D36" i="79"/>
  <c r="C34" i="79"/>
  <c r="C35" i="79"/>
  <c r="C36" i="79"/>
  <c r="C61" i="79" l="1"/>
  <c r="C82" i="79" s="1"/>
  <c r="C62" i="79"/>
  <c r="C83" i="79" s="1"/>
  <c r="C24" i="79"/>
  <c r="E34" i="79" s="1"/>
  <c r="C22" i="79"/>
  <c r="F34" i="79"/>
  <c r="F36" i="79"/>
  <c r="F33" i="79"/>
  <c r="F35" i="79"/>
  <c r="C25" i="79" l="1"/>
  <c r="E36" i="79"/>
  <c r="E35" i="79"/>
  <c r="C78" i="79"/>
  <c r="C103" i="79"/>
  <c r="E33" i="79"/>
  <c r="H35" i="79"/>
  <c r="G35" i="79"/>
  <c r="H36" i="79"/>
  <c r="G36" i="79"/>
  <c r="H33" i="79"/>
  <c r="G33" i="79"/>
  <c r="H34" i="79"/>
  <c r="G34" i="79"/>
  <c r="F83" i="79" l="1"/>
  <c r="F96" i="79" s="1"/>
  <c r="F82" i="79"/>
  <c r="F95" i="79" s="1"/>
  <c r="C112" i="79"/>
  <c r="C51" i="79" s="1"/>
  <c r="C113" i="79"/>
  <c r="C52" i="79" s="1"/>
  <c r="D91" i="79"/>
  <c r="D88" i="79"/>
  <c r="D93" i="79"/>
  <c r="D62" i="79"/>
  <c r="D61" i="79"/>
  <c r="F88" i="79" l="1"/>
  <c r="F92" i="79"/>
  <c r="F89" i="79"/>
  <c r="F91" i="79"/>
  <c r="F94" i="79"/>
  <c r="F93" i="79"/>
  <c r="E17" i="79"/>
  <c r="AE79" i="18" s="1"/>
  <c r="E89" i="79" l="1"/>
  <c r="E62" i="79" l="1"/>
  <c r="E96" i="79"/>
  <c r="E95" i="79"/>
  <c r="E93" i="79"/>
  <c r="E88" i="79"/>
  <c r="E61" i="79" s="1"/>
  <c r="E91" i="79"/>
  <c r="E92" i="79"/>
  <c r="E94" i="79"/>
</calcChain>
</file>

<file path=xl/comments1.xml><?xml version="1.0" encoding="utf-8"?>
<comments xmlns="http://schemas.openxmlformats.org/spreadsheetml/2006/main">
  <authors>
    <author>Beaulieu, Shelley (CliftonPark,NY-US)</author>
  </authors>
  <commentList>
    <comment ref="G3" authorId="0" shapeId="0">
      <text>
        <r>
          <rPr>
            <sz val="9"/>
            <color indexed="81"/>
            <rFont val="Tahoma"/>
            <family val="2"/>
          </rPr>
          <t>*Occupiable space = Gross heated square footage of residential and residentially-associated spaces.   Previously called GHSF.</t>
        </r>
      </text>
    </comment>
    <comment ref="G7" authorId="0" shapeId="0">
      <text>
        <r>
          <rPr>
            <sz val="9"/>
            <color indexed="81"/>
            <rFont val="Tahoma"/>
            <family val="2"/>
          </rPr>
          <t xml:space="preserve">** As defined per NYS ECCC 2010 Section 101.4.2.
</t>
        </r>
      </text>
    </comment>
    <comment ref="D41" authorId="0" shapeId="0">
      <text>
        <r>
          <rPr>
            <b/>
            <sz val="9"/>
            <color indexed="81"/>
            <rFont val="Tahoma"/>
            <family val="2"/>
          </rPr>
          <t>Beaulieu, Shelley (CliftonPark,NY-US):</t>
        </r>
        <r>
          <rPr>
            <sz val="9"/>
            <color indexed="81"/>
            <rFont val="Tahoma"/>
            <family val="2"/>
          </rPr>
          <t xml:space="preserve">
Shower flow rate per stall</t>
        </r>
      </text>
    </comment>
    <comment ref="D84" authorId="0" shapeId="0">
      <text>
        <r>
          <rPr>
            <b/>
            <sz val="9"/>
            <color indexed="81"/>
            <rFont val="Tahoma"/>
            <family val="2"/>
          </rPr>
          <t>Beaulieu, Shelley (CliftonPark,NY-US):</t>
        </r>
        <r>
          <rPr>
            <sz val="9"/>
            <color indexed="81"/>
            <rFont val="Tahoma"/>
            <family val="2"/>
          </rPr>
          <t xml:space="preserve">
These LPD can be adjusted using the Room Geometry Adjustment per ASHRAE 90.1-2010 Section 9.6.3.</t>
        </r>
      </text>
    </comment>
    <comment ref="D85" authorId="0" shapeId="0">
      <text>
        <r>
          <rPr>
            <b/>
            <sz val="9"/>
            <color indexed="81"/>
            <rFont val="Tahoma"/>
            <family val="2"/>
          </rPr>
          <t>Beaulieu, Shelley (CliftonPark,NY-US):</t>
        </r>
        <r>
          <rPr>
            <sz val="9"/>
            <color indexed="81"/>
            <rFont val="Tahoma"/>
            <family val="2"/>
          </rPr>
          <t xml:space="preserve">
These LPD can be adjusted using the Room Geometry Adjustment per ASHRAE 90.1-2010 Section 9.6.3.</t>
        </r>
      </text>
    </comment>
    <comment ref="D86" authorId="0" shapeId="0">
      <text>
        <r>
          <rPr>
            <b/>
            <sz val="9"/>
            <color indexed="81"/>
            <rFont val="Tahoma"/>
            <family val="2"/>
          </rPr>
          <t>Beaulieu, Shelley (CliftonPark,NY-US):</t>
        </r>
        <r>
          <rPr>
            <sz val="9"/>
            <color indexed="81"/>
            <rFont val="Tahoma"/>
            <family val="2"/>
          </rPr>
          <t xml:space="preserve">
These LPD can be adjusted using the Room Geometry Adjustment per ASHRAE 90.1-2010 Section 9.6.3.</t>
        </r>
      </text>
    </comment>
    <comment ref="D87" authorId="0" shapeId="0">
      <text>
        <r>
          <rPr>
            <b/>
            <sz val="9"/>
            <color indexed="81"/>
            <rFont val="Tahoma"/>
            <family val="2"/>
          </rPr>
          <t>Beaulieu, Shelley (CliftonPark,NY-US):</t>
        </r>
        <r>
          <rPr>
            <sz val="9"/>
            <color indexed="81"/>
            <rFont val="Tahoma"/>
            <family val="2"/>
          </rPr>
          <t xml:space="preserve">
These LPD can be adjusted using the Room Geometry Adjustment per ASHRAE 90.1-2010 Section 9.6.3.</t>
        </r>
      </text>
    </comment>
  </commentList>
</comments>
</file>

<file path=xl/comments10.xml><?xml version="1.0" encoding="utf-8"?>
<comments xmlns="http://schemas.openxmlformats.org/spreadsheetml/2006/main">
  <authors>
    <author>Administrator</author>
  </authors>
  <commentList>
    <comment ref="B31" authorId="0" shapeId="0">
      <text>
        <r>
          <rPr>
            <b/>
            <sz val="9"/>
            <color indexed="81"/>
            <rFont val="Tahoma"/>
            <family val="2"/>
          </rPr>
          <t>For envelopes with multiple assemblies</t>
        </r>
        <r>
          <rPr>
            <sz val="9"/>
            <color indexed="81"/>
            <rFont val="Tahoma"/>
            <family val="2"/>
          </rPr>
          <t xml:space="preserve">
</t>
        </r>
      </text>
    </comment>
    <comment ref="B40" authorId="0" shapeId="0">
      <text>
        <r>
          <rPr>
            <b/>
            <sz val="9"/>
            <color indexed="81"/>
            <rFont val="Tahoma"/>
            <family val="2"/>
          </rPr>
          <t>For envelopes with multiple assemblies</t>
        </r>
        <r>
          <rPr>
            <sz val="9"/>
            <color indexed="81"/>
            <rFont val="Tahoma"/>
            <family val="2"/>
          </rPr>
          <t xml:space="preserve">
</t>
        </r>
      </text>
    </comment>
  </commentList>
</comments>
</file>

<file path=xl/comments11.xml><?xml version="1.0" encoding="utf-8"?>
<comments xmlns="http://schemas.openxmlformats.org/spreadsheetml/2006/main">
  <authors>
    <author>Administrator</author>
  </authors>
  <commentList>
    <comment ref="B29" authorId="0" shapeId="0">
      <text>
        <r>
          <rPr>
            <b/>
            <sz val="9"/>
            <color indexed="81"/>
            <rFont val="Tahoma"/>
            <family val="2"/>
          </rPr>
          <t>For envelopes with multiple assemblies</t>
        </r>
        <r>
          <rPr>
            <sz val="9"/>
            <color indexed="81"/>
            <rFont val="Tahoma"/>
            <family val="2"/>
          </rPr>
          <t xml:space="preserve">
</t>
        </r>
      </text>
    </comment>
    <comment ref="B39" authorId="0" shapeId="0">
      <text>
        <r>
          <rPr>
            <b/>
            <sz val="9"/>
            <color indexed="81"/>
            <rFont val="Tahoma"/>
            <family val="2"/>
          </rPr>
          <t>For envelopes with multiple assemblies</t>
        </r>
        <r>
          <rPr>
            <sz val="9"/>
            <color indexed="81"/>
            <rFont val="Tahoma"/>
            <family val="2"/>
          </rPr>
          <t xml:space="preserve">
</t>
        </r>
      </text>
    </comment>
    <comment ref="B49" authorId="0" shapeId="0">
      <text>
        <r>
          <rPr>
            <b/>
            <sz val="9"/>
            <color indexed="81"/>
            <rFont val="Tahoma"/>
            <family val="2"/>
          </rPr>
          <t>For envelopes with multiple assemblies</t>
        </r>
        <r>
          <rPr>
            <sz val="9"/>
            <color indexed="81"/>
            <rFont val="Tahoma"/>
            <family val="2"/>
          </rPr>
          <t xml:space="preserve">
</t>
        </r>
      </text>
    </comment>
    <comment ref="B59" authorId="0" shapeId="0">
      <text>
        <r>
          <rPr>
            <b/>
            <sz val="9"/>
            <color indexed="81"/>
            <rFont val="Tahoma"/>
            <family val="2"/>
          </rPr>
          <t>For envelopes with multiple assemblies</t>
        </r>
        <r>
          <rPr>
            <sz val="9"/>
            <color indexed="81"/>
            <rFont val="Tahoma"/>
            <family val="2"/>
          </rPr>
          <t xml:space="preserve">
</t>
        </r>
      </text>
    </comment>
  </commentList>
</comments>
</file>

<file path=xl/comments12.xml><?xml version="1.0" encoding="utf-8"?>
<comments xmlns="http://schemas.openxmlformats.org/spreadsheetml/2006/main">
  <authors>
    <author>gvijayakumar</author>
  </authors>
  <commentList>
    <comment ref="D32" authorId="0" shapeId="0">
      <text>
        <r>
          <rPr>
            <b/>
            <sz val="8"/>
            <color indexed="81"/>
            <rFont val="Tahoma"/>
            <family val="2"/>
          </rPr>
          <t>Use maximum rated wattage for the fixture if following ASHRAE explicitly. EPA allows wattage to be calculated using wattage of installed lamps and ballast, regardless of maximum rated wattage of the fixture.</t>
        </r>
        <r>
          <rPr>
            <sz val="8"/>
            <color indexed="81"/>
            <rFont val="Tahoma"/>
            <family val="2"/>
          </rPr>
          <t xml:space="preserve">
</t>
        </r>
      </text>
    </comment>
  </commentList>
</comments>
</file>

<file path=xl/comments13.xml><?xml version="1.0" encoding="utf-8"?>
<comments xmlns="http://schemas.openxmlformats.org/spreadsheetml/2006/main">
  <authors>
    <author>Administrator</author>
  </authors>
  <commentList>
    <comment ref="M87" authorId="0" shapeId="0">
      <text>
        <r>
          <rPr>
            <b/>
            <sz val="9"/>
            <color indexed="81"/>
            <rFont val="Tahoma"/>
            <family val="2"/>
          </rPr>
          <t>Administrator:</t>
        </r>
        <r>
          <rPr>
            <sz val="9"/>
            <color indexed="81"/>
            <rFont val="Tahoma"/>
            <family val="2"/>
          </rPr>
          <t xml:space="preserve">
</t>
        </r>
        <r>
          <rPr>
            <sz val="12"/>
            <color indexed="81"/>
            <rFont val="Tahoma"/>
            <family val="2"/>
          </rPr>
          <t>Provide comments if values are less than 0% or greater than 50%</t>
        </r>
      </text>
    </comment>
  </commentList>
</comments>
</file>

<file path=xl/comments2.xml><?xml version="1.0" encoding="utf-8"?>
<comments xmlns="http://schemas.openxmlformats.org/spreadsheetml/2006/main">
  <authors>
    <author>Beaulieu, Shelley (CliftonPark,NY-US)</author>
    <author>Beaulieu, Shelley</author>
    <author>Sobieniak, Kara (Ithaca,NY-US)</author>
  </authors>
  <commentList>
    <comment ref="Q1" authorId="0" shapeId="0">
      <text>
        <r>
          <rPr>
            <b/>
            <sz val="9"/>
            <color indexed="81"/>
            <rFont val="Tahoma"/>
            <family val="2"/>
          </rPr>
          <t>Beaulieu, Shelley (CliftonPark,NY-US):</t>
        </r>
        <r>
          <rPr>
            <sz val="9"/>
            <color indexed="81"/>
            <rFont val="Tahoma"/>
            <family val="2"/>
          </rPr>
          <t xml:space="preserve">
Costs from RS Means CostWorks 2012, unless otherwise noted.</t>
        </r>
      </text>
    </comment>
    <comment ref="Q2" authorId="0" shapeId="0">
      <text>
        <r>
          <rPr>
            <b/>
            <sz val="9"/>
            <color indexed="81"/>
            <rFont val="Tahoma"/>
            <family val="2"/>
          </rPr>
          <t>Beaulieu, Shelley (CliftonPark,NY-US):</t>
        </r>
        <r>
          <rPr>
            <sz val="9"/>
            <color indexed="81"/>
            <rFont val="Tahoma"/>
            <family val="2"/>
          </rPr>
          <t xml:space="preserve">
From ENERGY STAR Refrigerator Calculator, based on 2008 national price data</t>
        </r>
      </text>
    </comment>
    <comment ref="Q3" authorId="0" shapeId="0">
      <text>
        <r>
          <rPr>
            <b/>
            <sz val="9"/>
            <color indexed="81"/>
            <rFont val="Tahoma"/>
            <family val="2"/>
          </rPr>
          <t>Beaulieu, Shelley (CliftonPark,NY-US):</t>
        </r>
        <r>
          <rPr>
            <sz val="9"/>
            <color indexed="81"/>
            <rFont val="Tahoma"/>
            <family val="2"/>
          </rPr>
          <t xml:space="preserve">
Based on average pipeline analysis, update 2015
</t>
        </r>
      </text>
    </comment>
    <comment ref="Q4" authorId="0" shapeId="0">
      <text>
        <r>
          <rPr>
            <b/>
            <sz val="9"/>
            <color indexed="81"/>
            <rFont val="Tahoma"/>
            <family val="2"/>
          </rPr>
          <t>Beaulieu, Shelley (CliftonPark,NY-US):</t>
        </r>
        <r>
          <rPr>
            <sz val="9"/>
            <color indexed="81"/>
            <rFont val="Tahoma"/>
            <family val="2"/>
          </rPr>
          <t xml:space="preserve">
RS Means item number 113123136650</t>
        </r>
      </text>
    </comment>
    <comment ref="Q5" authorId="0" shapeId="0">
      <text>
        <r>
          <rPr>
            <b/>
            <sz val="9"/>
            <color indexed="81"/>
            <rFont val="Tahoma"/>
            <family val="2"/>
          </rPr>
          <t>Beaulieu, Shelley (CliftonPark,NY-US):</t>
        </r>
        <r>
          <rPr>
            <sz val="9"/>
            <color indexed="81"/>
            <rFont val="Tahoma"/>
            <family val="2"/>
          </rPr>
          <t xml:space="preserve">
Cost from ENERGY STAR Clothes Washer Calculator, as RS Means does not have ENERGY STAR Commercial Clothes Washer cost.</t>
        </r>
      </text>
    </comment>
    <comment ref="Q6" authorId="0" shapeId="0">
      <text>
        <r>
          <rPr>
            <b/>
            <sz val="9"/>
            <color indexed="81"/>
            <rFont val="Tahoma"/>
            <family val="2"/>
          </rPr>
          <t>Beaulieu, Shelley (CliftonPark,NY-US):</t>
        </r>
        <r>
          <rPr>
            <sz val="9"/>
            <color indexed="81"/>
            <rFont val="Tahoma"/>
            <family val="2"/>
          </rPr>
          <t xml:space="preserve">
Costs from ENERGY STAR Ceiling Fan Calculator</t>
        </r>
      </text>
    </comment>
    <comment ref="Q7" authorId="0" shapeId="0">
      <text>
        <r>
          <rPr>
            <b/>
            <sz val="9"/>
            <color indexed="81"/>
            <rFont val="Tahoma"/>
            <family val="2"/>
          </rPr>
          <t>Beaulieu, Shelley (CliftonPark,NY-US):</t>
        </r>
        <r>
          <rPr>
            <sz val="9"/>
            <color indexed="81"/>
            <rFont val="Tahoma"/>
            <family val="2"/>
          </rPr>
          <t xml:space="preserve">
Costs from RS Means CostWorks 2012, unless otherwise noted.</t>
        </r>
      </text>
    </comment>
    <comment ref="D8" authorId="0" shapeId="0">
      <text>
        <r>
          <rPr>
            <b/>
            <sz val="9"/>
            <color indexed="81"/>
            <rFont val="Tahoma"/>
            <family val="2"/>
          </rPr>
          <t>Beaulieu, Shelley (CliftonPark,NY-US):</t>
        </r>
        <r>
          <rPr>
            <sz val="9"/>
            <color indexed="81"/>
            <rFont val="Tahoma"/>
            <family val="2"/>
          </rPr>
          <t xml:space="preserve">
11-13-2</t>
        </r>
      </text>
    </comment>
    <comment ref="H8" authorId="0" shapeId="0">
      <text>
        <r>
          <rPr>
            <b/>
            <sz val="9"/>
            <color indexed="81"/>
            <rFont val="Tahoma"/>
            <family val="2"/>
          </rPr>
          <t>Beaulieu, Shelley (CliftonPark,NY-US):</t>
        </r>
        <r>
          <rPr>
            <sz val="9"/>
            <color indexed="81"/>
            <rFont val="Tahoma"/>
            <family val="2"/>
          </rPr>
          <t xml:space="preserve">
11-13-2</t>
        </r>
      </text>
    </comment>
    <comment ref="L8" authorId="0" shapeId="0">
      <text>
        <r>
          <rPr>
            <b/>
            <sz val="9"/>
            <color indexed="81"/>
            <rFont val="Tahoma"/>
            <family val="2"/>
          </rPr>
          <t>Beaulieu, Shelley (CliftonPark,NY-US):</t>
        </r>
        <r>
          <rPr>
            <sz val="9"/>
            <color indexed="81"/>
            <rFont val="Tahoma"/>
            <family val="2"/>
          </rPr>
          <t xml:space="preserve">
11-13-2</t>
        </r>
      </text>
    </comment>
    <comment ref="Q8" authorId="0" shapeId="0">
      <text>
        <r>
          <rPr>
            <b/>
            <sz val="9"/>
            <color indexed="81"/>
            <rFont val="Tahoma"/>
            <family val="2"/>
          </rPr>
          <t>Beaulieu, Shelley (CliftonPark,NY-US):</t>
        </r>
        <r>
          <rPr>
            <sz val="9"/>
            <color indexed="81"/>
            <rFont val="Tahoma"/>
            <family val="2"/>
          </rPr>
          <t xml:space="preserve">
Extrapolation from RS Means item 113133237180 and 113133237260</t>
        </r>
      </text>
    </comment>
    <comment ref="D9" authorId="0" shapeId="0">
      <text>
        <r>
          <rPr>
            <b/>
            <sz val="9"/>
            <color indexed="81"/>
            <rFont val="Tahoma"/>
            <family val="2"/>
          </rPr>
          <t>Beaulieu, Shelley (CliftonPark,NY-US):</t>
        </r>
        <r>
          <rPr>
            <sz val="9"/>
            <color indexed="81"/>
            <rFont val="Tahoma"/>
            <family val="2"/>
          </rPr>
          <t xml:space="preserve">
11-13-2</t>
        </r>
      </text>
    </comment>
    <comment ref="H9" authorId="0" shapeId="0">
      <text>
        <r>
          <rPr>
            <b/>
            <sz val="9"/>
            <color indexed="81"/>
            <rFont val="Tahoma"/>
            <family val="2"/>
          </rPr>
          <t>Beaulieu, Shelley (CliftonPark,NY-US):</t>
        </r>
        <r>
          <rPr>
            <sz val="9"/>
            <color indexed="81"/>
            <rFont val="Tahoma"/>
            <family val="2"/>
          </rPr>
          <t xml:space="preserve">
11-13-2</t>
        </r>
      </text>
    </comment>
    <comment ref="L9" authorId="0" shapeId="0">
      <text>
        <r>
          <rPr>
            <b/>
            <sz val="9"/>
            <color indexed="81"/>
            <rFont val="Tahoma"/>
            <family val="2"/>
          </rPr>
          <t>Beaulieu, Shelley (CliftonPark,NY-US):</t>
        </r>
        <r>
          <rPr>
            <sz val="9"/>
            <color indexed="81"/>
            <rFont val="Tahoma"/>
            <family val="2"/>
          </rPr>
          <t xml:space="preserve">
11-13-2</t>
        </r>
      </text>
    </comment>
    <comment ref="Q9" authorId="0" shapeId="0">
      <text>
        <r>
          <rPr>
            <b/>
            <sz val="9"/>
            <color indexed="81"/>
            <rFont val="Tahoma"/>
            <family val="2"/>
          </rPr>
          <t>Beaulieu, Shelley (CliftonPark,NY-US):</t>
        </r>
        <r>
          <rPr>
            <sz val="9"/>
            <color indexed="81"/>
            <rFont val="Tahoma"/>
            <family val="2"/>
          </rPr>
          <t xml:space="preserve">
Extrapolation from RS Means item 113133236900 and 113133237100</t>
        </r>
      </text>
    </comment>
    <comment ref="Q10" authorId="0" shapeId="0">
      <text>
        <r>
          <rPr>
            <b/>
            <sz val="9"/>
            <color indexed="81"/>
            <rFont val="Tahoma"/>
            <family val="2"/>
          </rPr>
          <t>Beaulieu, Shelley (CliftonPark,NY-US):</t>
        </r>
        <r>
          <rPr>
            <sz val="9"/>
            <color indexed="81"/>
            <rFont val="Tahoma"/>
            <family val="2"/>
          </rPr>
          <t xml:space="preserve">
Based on average pipeline analysis, update 2015</t>
        </r>
      </text>
    </comment>
    <comment ref="Q11" authorId="0" shapeId="0">
      <text>
        <r>
          <rPr>
            <b/>
            <sz val="9"/>
            <color indexed="81"/>
            <rFont val="Tahoma"/>
            <family val="2"/>
          </rPr>
          <t>Beaulieu, Shelley (CliftonPark,NY-US):</t>
        </r>
        <r>
          <rPr>
            <sz val="9"/>
            <color indexed="81"/>
            <rFont val="Tahoma"/>
            <family val="2"/>
          </rPr>
          <t xml:space="preserve">
Based on average pipeline analysis, update 2015</t>
        </r>
      </text>
    </comment>
    <comment ref="Q12" authorId="0" shapeId="0">
      <text>
        <r>
          <rPr>
            <b/>
            <sz val="9"/>
            <color indexed="81"/>
            <rFont val="Tahoma"/>
            <family val="2"/>
          </rPr>
          <t>Beaulieu, Shelley (CliftonPark,NY-US):</t>
        </r>
        <r>
          <rPr>
            <sz val="9"/>
            <color indexed="81"/>
            <rFont val="Tahoma"/>
            <family val="2"/>
          </rPr>
          <t xml:space="preserve">
Based on average pipeline analysis, update 2015</t>
        </r>
      </text>
    </comment>
    <comment ref="Q13" authorId="0" shapeId="0">
      <text>
        <r>
          <rPr>
            <b/>
            <sz val="9"/>
            <color indexed="81"/>
            <rFont val="Tahoma"/>
            <family val="2"/>
          </rPr>
          <t>Beaulieu, Shelley (CliftonPark,NY-US):</t>
        </r>
        <r>
          <rPr>
            <sz val="9"/>
            <color indexed="81"/>
            <rFont val="Tahoma"/>
            <family val="2"/>
          </rPr>
          <t xml:space="preserve">
Costs from RS Means CostWorks 2012, unless otherwise noted.</t>
        </r>
      </text>
    </comment>
    <comment ref="Q14" authorId="0" shapeId="0">
      <text>
        <r>
          <rPr>
            <b/>
            <sz val="9"/>
            <color indexed="81"/>
            <rFont val="Tahoma"/>
            <family val="2"/>
          </rPr>
          <t>Beaulieu, Shelley (CliftonPark,NY-US):</t>
        </r>
        <r>
          <rPr>
            <sz val="9"/>
            <color indexed="81"/>
            <rFont val="Tahoma"/>
            <family val="2"/>
          </rPr>
          <t xml:space="preserve">
RS Means item number 072216102130</t>
        </r>
      </text>
    </comment>
    <comment ref="Q15" authorId="0" shapeId="0">
      <text>
        <r>
          <rPr>
            <b/>
            <sz val="9"/>
            <color indexed="81"/>
            <rFont val="Tahoma"/>
            <family val="2"/>
          </rPr>
          <t>Beaulieu, Shelley (CliftonPark,NY-US):</t>
        </r>
        <r>
          <rPr>
            <sz val="9"/>
            <color indexed="81"/>
            <rFont val="Tahoma"/>
            <family val="2"/>
          </rPr>
          <t xml:space="preserve">
Difference between baseline and proposed is no "ls" insulation, therefore $0, and R-11ls.</t>
        </r>
      </text>
    </comment>
    <comment ref="Q16" authorId="0" shapeId="0">
      <text>
        <r>
          <rPr>
            <b/>
            <sz val="9"/>
            <color indexed="81"/>
            <rFont val="Tahoma"/>
            <family val="2"/>
          </rPr>
          <t>Beaulieu, Shelley (CliftonPark,NY-US):</t>
        </r>
        <r>
          <rPr>
            <sz val="9"/>
            <color indexed="81"/>
            <rFont val="Tahoma"/>
            <family val="2"/>
          </rPr>
          <t xml:space="preserve">
RS Means item 072126101450</t>
        </r>
      </text>
    </comment>
    <comment ref="Q17" authorId="0" shapeId="0">
      <text>
        <r>
          <rPr>
            <b/>
            <sz val="9"/>
            <color indexed="81"/>
            <rFont val="Tahoma"/>
            <family val="2"/>
          </rPr>
          <t>Beaulieu, Shelley (CliftonPark,NY-US):</t>
        </r>
        <r>
          <rPr>
            <sz val="9"/>
            <color indexed="81"/>
            <rFont val="Tahoma"/>
            <family val="2"/>
          </rPr>
          <t xml:space="preserve">
Sources located on the cells to the right.</t>
        </r>
      </text>
    </comment>
    <comment ref="R17" authorId="0" shapeId="0">
      <text>
        <r>
          <rPr>
            <b/>
            <sz val="9"/>
            <color indexed="81"/>
            <rFont val="Tahoma"/>
            <family val="2"/>
          </rPr>
          <t>Beaulieu, Shelley (CliftonPark,NY-US):</t>
        </r>
        <r>
          <rPr>
            <sz val="9"/>
            <color indexed="81"/>
            <rFont val="Tahoma"/>
            <family val="2"/>
          </rPr>
          <t xml:space="preserve">
RS Means item 072113101940</t>
        </r>
      </text>
    </comment>
    <comment ref="S17" authorId="0" shapeId="0">
      <text>
        <r>
          <rPr>
            <b/>
            <sz val="9"/>
            <color indexed="81"/>
            <rFont val="Tahoma"/>
            <family val="2"/>
          </rPr>
          <t>Beaulieu, Shelley (CliftonPark,NY-US):</t>
        </r>
        <r>
          <rPr>
            <sz val="9"/>
            <color indexed="81"/>
            <rFont val="Tahoma"/>
            <family val="2"/>
          </rPr>
          <t xml:space="preserve">
Average of RS Means items 072113101940 and 072113101960</t>
        </r>
      </text>
    </comment>
    <comment ref="T17" authorId="0" shapeId="0">
      <text>
        <r>
          <rPr>
            <b/>
            <sz val="9"/>
            <color indexed="81"/>
            <rFont val="Tahoma"/>
            <family val="2"/>
          </rPr>
          <t>Beaulieu, Shelley (CliftonPark,NY-US):</t>
        </r>
        <r>
          <rPr>
            <sz val="9"/>
            <color indexed="81"/>
            <rFont val="Tahoma"/>
            <family val="2"/>
          </rPr>
          <t xml:space="preserve">
RS Means item number 072113101660</t>
        </r>
      </text>
    </comment>
    <comment ref="Q18" authorId="0" shapeId="0">
      <text>
        <r>
          <rPr>
            <b/>
            <sz val="9"/>
            <color indexed="81"/>
            <rFont val="Tahoma"/>
            <family val="2"/>
          </rPr>
          <t>Beaulieu, Shelley (CliftonPark,NY-US):</t>
        </r>
        <r>
          <rPr>
            <sz val="9"/>
            <color indexed="81"/>
            <rFont val="Tahoma"/>
            <family val="2"/>
          </rPr>
          <t xml:space="preserve">
RS Means item 072113101640</t>
        </r>
      </text>
    </comment>
    <comment ref="Q19" authorId="0" shapeId="0">
      <text>
        <r>
          <rPr>
            <b/>
            <sz val="9"/>
            <color indexed="81"/>
            <rFont val="Tahoma"/>
            <family val="2"/>
          </rPr>
          <t xml:space="preserve">Beaulieu, Shelley (CliftonPark,NY-US):
</t>
        </r>
        <r>
          <rPr>
            <sz val="9"/>
            <color indexed="81"/>
            <rFont val="Tahoma"/>
            <family val="2"/>
          </rPr>
          <t>RS Means item 072113101610</t>
        </r>
      </text>
    </comment>
    <comment ref="Q20" authorId="0" shapeId="0">
      <text>
        <r>
          <rPr>
            <b/>
            <sz val="9"/>
            <color indexed="81"/>
            <rFont val="Tahoma"/>
            <family val="2"/>
          </rPr>
          <t>Beaulieu, Shelley (CliftonPark,NY-US):</t>
        </r>
        <r>
          <rPr>
            <sz val="9"/>
            <color indexed="81"/>
            <rFont val="Tahoma"/>
            <family val="2"/>
          </rPr>
          <t xml:space="preserve">
Sources located on the cells to the right.</t>
        </r>
      </text>
    </comment>
    <comment ref="R20" authorId="0" shapeId="0">
      <text>
        <r>
          <rPr>
            <b/>
            <sz val="9"/>
            <color indexed="81"/>
            <rFont val="Tahoma"/>
            <family val="2"/>
          </rPr>
          <t>Beaulieu, Shelley (CliftonPark,NY-US):</t>
        </r>
        <r>
          <rPr>
            <sz val="9"/>
            <color indexed="81"/>
            <rFont val="Tahoma"/>
            <family val="2"/>
          </rPr>
          <t xml:space="preserve">
RS Means item 072113102100</t>
        </r>
      </text>
    </comment>
    <comment ref="S20" authorId="0" shapeId="0">
      <text>
        <r>
          <rPr>
            <b/>
            <sz val="9"/>
            <color indexed="81"/>
            <rFont val="Tahoma"/>
            <family val="2"/>
          </rPr>
          <t>Beaulieu, Shelley (CliftonPark,NY-US):</t>
        </r>
        <r>
          <rPr>
            <sz val="9"/>
            <color indexed="81"/>
            <rFont val="Tahoma"/>
            <family val="2"/>
          </rPr>
          <t xml:space="preserve">
RS Means item 072113102120</t>
        </r>
      </text>
    </comment>
    <comment ref="T20" authorId="0" shapeId="0">
      <text>
        <r>
          <rPr>
            <b/>
            <sz val="9"/>
            <color indexed="81"/>
            <rFont val="Tahoma"/>
            <family val="2"/>
          </rPr>
          <t>Beaulieu, Shelley (CliftonPark,NY-US):</t>
        </r>
        <r>
          <rPr>
            <sz val="9"/>
            <color indexed="81"/>
            <rFont val="Tahoma"/>
            <family val="2"/>
          </rPr>
          <t xml:space="preserve">
RS Means item 072113102120</t>
        </r>
      </text>
    </comment>
    <comment ref="Q21" authorId="0" shapeId="0">
      <text>
        <r>
          <rPr>
            <b/>
            <sz val="9"/>
            <color indexed="81"/>
            <rFont val="Tahoma"/>
            <family val="2"/>
          </rPr>
          <t>Beaulieu, Shelley (CliftonPark,NY-US):</t>
        </r>
        <r>
          <rPr>
            <sz val="9"/>
            <color indexed="81"/>
            <rFont val="Tahoma"/>
            <family val="2"/>
          </rPr>
          <t xml:space="preserve">
RS Means item 072113102120</t>
        </r>
      </text>
    </comment>
    <comment ref="Q23" authorId="0" shapeId="0">
      <text>
        <r>
          <rPr>
            <b/>
            <sz val="9"/>
            <color indexed="81"/>
            <rFont val="Tahoma"/>
            <family val="2"/>
          </rPr>
          <t xml:space="preserve">Beaulieu, Shelley (CliftonPark,NY-US):
</t>
        </r>
        <r>
          <rPr>
            <sz val="9"/>
            <color indexed="81"/>
            <rFont val="Tahoma"/>
            <family val="2"/>
          </rPr>
          <t>Sources located on the cells to the right.</t>
        </r>
      </text>
    </comment>
    <comment ref="R23" authorId="0" shapeId="0">
      <text>
        <r>
          <rPr>
            <b/>
            <sz val="9"/>
            <color indexed="81"/>
            <rFont val="Tahoma"/>
            <family val="2"/>
          </rPr>
          <t>Beaulieu, Shelley (CliftonPark,NY-US):</t>
        </r>
        <r>
          <rPr>
            <sz val="9"/>
            <color indexed="81"/>
            <rFont val="Tahoma"/>
            <family val="2"/>
          </rPr>
          <t xml:space="preserve">
RS Means item 072113101640</t>
        </r>
      </text>
    </comment>
    <comment ref="S23" authorId="0" shapeId="0">
      <text>
        <r>
          <rPr>
            <b/>
            <sz val="9"/>
            <color indexed="81"/>
            <rFont val="Tahoma"/>
            <family val="2"/>
          </rPr>
          <t>Beaulieu, Shelley (CliftonPark,NY-US):</t>
        </r>
        <r>
          <rPr>
            <sz val="9"/>
            <color indexed="81"/>
            <rFont val="Tahoma"/>
            <family val="2"/>
          </rPr>
          <t xml:space="preserve">
RS Means item 072113101650</t>
        </r>
      </text>
    </comment>
    <comment ref="T23" authorId="0" shapeId="0">
      <text>
        <r>
          <rPr>
            <b/>
            <sz val="9"/>
            <color indexed="81"/>
            <rFont val="Tahoma"/>
            <family val="2"/>
          </rPr>
          <t>Beaulieu, Shelley (CliftonPark,NY-US):</t>
        </r>
        <r>
          <rPr>
            <sz val="9"/>
            <color indexed="81"/>
            <rFont val="Tahoma"/>
            <family val="2"/>
          </rPr>
          <t xml:space="preserve">
Average of RS Means item 072113101650 and 072113101660</t>
        </r>
      </text>
    </comment>
    <comment ref="Q24" authorId="0" shapeId="0">
      <text>
        <r>
          <rPr>
            <b/>
            <sz val="9"/>
            <color indexed="81"/>
            <rFont val="Tahoma"/>
            <family val="2"/>
          </rPr>
          <t>Beaulieu, Shelley (CliftonPark,NY-US):</t>
        </r>
        <r>
          <rPr>
            <sz val="9"/>
            <color indexed="81"/>
            <rFont val="Tahoma"/>
            <family val="2"/>
          </rPr>
          <t xml:space="preserve">
Sources located on the cells to the right.</t>
        </r>
      </text>
    </comment>
    <comment ref="R24" authorId="0" shapeId="0">
      <text>
        <r>
          <rPr>
            <b/>
            <sz val="9"/>
            <color indexed="81"/>
            <rFont val="Tahoma"/>
            <family val="2"/>
          </rPr>
          <t>Beaulieu, Shelley (CliftonPark,NY-US):</t>
        </r>
        <r>
          <rPr>
            <sz val="9"/>
            <color indexed="81"/>
            <rFont val="Tahoma"/>
            <family val="2"/>
          </rPr>
          <t xml:space="preserve">
RS Means item 072116103020</t>
        </r>
      </text>
    </comment>
    <comment ref="S24" authorId="0" shapeId="0">
      <text>
        <r>
          <rPr>
            <b/>
            <sz val="9"/>
            <color indexed="81"/>
            <rFont val="Tahoma"/>
            <family val="2"/>
          </rPr>
          <t>Beaulieu, Shelley (CliftonPark,NY-US):</t>
        </r>
        <r>
          <rPr>
            <sz val="9"/>
            <color indexed="81"/>
            <rFont val="Tahoma"/>
            <family val="2"/>
          </rPr>
          <t xml:space="preserve">
RS Means item 072116103020</t>
        </r>
      </text>
    </comment>
    <comment ref="T24" authorId="0" shapeId="0">
      <text>
        <r>
          <rPr>
            <b/>
            <sz val="9"/>
            <color indexed="81"/>
            <rFont val="Tahoma"/>
            <family val="2"/>
          </rPr>
          <t>Beaulieu, Shelley (CliftonPark,NY-US):</t>
        </r>
        <r>
          <rPr>
            <sz val="9"/>
            <color indexed="81"/>
            <rFont val="Tahoma"/>
            <family val="2"/>
          </rPr>
          <t xml:space="preserve">
RS Means item 072116103030</t>
        </r>
      </text>
    </comment>
    <comment ref="Q25" authorId="0" shapeId="0">
      <text>
        <r>
          <rPr>
            <b/>
            <sz val="9"/>
            <color indexed="81"/>
            <rFont val="Tahoma"/>
            <family val="2"/>
          </rPr>
          <t>Beaulieu, Shelley (CliftonPark,NY-US):</t>
        </r>
        <r>
          <rPr>
            <sz val="9"/>
            <color indexed="81"/>
            <rFont val="Tahoma"/>
            <family val="2"/>
          </rPr>
          <t xml:space="preserve">
Difference between baseline and proposed is no "ls" insulation, therefore $0, and R-7.5ci</t>
        </r>
      </text>
    </comment>
    <comment ref="Q28" authorId="0" shapeId="0">
      <text>
        <r>
          <rPr>
            <b/>
            <sz val="9"/>
            <color indexed="81"/>
            <rFont val="Tahoma"/>
            <family val="2"/>
          </rPr>
          <t>Beaulieu, Shelley (CliftonPark,NY-US):</t>
        </r>
        <r>
          <rPr>
            <sz val="9"/>
            <color indexed="81"/>
            <rFont val="Tahoma"/>
            <family val="2"/>
          </rPr>
          <t xml:space="preserve">
Incremental cost is based on pipeline analysis.  Full incremental cost is located on Proposed tab.  Baseline cost is $0.</t>
        </r>
      </text>
    </comment>
    <comment ref="Q30" authorId="0" shapeId="0">
      <text>
        <r>
          <rPr>
            <b/>
            <sz val="9"/>
            <color indexed="81"/>
            <rFont val="Tahoma"/>
            <family val="2"/>
          </rPr>
          <t>Beaulieu, Shelley (CliftonPark,NY-US):</t>
        </r>
        <r>
          <rPr>
            <sz val="9"/>
            <color indexed="81"/>
            <rFont val="Tahoma"/>
            <family val="2"/>
          </rPr>
          <t xml:space="preserve">
Costs from RS Means CostWorks 2012, unless otherwise noted.</t>
        </r>
      </text>
    </comment>
    <comment ref="Q31" authorId="0" shapeId="0">
      <text>
        <r>
          <rPr>
            <b/>
            <sz val="9"/>
            <color indexed="81"/>
            <rFont val="Tahoma"/>
            <family val="2"/>
          </rPr>
          <t>Beaulieu, Shelley (CliftonPark,NY-US):</t>
        </r>
        <r>
          <rPr>
            <sz val="9"/>
            <color indexed="81"/>
            <rFont val="Tahoma"/>
            <family val="2"/>
          </rPr>
          <t xml:space="preserve">
Based on $/sf of RS Means item number 085313300168</t>
        </r>
      </text>
    </comment>
    <comment ref="Q32" authorId="0" shapeId="0">
      <text>
        <r>
          <rPr>
            <b/>
            <sz val="9"/>
            <color indexed="81"/>
            <rFont val="Tahoma"/>
            <family val="2"/>
          </rPr>
          <t>Beaulieu, Shelley (CliftonPark,NY-US):</t>
        </r>
        <r>
          <rPr>
            <sz val="9"/>
            <color indexed="81"/>
            <rFont val="Tahoma"/>
            <family val="2"/>
          </rPr>
          <t xml:space="preserve">
Based on $/sf of RS Means item number 085113204600</t>
        </r>
      </text>
    </comment>
    <comment ref="Q34" authorId="0" shapeId="0">
      <text>
        <r>
          <rPr>
            <b/>
            <sz val="9"/>
            <color indexed="81"/>
            <rFont val="Tahoma"/>
            <family val="2"/>
          </rPr>
          <t>Beaulieu, Shelley (CliftonPark,NY-US):</t>
        </r>
        <r>
          <rPr>
            <sz val="9"/>
            <color indexed="81"/>
            <rFont val="Tahoma"/>
            <family val="2"/>
          </rPr>
          <t xml:space="preserve">
Based on $/sf of RS Means item number 085113204600</t>
        </r>
      </text>
    </comment>
    <comment ref="Q37" authorId="0" shapeId="0">
      <text>
        <r>
          <rPr>
            <b/>
            <sz val="9"/>
            <color indexed="81"/>
            <rFont val="Tahoma"/>
            <family val="2"/>
          </rPr>
          <t>Beaulieu, Shelley (CliftonPark,NY-US):</t>
        </r>
        <r>
          <rPr>
            <sz val="9"/>
            <color indexed="81"/>
            <rFont val="Tahoma"/>
            <family val="2"/>
          </rPr>
          <t xml:space="preserve">
Based on average pipeline analysis, update 2015</t>
        </r>
      </text>
    </comment>
    <comment ref="Q38" authorId="1" shapeId="0">
      <text>
        <r>
          <rPr>
            <b/>
            <sz val="9"/>
            <color indexed="81"/>
            <rFont val="Tahoma"/>
            <family val="2"/>
          </rPr>
          <t>Beaulieu, Shelley:</t>
        </r>
        <r>
          <rPr>
            <sz val="9"/>
            <color indexed="81"/>
            <rFont val="Tahoma"/>
            <family val="2"/>
          </rPr>
          <t xml:space="preserve">
Based on average pipeline analysis, update 2015.</t>
        </r>
      </text>
    </comment>
    <comment ref="Q39" authorId="0" shapeId="0">
      <text>
        <r>
          <rPr>
            <b/>
            <sz val="9"/>
            <color indexed="81"/>
            <rFont val="Tahoma"/>
            <family val="2"/>
          </rPr>
          <t>Beaulieu, Shelley (CliftonPark,NY-US):</t>
        </r>
        <r>
          <rPr>
            <sz val="9"/>
            <color indexed="81"/>
            <rFont val="Tahoma"/>
            <family val="2"/>
          </rPr>
          <t xml:space="preserve">
Based on average pipeline analysis, update 2015</t>
        </r>
      </text>
    </comment>
    <comment ref="Q40" authorId="0" shapeId="0">
      <text>
        <r>
          <rPr>
            <b/>
            <sz val="9"/>
            <color indexed="81"/>
            <rFont val="Tahoma"/>
            <family val="2"/>
          </rPr>
          <t>Beaulieu, Shelley (CliftonPark,NY-US):</t>
        </r>
        <r>
          <rPr>
            <sz val="9"/>
            <color indexed="81"/>
            <rFont val="Tahoma"/>
            <family val="2"/>
          </rPr>
          <t xml:space="preserve">
Based on average pipeline analysis, update 2015</t>
        </r>
      </text>
    </comment>
    <comment ref="Q41" authorId="0" shapeId="0">
      <text>
        <r>
          <rPr>
            <b/>
            <sz val="9"/>
            <color indexed="81"/>
            <rFont val="Tahoma"/>
            <family val="2"/>
          </rPr>
          <t>Beaulieu, Shelley (CliftonPark,NY-US):</t>
        </r>
        <r>
          <rPr>
            <sz val="9"/>
            <color indexed="81"/>
            <rFont val="Tahoma"/>
            <family val="2"/>
          </rPr>
          <t xml:space="preserve">
Based on average pipeline analysis, update 2015</t>
        </r>
      </text>
    </comment>
    <comment ref="Q42" authorId="0" shapeId="0">
      <text>
        <r>
          <rPr>
            <b/>
            <sz val="9"/>
            <color indexed="81"/>
            <rFont val="Tahoma"/>
            <family val="2"/>
          </rPr>
          <t>Beaulieu, Shelley (CliftonPark,NY-US):</t>
        </r>
        <r>
          <rPr>
            <sz val="9"/>
            <color indexed="81"/>
            <rFont val="Tahoma"/>
            <family val="2"/>
          </rPr>
          <t xml:space="preserve">
Based on average pipeline analysis, update 2015</t>
        </r>
      </text>
    </comment>
    <comment ref="Q43" authorId="0" shapeId="0">
      <text>
        <r>
          <rPr>
            <b/>
            <sz val="9"/>
            <color indexed="81"/>
            <rFont val="Tahoma"/>
            <family val="2"/>
          </rPr>
          <t>Beaulieu, Shelley (CliftonPark,NY-US):</t>
        </r>
        <r>
          <rPr>
            <sz val="9"/>
            <color indexed="81"/>
            <rFont val="Tahoma"/>
            <family val="2"/>
          </rPr>
          <t xml:space="preserve">
Based on average pipeline analysis, update 2015</t>
        </r>
      </text>
    </comment>
    <comment ref="Q44" authorId="0" shapeId="0">
      <text>
        <r>
          <rPr>
            <b/>
            <sz val="9"/>
            <color indexed="81"/>
            <rFont val="Tahoma"/>
            <family val="2"/>
          </rPr>
          <t>Beaulieu, Shelley (CliftonPark,NY-US):</t>
        </r>
        <r>
          <rPr>
            <sz val="9"/>
            <color indexed="81"/>
            <rFont val="Tahoma"/>
            <family val="2"/>
          </rPr>
          <t xml:space="preserve">
Incremental cost is based on pipeline analysis.  Full incremental cost is located on Proposed tab.  Baseline cost is $0.</t>
        </r>
      </text>
    </comment>
    <comment ref="Q45" authorId="0" shapeId="0">
      <text>
        <r>
          <rPr>
            <b/>
            <sz val="9"/>
            <color indexed="81"/>
            <rFont val="Tahoma"/>
            <family val="2"/>
          </rPr>
          <t>Beaulieu, Shelley (CliftonPark,NY-US):</t>
        </r>
        <r>
          <rPr>
            <sz val="9"/>
            <color indexed="81"/>
            <rFont val="Tahoma"/>
            <family val="2"/>
          </rPr>
          <t xml:space="preserve">
Based on average pipeline analysis, update 2015</t>
        </r>
      </text>
    </comment>
    <comment ref="Q46" authorId="0" shapeId="0">
      <text>
        <r>
          <rPr>
            <b/>
            <sz val="9"/>
            <color indexed="81"/>
            <rFont val="Tahoma"/>
            <family val="2"/>
          </rPr>
          <t>Beaulieu, Shelley (CliftonPark,NY-US):</t>
        </r>
        <r>
          <rPr>
            <sz val="9"/>
            <color indexed="81"/>
            <rFont val="Tahoma"/>
            <family val="2"/>
          </rPr>
          <t xml:space="preserve">
Based on average pipeline analysis, update 2015</t>
        </r>
      </text>
    </comment>
    <comment ref="Q47" authorId="0" shapeId="0">
      <text>
        <r>
          <rPr>
            <b/>
            <sz val="9"/>
            <color indexed="81"/>
            <rFont val="Tahoma"/>
            <family val="2"/>
          </rPr>
          <t>Beaulieu, Shelley (CliftonPark,NY-US):</t>
        </r>
        <r>
          <rPr>
            <sz val="9"/>
            <color indexed="81"/>
            <rFont val="Tahoma"/>
            <family val="2"/>
          </rPr>
          <t xml:space="preserve">
Based on average pipeline analysis, update 2015</t>
        </r>
      </text>
    </comment>
    <comment ref="Q48" authorId="0" shapeId="0">
      <text>
        <r>
          <rPr>
            <b/>
            <sz val="9"/>
            <color indexed="81"/>
            <rFont val="Tahoma"/>
            <family val="2"/>
          </rPr>
          <t>Beaulieu, Shelley (CliftonPark,NY-US):</t>
        </r>
        <r>
          <rPr>
            <sz val="9"/>
            <color indexed="81"/>
            <rFont val="Tahoma"/>
            <family val="2"/>
          </rPr>
          <t xml:space="preserve">
Based on average pipeline analysis, update 2015</t>
        </r>
      </text>
    </comment>
    <comment ref="Q49" authorId="0" shapeId="0">
      <text>
        <r>
          <rPr>
            <b/>
            <sz val="9"/>
            <color indexed="81"/>
            <rFont val="Tahoma"/>
            <family val="2"/>
          </rPr>
          <t>Beaulieu, Shelley (CliftonPark,NY-US):</t>
        </r>
        <r>
          <rPr>
            <sz val="9"/>
            <color indexed="81"/>
            <rFont val="Tahoma"/>
            <family val="2"/>
          </rPr>
          <t xml:space="preserve">
Based on average pipeline analysis, update 2015</t>
        </r>
      </text>
    </comment>
    <comment ref="Q50" authorId="0" shapeId="0">
      <text>
        <r>
          <rPr>
            <b/>
            <sz val="9"/>
            <color indexed="81"/>
            <rFont val="Tahoma"/>
            <family val="2"/>
          </rPr>
          <t>Beaulieu, Shelley (CliftonPark,NY-US):</t>
        </r>
        <r>
          <rPr>
            <sz val="9"/>
            <color indexed="81"/>
            <rFont val="Tahoma"/>
            <family val="2"/>
          </rPr>
          <t xml:space="preserve">
Based on average pipeline analysis, update 2015</t>
        </r>
      </text>
    </comment>
    <comment ref="Q51" authorId="0" shapeId="0">
      <text>
        <r>
          <rPr>
            <b/>
            <sz val="9"/>
            <color indexed="81"/>
            <rFont val="Tahoma"/>
            <family val="2"/>
          </rPr>
          <t>Beaulieu, Shelley (CliftonPark,NY-US):</t>
        </r>
        <r>
          <rPr>
            <sz val="9"/>
            <color indexed="81"/>
            <rFont val="Tahoma"/>
            <family val="2"/>
          </rPr>
          <t xml:space="preserve">
Based on average pipeline analysis, update 2015</t>
        </r>
      </text>
    </comment>
    <comment ref="Q52" authorId="0" shapeId="0">
      <text>
        <r>
          <rPr>
            <b/>
            <sz val="9"/>
            <color indexed="81"/>
            <rFont val="Tahoma"/>
            <family val="2"/>
          </rPr>
          <t>Beaulieu, Shelley (CliftonPark,NY-US):</t>
        </r>
        <r>
          <rPr>
            <sz val="9"/>
            <color indexed="81"/>
            <rFont val="Tahoma"/>
            <family val="2"/>
          </rPr>
          <t xml:space="preserve">
Based on average pipeline analysis, update 2015</t>
        </r>
      </text>
    </comment>
    <comment ref="Q53" authorId="0" shapeId="0">
      <text>
        <r>
          <rPr>
            <b/>
            <sz val="9"/>
            <color indexed="81"/>
            <rFont val="Tahoma"/>
            <family val="2"/>
          </rPr>
          <t>Beaulieu, Shelley (CliftonPark,NY-US):</t>
        </r>
        <r>
          <rPr>
            <sz val="9"/>
            <color indexed="81"/>
            <rFont val="Tahoma"/>
            <family val="2"/>
          </rPr>
          <t xml:space="preserve">
Based on average pipeline analysis, update 2015</t>
        </r>
      </text>
    </comment>
    <comment ref="Q54" authorId="2" shapeId="0">
      <text>
        <r>
          <rPr>
            <b/>
            <sz val="9"/>
            <color indexed="81"/>
            <rFont val="Tahoma"/>
            <family val="2"/>
          </rPr>
          <t>Sobieniak, Kara (Ithaca,NY-US):</t>
        </r>
        <r>
          <rPr>
            <sz val="9"/>
            <color indexed="81"/>
            <rFont val="Tahoma"/>
            <family val="2"/>
          </rPr>
          <t xml:space="preserve">
Based on average pipeline analysis, update 2015</t>
        </r>
      </text>
    </comment>
    <comment ref="Q55" authorId="2" shapeId="0">
      <text>
        <r>
          <rPr>
            <b/>
            <sz val="9"/>
            <color indexed="81"/>
            <rFont val="Tahoma"/>
            <family val="2"/>
          </rPr>
          <t>Sobieniak, Kara (Ithaca,NY-US):</t>
        </r>
        <r>
          <rPr>
            <sz val="9"/>
            <color indexed="81"/>
            <rFont val="Tahoma"/>
            <family val="2"/>
          </rPr>
          <t xml:space="preserve">
Based on average pipeline analysis, update 2015</t>
        </r>
      </text>
    </comment>
    <comment ref="Q72" authorId="0" shapeId="0">
      <text>
        <r>
          <rPr>
            <b/>
            <sz val="9"/>
            <color indexed="81"/>
            <rFont val="Tahoma"/>
            <family val="2"/>
          </rPr>
          <t>Beaulieu, Shelley (CliftonPark,NY-US):</t>
        </r>
        <r>
          <rPr>
            <sz val="9"/>
            <color indexed="81"/>
            <rFont val="Tahoma"/>
            <family val="2"/>
          </rPr>
          <t xml:space="preserve">
Incremental cost is based on pipeline analysis.  Full incremental cost is located on Proposed tab.  Baseline cost is $0.</t>
        </r>
      </text>
    </comment>
    <comment ref="Q86" authorId="0" shapeId="0">
      <text>
        <r>
          <rPr>
            <b/>
            <sz val="9"/>
            <color indexed="81"/>
            <rFont val="Tahoma"/>
            <family val="2"/>
          </rPr>
          <t>Beaulieu, Shelley (CliftonPark,NY-US):</t>
        </r>
        <r>
          <rPr>
            <sz val="9"/>
            <color indexed="81"/>
            <rFont val="Tahoma"/>
            <family val="2"/>
          </rPr>
          <t xml:space="preserve">
Baseline is no sensors, so cost is $0.</t>
        </r>
      </text>
    </comment>
    <comment ref="Q93" authorId="0" shapeId="0">
      <text>
        <r>
          <rPr>
            <b/>
            <sz val="9"/>
            <color indexed="81"/>
            <rFont val="Tahoma"/>
            <family val="2"/>
          </rPr>
          <t>Beaulieu, Shelley (CliftonPark,NY-US):</t>
        </r>
        <r>
          <rPr>
            <sz val="9"/>
            <color indexed="81"/>
            <rFont val="Tahoma"/>
            <family val="2"/>
          </rPr>
          <t xml:space="preserve">
Costs from RS Means CostWorks 2012, unless otherwise noted.</t>
        </r>
      </text>
    </comment>
    <comment ref="Q95" authorId="1" shapeId="0">
      <text>
        <r>
          <rPr>
            <b/>
            <sz val="9"/>
            <color indexed="81"/>
            <rFont val="Tahoma"/>
            <family val="2"/>
          </rPr>
          <t>Beaulieu, Shelley:</t>
        </r>
        <r>
          <rPr>
            <sz val="9"/>
            <color indexed="81"/>
            <rFont val="Tahoma"/>
            <family val="2"/>
          </rPr>
          <t xml:space="preserve">
Based on average pipeline analysis, update 2015
</t>
        </r>
      </text>
    </comment>
  </commentList>
</comments>
</file>

<file path=xl/comments3.xml><?xml version="1.0" encoding="utf-8"?>
<comments xmlns="http://schemas.openxmlformats.org/spreadsheetml/2006/main">
  <authors>
    <author>Beaulieu, Shelley (CliftonPark,NY-US)</author>
    <author>Sobieniak, Kara (Ithaca,NY-US)</author>
    <author>TRC</author>
    <author>Beaulieu, Shelley</author>
  </authors>
  <commentList>
    <comment ref="V1" authorId="0" shapeId="0">
      <text>
        <r>
          <rPr>
            <b/>
            <sz val="9"/>
            <color indexed="81"/>
            <rFont val="Tahoma"/>
            <family val="2"/>
          </rPr>
          <t>Beaulieu, Shelley (CliftonPark,NY-US):</t>
        </r>
        <r>
          <rPr>
            <sz val="9"/>
            <color indexed="81"/>
            <rFont val="Tahoma"/>
            <family val="2"/>
          </rPr>
          <t xml:space="preserve">
Costs from RS Means CostWorks 2012, unless otherwise noted.</t>
        </r>
      </text>
    </comment>
    <comment ref="V2" authorId="0" shapeId="0">
      <text>
        <r>
          <rPr>
            <b/>
            <sz val="9"/>
            <color indexed="81"/>
            <rFont val="Tahoma"/>
            <family val="2"/>
          </rPr>
          <t>Beaulieu, Shelley (CliftonPark,NY-US):</t>
        </r>
        <r>
          <rPr>
            <sz val="9"/>
            <color indexed="81"/>
            <rFont val="Tahoma"/>
            <family val="2"/>
          </rPr>
          <t xml:space="preserve">
From ENERGY STAR Refrigerator Calculator, based on 2008 national price data</t>
        </r>
      </text>
    </comment>
    <comment ref="V3" authorId="0" shapeId="0">
      <text>
        <r>
          <rPr>
            <b/>
            <sz val="9"/>
            <color indexed="81"/>
            <rFont val="Tahoma"/>
            <family val="2"/>
          </rPr>
          <t>Beaulieu, Shelley (CliftonPark,NY-US):</t>
        </r>
        <r>
          <rPr>
            <sz val="9"/>
            <color indexed="81"/>
            <rFont val="Tahoma"/>
            <family val="2"/>
          </rPr>
          <t xml:space="preserve">
Based on average pipeline analysis, updated in 2015.
</t>
        </r>
      </text>
    </comment>
    <comment ref="V4" authorId="0" shapeId="0">
      <text>
        <r>
          <rPr>
            <b/>
            <sz val="9"/>
            <color indexed="81"/>
            <rFont val="Tahoma"/>
            <family val="2"/>
          </rPr>
          <t>Beaulieu, Shelley (CliftonPark,NY-US):</t>
        </r>
        <r>
          <rPr>
            <sz val="9"/>
            <color indexed="81"/>
            <rFont val="Tahoma"/>
            <family val="2"/>
          </rPr>
          <t xml:space="preserve">
RS Means item number 113123136750</t>
        </r>
      </text>
    </comment>
    <comment ref="V5" authorId="0" shapeId="0">
      <text>
        <r>
          <rPr>
            <b/>
            <sz val="9"/>
            <color indexed="81"/>
            <rFont val="Tahoma"/>
            <family val="2"/>
          </rPr>
          <t>Beaulieu, Shelley (CliftonPark,NY-US):</t>
        </r>
        <r>
          <rPr>
            <sz val="9"/>
            <color indexed="81"/>
            <rFont val="Tahoma"/>
            <family val="2"/>
          </rPr>
          <t xml:space="preserve">
Cost from ENERGY STAR Clothes Washer Calculator, as RS Means does not have ENERGY STAR Commercial Clothes Washer cost.</t>
        </r>
      </text>
    </comment>
    <comment ref="V6" authorId="0" shapeId="0">
      <text>
        <r>
          <rPr>
            <b/>
            <sz val="9"/>
            <color indexed="81"/>
            <rFont val="Tahoma"/>
            <family val="2"/>
          </rPr>
          <t>Beaulieu, Shelley (CliftonPark,NY-US):</t>
        </r>
        <r>
          <rPr>
            <sz val="9"/>
            <color indexed="81"/>
            <rFont val="Tahoma"/>
            <family val="2"/>
          </rPr>
          <t xml:space="preserve">
Costs from ENERGY STAR Ceiling Fan Calculator</t>
        </r>
      </text>
    </comment>
    <comment ref="V7" authorId="0" shapeId="0">
      <text>
        <r>
          <rPr>
            <b/>
            <sz val="9"/>
            <color indexed="81"/>
            <rFont val="Tahoma"/>
            <family val="2"/>
          </rPr>
          <t>Beaulieu, Shelley (CliftonPark,NY-US):</t>
        </r>
        <r>
          <rPr>
            <sz val="9"/>
            <color indexed="81"/>
            <rFont val="Tahoma"/>
            <family val="2"/>
          </rPr>
          <t xml:space="preserve">
Costs from RS Means CostWorks 2012, unless otherwise noted.</t>
        </r>
      </text>
    </comment>
    <comment ref="V8" authorId="0" shapeId="0">
      <text>
        <r>
          <rPr>
            <b/>
            <sz val="9"/>
            <color indexed="81"/>
            <rFont val="Tahoma"/>
            <family val="2"/>
          </rPr>
          <t>Beaulieu, Shelley (CliftonPark,NY-US):</t>
        </r>
        <r>
          <rPr>
            <sz val="9"/>
            <color indexed="81"/>
            <rFont val="Tahoma"/>
            <family val="2"/>
          </rPr>
          <t xml:space="preserve">
Extrapolation from RS Means item 113133237220 and 113133237300</t>
        </r>
      </text>
    </comment>
    <comment ref="V9" authorId="0" shapeId="0">
      <text>
        <r>
          <rPr>
            <b/>
            <sz val="9"/>
            <color indexed="81"/>
            <rFont val="Tahoma"/>
            <family val="2"/>
          </rPr>
          <t>Beaulieu, Shelley (CliftonPark,NY-US):</t>
        </r>
        <r>
          <rPr>
            <sz val="9"/>
            <color indexed="81"/>
            <rFont val="Tahoma"/>
            <family val="2"/>
          </rPr>
          <t xml:space="preserve">
Extrapolation from RS Means item 113133236950 and 113133237150</t>
        </r>
      </text>
    </comment>
    <comment ref="V10" authorId="1" shapeId="0">
      <text>
        <r>
          <rPr>
            <b/>
            <sz val="9"/>
            <color indexed="81"/>
            <rFont val="Tahoma"/>
            <family val="2"/>
          </rPr>
          <t>Sobieniak, Kara (Ithaca,NY-US):</t>
        </r>
        <r>
          <rPr>
            <sz val="9"/>
            <color indexed="81"/>
            <rFont val="Tahoma"/>
            <family val="2"/>
          </rPr>
          <t xml:space="preserve">
Based on average pipeline analysis, update 2015</t>
        </r>
      </text>
    </comment>
    <comment ref="V11" authorId="2" shapeId="0">
      <text>
        <r>
          <rPr>
            <b/>
            <sz val="8"/>
            <color indexed="81"/>
            <rFont val="Tahoma"/>
            <family val="2"/>
          </rPr>
          <t>TRC:</t>
        </r>
        <r>
          <rPr>
            <sz val="8"/>
            <color indexed="81"/>
            <rFont val="Tahoma"/>
            <family val="2"/>
          </rPr>
          <t xml:space="preserve">
Based on average pipeline analysis, update 2015</t>
        </r>
      </text>
    </comment>
    <comment ref="V12" authorId="2" shapeId="0">
      <text>
        <r>
          <rPr>
            <b/>
            <sz val="8"/>
            <color indexed="81"/>
            <rFont val="Tahoma"/>
            <family val="2"/>
          </rPr>
          <t>TRC:</t>
        </r>
        <r>
          <rPr>
            <sz val="8"/>
            <color indexed="81"/>
            <rFont val="Tahoma"/>
            <family val="2"/>
          </rPr>
          <t xml:space="preserve">
Based on average pipeline analysis, update 2015</t>
        </r>
      </text>
    </comment>
    <comment ref="V13" authorId="0" shapeId="0">
      <text>
        <r>
          <rPr>
            <b/>
            <sz val="9"/>
            <color indexed="81"/>
            <rFont val="Tahoma"/>
            <family val="2"/>
          </rPr>
          <t>Beaulieu, Shelley (CliftonPark,NY-US):</t>
        </r>
        <r>
          <rPr>
            <sz val="9"/>
            <color indexed="81"/>
            <rFont val="Tahoma"/>
            <family val="2"/>
          </rPr>
          <t xml:space="preserve">
Costs from RS Means CostWorks 2012, unless otherwise noted.</t>
        </r>
      </text>
    </comment>
    <comment ref="V14" authorId="0" shapeId="0">
      <text>
        <r>
          <rPr>
            <b/>
            <sz val="9"/>
            <color indexed="81"/>
            <rFont val="Tahoma"/>
            <family val="2"/>
          </rPr>
          <t>Beaulieu, Shelley (CliftonPark,NY-US):</t>
        </r>
        <r>
          <rPr>
            <sz val="9"/>
            <color indexed="81"/>
            <rFont val="Tahoma"/>
            <family val="2"/>
          </rPr>
          <t xml:space="preserve">
RS Means item number 072216102140</t>
        </r>
      </text>
    </comment>
    <comment ref="V15" authorId="0" shapeId="0">
      <text>
        <r>
          <rPr>
            <b/>
            <sz val="9"/>
            <color indexed="81"/>
            <rFont val="Tahoma"/>
            <family val="2"/>
          </rPr>
          <t>Beaulieu, Shelley (CliftonPark,NY-US):</t>
        </r>
        <r>
          <rPr>
            <sz val="9"/>
            <color indexed="81"/>
            <rFont val="Tahoma"/>
            <family val="2"/>
          </rPr>
          <t xml:space="preserve">
RS Means item number 072116103000</t>
        </r>
      </text>
    </comment>
    <comment ref="V16" authorId="0" shapeId="0">
      <text>
        <r>
          <rPr>
            <b/>
            <sz val="9"/>
            <color indexed="81"/>
            <rFont val="Tahoma"/>
            <family val="2"/>
          </rPr>
          <t>Beaulieu, Shelley (CliftonPark,NY-US):</t>
        </r>
        <r>
          <rPr>
            <sz val="9"/>
            <color indexed="81"/>
            <rFont val="Tahoma"/>
            <family val="2"/>
          </rPr>
          <t xml:space="preserve">
RS Means item number 072126101500</t>
        </r>
      </text>
    </comment>
    <comment ref="V17" authorId="0" shapeId="0">
      <text>
        <r>
          <rPr>
            <b/>
            <sz val="9"/>
            <color indexed="81"/>
            <rFont val="Tahoma"/>
            <family val="2"/>
          </rPr>
          <t>Beaulieu, Shelley (CliftonPark,NY-US):</t>
        </r>
        <r>
          <rPr>
            <sz val="9"/>
            <color indexed="81"/>
            <rFont val="Tahoma"/>
            <family val="2"/>
          </rPr>
          <t xml:space="preserve">
Sources located on the cells to the right.</t>
        </r>
      </text>
    </comment>
    <comment ref="W17" authorId="0" shapeId="0">
      <text>
        <r>
          <rPr>
            <b/>
            <sz val="9"/>
            <color indexed="81"/>
            <rFont val="Tahoma"/>
            <family val="2"/>
          </rPr>
          <t>Beaulieu, Shelley (CliftonPark,NY-US):</t>
        </r>
        <r>
          <rPr>
            <sz val="9"/>
            <color indexed="81"/>
            <rFont val="Tahoma"/>
            <family val="2"/>
          </rPr>
          <t xml:space="preserve">
Average of RS Means items 072113101940 and 072113101960</t>
        </r>
      </text>
    </comment>
    <comment ref="X17" authorId="0" shapeId="0">
      <text>
        <r>
          <rPr>
            <b/>
            <sz val="9"/>
            <color indexed="81"/>
            <rFont val="Tahoma"/>
            <family val="2"/>
          </rPr>
          <t>Beaulieu, Shelley (CliftonPark,NY-US):</t>
        </r>
        <r>
          <rPr>
            <sz val="9"/>
            <color indexed="81"/>
            <rFont val="Tahoma"/>
            <family val="2"/>
          </rPr>
          <t xml:space="preserve">
RS Means item 072113101960</t>
        </r>
      </text>
    </comment>
    <comment ref="Y17" authorId="0" shapeId="0">
      <text>
        <r>
          <rPr>
            <b/>
            <sz val="9"/>
            <color indexed="81"/>
            <rFont val="Tahoma"/>
            <family val="2"/>
          </rPr>
          <t xml:space="preserve">Beaulieu, Shelley (CliftonPark,NY-USA) </t>
        </r>
        <r>
          <rPr>
            <sz val="9"/>
            <color indexed="81"/>
            <rFont val="Tahoma"/>
            <family val="2"/>
          </rPr>
          <t xml:space="preserve">
Average of RS Means items 072113101660 and 072113101670</t>
        </r>
      </text>
    </comment>
    <comment ref="V18" authorId="0" shapeId="0">
      <text>
        <r>
          <rPr>
            <b/>
            <sz val="9"/>
            <color indexed="81"/>
            <rFont val="Tahoma"/>
            <family val="2"/>
          </rPr>
          <t>Beaulieu, Shelley (CliftonPark,NY-US):</t>
        </r>
        <r>
          <rPr>
            <sz val="9"/>
            <color indexed="81"/>
            <rFont val="Tahoma"/>
            <family val="2"/>
          </rPr>
          <t xml:space="preserve">
RS Means item 072113101650</t>
        </r>
      </text>
    </comment>
    <comment ref="V19" authorId="0" shapeId="0">
      <text>
        <r>
          <rPr>
            <b/>
            <sz val="9"/>
            <color indexed="81"/>
            <rFont val="Tahoma"/>
            <family val="2"/>
          </rPr>
          <t>Beaulieu, Shelley (CliftonPark,NY-US):</t>
        </r>
        <r>
          <rPr>
            <sz val="9"/>
            <color indexed="81"/>
            <rFont val="Tahoma"/>
            <family val="2"/>
          </rPr>
          <t xml:space="preserve">
RS Means item 072113101650</t>
        </r>
      </text>
    </comment>
    <comment ref="V20" authorId="0" shapeId="0">
      <text>
        <r>
          <rPr>
            <b/>
            <sz val="9"/>
            <color indexed="81"/>
            <rFont val="Tahoma"/>
            <family val="2"/>
          </rPr>
          <t>Beaulieu, Shelley (CliftonPark,NY-US):</t>
        </r>
        <r>
          <rPr>
            <sz val="9"/>
            <color indexed="81"/>
            <rFont val="Tahoma"/>
            <family val="2"/>
          </rPr>
          <t xml:space="preserve">
Sources located on the cells to the right.</t>
        </r>
      </text>
    </comment>
    <comment ref="W20" authorId="0" shapeId="0">
      <text>
        <r>
          <rPr>
            <b/>
            <sz val="9"/>
            <color indexed="81"/>
            <rFont val="Tahoma"/>
            <family val="2"/>
          </rPr>
          <t>Beaulieu, Shelley (CliftonPark,NY-US):</t>
        </r>
        <r>
          <rPr>
            <sz val="9"/>
            <color indexed="81"/>
            <rFont val="Tahoma"/>
            <family val="2"/>
          </rPr>
          <t xml:space="preserve">
RS Means item 072113102120</t>
        </r>
      </text>
    </comment>
    <comment ref="X20" authorId="0" shapeId="0">
      <text>
        <r>
          <rPr>
            <b/>
            <sz val="9"/>
            <color indexed="81"/>
            <rFont val="Tahoma"/>
            <family val="2"/>
          </rPr>
          <t>Beaulieu, Shelley (CliftonPark,NY-US):</t>
        </r>
        <r>
          <rPr>
            <sz val="9"/>
            <color indexed="81"/>
            <rFont val="Tahoma"/>
            <family val="2"/>
          </rPr>
          <t xml:space="preserve">
RS Means item 072113102140</t>
        </r>
      </text>
    </comment>
    <comment ref="Y20" authorId="0" shapeId="0">
      <text>
        <r>
          <rPr>
            <b/>
            <sz val="9"/>
            <color indexed="81"/>
            <rFont val="Tahoma"/>
            <family val="2"/>
          </rPr>
          <t>Beaulieu, Shelley (CliftonPark,NY-US):</t>
        </r>
        <r>
          <rPr>
            <sz val="9"/>
            <color indexed="81"/>
            <rFont val="Tahoma"/>
            <family val="2"/>
          </rPr>
          <t xml:space="preserve">
RS Means item 072113102140</t>
        </r>
      </text>
    </comment>
    <comment ref="V21" authorId="0" shapeId="0">
      <text>
        <r>
          <rPr>
            <b/>
            <sz val="9"/>
            <color indexed="81"/>
            <rFont val="Tahoma"/>
            <family val="2"/>
          </rPr>
          <t>Beaulieu, Shelley (CliftonPark,NY-US):</t>
        </r>
        <r>
          <rPr>
            <sz val="9"/>
            <color indexed="81"/>
            <rFont val="Tahoma"/>
            <family val="2"/>
          </rPr>
          <t xml:space="preserve">
RS Means item 072113102140</t>
        </r>
      </text>
    </comment>
    <comment ref="V23" authorId="0" shapeId="0">
      <text>
        <r>
          <rPr>
            <b/>
            <sz val="9"/>
            <color indexed="81"/>
            <rFont val="Tahoma"/>
            <family val="2"/>
          </rPr>
          <t>Beaulieu, Shelley (CliftonPark,NY-US):</t>
        </r>
        <r>
          <rPr>
            <sz val="9"/>
            <color indexed="81"/>
            <rFont val="Tahoma"/>
            <family val="2"/>
          </rPr>
          <t xml:space="preserve">
Sources located on the cells to the right.</t>
        </r>
      </text>
    </comment>
    <comment ref="W23" authorId="0" shapeId="0">
      <text>
        <r>
          <rPr>
            <b/>
            <sz val="9"/>
            <color indexed="81"/>
            <rFont val="Tahoma"/>
            <family val="2"/>
          </rPr>
          <t>Beaulieu, Shelley (CliftonPark,NY-US):</t>
        </r>
        <r>
          <rPr>
            <sz val="9"/>
            <color indexed="81"/>
            <rFont val="Tahoma"/>
            <family val="2"/>
          </rPr>
          <t xml:space="preserve">
RS Means item 072113101650</t>
        </r>
      </text>
    </comment>
    <comment ref="X23" authorId="0" shapeId="0">
      <text>
        <r>
          <rPr>
            <b/>
            <sz val="9"/>
            <color indexed="81"/>
            <rFont val="Tahoma"/>
            <family val="2"/>
          </rPr>
          <t>Beaulieu, Shelley (CliftonPark,NY-US):</t>
        </r>
        <r>
          <rPr>
            <sz val="9"/>
            <color indexed="81"/>
            <rFont val="Tahoma"/>
            <family val="2"/>
          </rPr>
          <t xml:space="preserve">
RS Means item 072113101660</t>
        </r>
      </text>
    </comment>
    <comment ref="Y23" authorId="0" shapeId="0">
      <text>
        <r>
          <rPr>
            <b/>
            <sz val="9"/>
            <color indexed="81"/>
            <rFont val="Tahoma"/>
            <family val="2"/>
          </rPr>
          <t>Beaulieu, Shelley (CliftonPark,NY-US):</t>
        </r>
        <r>
          <rPr>
            <sz val="9"/>
            <color indexed="81"/>
            <rFont val="Tahoma"/>
            <family val="2"/>
          </rPr>
          <t xml:space="preserve">
Average of RS Means item 072113101660 and 072113101670 (1/4 towards 2")</t>
        </r>
      </text>
    </comment>
    <comment ref="V24" authorId="0" shapeId="0">
      <text>
        <r>
          <rPr>
            <b/>
            <sz val="9"/>
            <color indexed="81"/>
            <rFont val="Tahoma"/>
            <family val="2"/>
          </rPr>
          <t>Beaulieu, Shelley (CliftonPark,NY-US):</t>
        </r>
        <r>
          <rPr>
            <sz val="9"/>
            <color indexed="81"/>
            <rFont val="Tahoma"/>
            <family val="2"/>
          </rPr>
          <t xml:space="preserve">
Sources located on the cells to the right.</t>
        </r>
      </text>
    </comment>
    <comment ref="W24" authorId="0" shapeId="0">
      <text>
        <r>
          <rPr>
            <b/>
            <sz val="9"/>
            <color indexed="81"/>
            <rFont val="Tahoma"/>
            <family val="2"/>
          </rPr>
          <t>Beaulieu, Shelley (CliftonPark,NY-US):</t>
        </r>
        <r>
          <rPr>
            <sz val="9"/>
            <color indexed="81"/>
            <rFont val="Tahoma"/>
            <family val="2"/>
          </rPr>
          <t xml:space="preserve">
RS Means item 072116103030</t>
        </r>
      </text>
    </comment>
    <comment ref="X24" authorId="0" shapeId="0">
      <text>
        <r>
          <rPr>
            <b/>
            <sz val="9"/>
            <color indexed="81"/>
            <rFont val="Tahoma"/>
            <family val="2"/>
          </rPr>
          <t>Beaulieu, Shelley (CliftonPark,NY-US):</t>
        </r>
        <r>
          <rPr>
            <sz val="9"/>
            <color indexed="81"/>
            <rFont val="Tahoma"/>
            <family val="2"/>
          </rPr>
          <t xml:space="preserve">
RS Means item 072116103030</t>
        </r>
      </text>
    </comment>
    <comment ref="Y24" authorId="0" shapeId="0">
      <text>
        <r>
          <rPr>
            <b/>
            <sz val="9"/>
            <color indexed="81"/>
            <rFont val="Tahoma"/>
            <family val="2"/>
          </rPr>
          <t>Beaulieu, Shelley (CliftonPark,NY-US):</t>
        </r>
        <r>
          <rPr>
            <sz val="9"/>
            <color indexed="81"/>
            <rFont val="Tahoma"/>
            <family val="2"/>
          </rPr>
          <t xml:space="preserve">
RS Means item 072116103030 plus RS Means item 072113101650</t>
        </r>
      </text>
    </comment>
    <comment ref="V25" authorId="0" shapeId="0">
      <text>
        <r>
          <rPr>
            <b/>
            <sz val="9"/>
            <color indexed="81"/>
            <rFont val="Tahoma"/>
            <family val="2"/>
          </rPr>
          <t>Beaulieu, Shelley (CliftonPark,NY-US):</t>
        </r>
        <r>
          <rPr>
            <sz val="9"/>
            <color indexed="81"/>
            <rFont val="Tahoma"/>
            <family val="2"/>
          </rPr>
          <t xml:space="preserve">
RS Means item 072113102120</t>
        </r>
      </text>
    </comment>
    <comment ref="V28" authorId="0" shapeId="0">
      <text>
        <r>
          <rPr>
            <b/>
            <sz val="9"/>
            <color indexed="81"/>
            <rFont val="Tahoma"/>
            <family val="2"/>
          </rPr>
          <t>Beaulieu, Shelley (CliftonPark,NY-US):</t>
        </r>
        <r>
          <rPr>
            <sz val="9"/>
            <color indexed="81"/>
            <rFont val="Tahoma"/>
            <family val="2"/>
          </rPr>
          <t xml:space="preserve">
Incremental Cost/SF as per pipeline analysis</t>
        </r>
      </text>
    </comment>
    <comment ref="V30" authorId="0" shapeId="0">
      <text>
        <r>
          <rPr>
            <b/>
            <sz val="9"/>
            <color indexed="81"/>
            <rFont val="Tahoma"/>
            <family val="2"/>
          </rPr>
          <t>Beaulieu, Shelley (CliftonPark,NY-US):</t>
        </r>
        <r>
          <rPr>
            <sz val="9"/>
            <color indexed="81"/>
            <rFont val="Tahoma"/>
            <family val="2"/>
          </rPr>
          <t xml:space="preserve">
Costs from RS Means CostWorks 2012, unless otherwise noted.</t>
        </r>
      </text>
    </comment>
    <comment ref="V31" authorId="0" shapeId="0">
      <text>
        <r>
          <rPr>
            <b/>
            <sz val="9"/>
            <color indexed="81"/>
            <rFont val="Tahoma"/>
            <family val="2"/>
          </rPr>
          <t>Beaulieu, Shelley (CliftonPark,NY-US):</t>
        </r>
        <r>
          <rPr>
            <sz val="9"/>
            <color indexed="81"/>
            <rFont val="Tahoma"/>
            <family val="2"/>
          </rPr>
          <t xml:space="preserve">
Based on $/sf of RS Means item number 085313300330</t>
        </r>
      </text>
    </comment>
    <comment ref="V32" authorId="0" shapeId="0">
      <text>
        <r>
          <rPr>
            <b/>
            <sz val="9"/>
            <color indexed="81"/>
            <rFont val="Tahoma"/>
            <family val="2"/>
          </rPr>
          <t>Beaulieu, Shelley (CliftonPark,NY-US):</t>
        </r>
        <r>
          <rPr>
            <sz val="9"/>
            <color indexed="81"/>
            <rFont val="Tahoma"/>
            <family val="2"/>
          </rPr>
          <t xml:space="preserve">
Based on $/sf of RS Means item number 085113204700</t>
        </r>
      </text>
    </comment>
    <comment ref="V34" authorId="0" shapeId="0">
      <text>
        <r>
          <rPr>
            <b/>
            <sz val="9"/>
            <color indexed="81"/>
            <rFont val="Tahoma"/>
            <family val="2"/>
          </rPr>
          <t>Beaulieu, Shelley (CliftonPark,NY-US):</t>
        </r>
        <r>
          <rPr>
            <sz val="9"/>
            <color indexed="81"/>
            <rFont val="Tahoma"/>
            <family val="2"/>
          </rPr>
          <t xml:space="preserve">
Based on $/sf of RS Means item number 085113204700</t>
        </r>
      </text>
    </comment>
    <comment ref="V35" authorId="0" shapeId="0">
      <text>
        <r>
          <rPr>
            <b/>
            <sz val="9"/>
            <color indexed="81"/>
            <rFont val="Tahoma"/>
            <family val="2"/>
          </rPr>
          <t>Beaulieu, Shelley (CliftonPark,NY-US):</t>
        </r>
        <r>
          <rPr>
            <sz val="9"/>
            <color indexed="81"/>
            <rFont val="Tahoma"/>
            <family val="2"/>
          </rPr>
          <t xml:space="preserve">
Average incremental cost/CFM per pipeline analysis, updated in 2015</t>
        </r>
      </text>
    </comment>
    <comment ref="D36" authorId="0" shapeId="0">
      <text>
        <r>
          <rPr>
            <b/>
            <sz val="9"/>
            <color indexed="81"/>
            <rFont val="Tahoma"/>
            <family val="2"/>
          </rPr>
          <t>Beaulieu, Shelley (CliftonPark,NY-US):</t>
        </r>
        <r>
          <rPr>
            <sz val="9"/>
            <color indexed="81"/>
            <rFont val="Tahoma"/>
            <family val="2"/>
          </rPr>
          <t xml:space="preserve">
For heating systems rated in COP, the Tech Manual AFUE assumptions were used.</t>
        </r>
      </text>
    </comment>
    <comment ref="V37" authorId="1" shapeId="0">
      <text>
        <r>
          <rPr>
            <b/>
            <sz val="9"/>
            <color indexed="81"/>
            <rFont val="Tahoma"/>
            <family val="2"/>
          </rPr>
          <t>Sobieniak, Kara (Ithaca,NY-US):</t>
        </r>
        <r>
          <rPr>
            <sz val="9"/>
            <color indexed="81"/>
            <rFont val="Tahoma"/>
            <family val="2"/>
          </rPr>
          <t xml:space="preserve">
Based on average pipeline analysis, updated in 2015.</t>
        </r>
      </text>
    </comment>
    <comment ref="V38" authorId="3" shapeId="0">
      <text>
        <r>
          <rPr>
            <b/>
            <sz val="9"/>
            <color indexed="81"/>
            <rFont val="Tahoma"/>
            <family val="2"/>
          </rPr>
          <t>Beaulieu, Shelley:</t>
        </r>
        <r>
          <rPr>
            <sz val="9"/>
            <color indexed="81"/>
            <rFont val="Tahoma"/>
            <family val="2"/>
          </rPr>
          <t xml:space="preserve">
Based on average pipeline analysis, updated in 2015.</t>
        </r>
      </text>
    </comment>
    <comment ref="V39" authorId="3" shapeId="0">
      <text>
        <r>
          <rPr>
            <b/>
            <sz val="9"/>
            <color indexed="81"/>
            <rFont val="Tahoma"/>
            <family val="2"/>
          </rPr>
          <t>Beaulieu, Shelley:</t>
        </r>
        <r>
          <rPr>
            <sz val="9"/>
            <color indexed="81"/>
            <rFont val="Tahoma"/>
            <family val="2"/>
          </rPr>
          <t xml:space="preserve">
Based on average pipeline analysis, updated in 2015.</t>
        </r>
      </text>
    </comment>
    <comment ref="V40" authorId="0" shapeId="0">
      <text>
        <r>
          <rPr>
            <b/>
            <sz val="9"/>
            <color indexed="81"/>
            <rFont val="Tahoma"/>
            <family val="2"/>
          </rPr>
          <t>Beaulieu, Shelley (CliftonPark,NY-US):</t>
        </r>
        <r>
          <rPr>
            <sz val="9"/>
            <color indexed="81"/>
            <rFont val="Tahoma"/>
            <family val="2"/>
          </rPr>
          <t xml:space="preserve">
Based on average pipeline analysis, updated in 2015.</t>
        </r>
      </text>
    </comment>
    <comment ref="V41" authorId="3" shapeId="0">
      <text>
        <r>
          <rPr>
            <b/>
            <sz val="9"/>
            <color indexed="81"/>
            <rFont val="Tahoma"/>
            <family val="2"/>
          </rPr>
          <t>Beaulieu, Shelley:</t>
        </r>
        <r>
          <rPr>
            <sz val="9"/>
            <color indexed="81"/>
            <rFont val="Tahoma"/>
            <family val="2"/>
          </rPr>
          <t xml:space="preserve">
Based on average pipeline analysis, updated in 2015.</t>
        </r>
      </text>
    </comment>
    <comment ref="V42" authorId="1" shapeId="0">
      <text>
        <r>
          <rPr>
            <b/>
            <sz val="9"/>
            <color indexed="81"/>
            <rFont val="Tahoma"/>
            <family val="2"/>
          </rPr>
          <t>Sobieniak, Kara (Ithaca,NY-US):</t>
        </r>
        <r>
          <rPr>
            <sz val="9"/>
            <color indexed="81"/>
            <rFont val="Tahoma"/>
            <family val="2"/>
          </rPr>
          <t xml:space="preserve">
Based on average pipeline analysis, updated in 2015.
</t>
        </r>
      </text>
    </comment>
    <comment ref="V43" authorId="3" shapeId="0">
      <text>
        <r>
          <rPr>
            <b/>
            <sz val="9"/>
            <color indexed="81"/>
            <rFont val="Tahoma"/>
            <family val="2"/>
          </rPr>
          <t>Beaulieu, Shelley:</t>
        </r>
        <r>
          <rPr>
            <sz val="9"/>
            <color indexed="81"/>
            <rFont val="Tahoma"/>
            <family val="2"/>
          </rPr>
          <t xml:space="preserve">
Based on average pipeline analysis, updated in 2015.</t>
        </r>
      </text>
    </comment>
    <comment ref="V45" authorId="0" shapeId="0">
      <text>
        <r>
          <rPr>
            <b/>
            <sz val="9"/>
            <color indexed="81"/>
            <rFont val="Tahoma"/>
            <family val="2"/>
          </rPr>
          <t>Beaulieu, Shelley (CliftonPark,NY-US):</t>
        </r>
        <r>
          <rPr>
            <sz val="9"/>
            <color indexed="81"/>
            <rFont val="Tahoma"/>
            <family val="2"/>
          </rPr>
          <t xml:space="preserve">
Based on average pipeline analysis, updated in 2015.</t>
        </r>
      </text>
    </comment>
    <comment ref="V46" authorId="1" shapeId="0">
      <text>
        <r>
          <rPr>
            <b/>
            <sz val="9"/>
            <color indexed="81"/>
            <rFont val="Tahoma"/>
            <family val="2"/>
          </rPr>
          <t>Sobieniak, Kara (Ithaca,NY-US):</t>
        </r>
        <r>
          <rPr>
            <sz val="9"/>
            <color indexed="81"/>
            <rFont val="Tahoma"/>
            <family val="2"/>
          </rPr>
          <t xml:space="preserve">
Based on average pipeline analysis, updated in 2015.</t>
        </r>
      </text>
    </comment>
    <comment ref="V47" authorId="1" shapeId="0">
      <text>
        <r>
          <rPr>
            <b/>
            <sz val="9"/>
            <color indexed="81"/>
            <rFont val="Tahoma"/>
            <family val="2"/>
          </rPr>
          <t>Sobieniak, Kara (Ithaca,NY-US):</t>
        </r>
        <r>
          <rPr>
            <sz val="9"/>
            <color indexed="81"/>
            <rFont val="Tahoma"/>
            <family val="2"/>
          </rPr>
          <t xml:space="preserve">
Based on average pipeline analysis, updated in 2015.</t>
        </r>
      </text>
    </comment>
    <comment ref="V48" authorId="0" shapeId="0">
      <text>
        <r>
          <rPr>
            <b/>
            <sz val="9"/>
            <color indexed="81"/>
            <rFont val="Tahoma"/>
            <family val="2"/>
          </rPr>
          <t>Beaulieu, Shelley (CliftonPark,NY-US):</t>
        </r>
        <r>
          <rPr>
            <sz val="9"/>
            <color indexed="81"/>
            <rFont val="Tahoma"/>
            <family val="2"/>
          </rPr>
          <t xml:space="preserve">
Based on average pipeline analysis, updated in 2015.</t>
        </r>
      </text>
    </comment>
    <comment ref="V49" authorId="1" shapeId="0">
      <text>
        <r>
          <rPr>
            <b/>
            <sz val="9"/>
            <color indexed="81"/>
            <rFont val="Tahoma"/>
            <family val="2"/>
          </rPr>
          <t>Sobieniak, Kara (Ithaca,NY-US):</t>
        </r>
        <r>
          <rPr>
            <sz val="9"/>
            <color indexed="81"/>
            <rFont val="Tahoma"/>
            <family val="2"/>
          </rPr>
          <t xml:space="preserve">
Based on average pipeline analysis, updated in 2015.
</t>
        </r>
      </text>
    </comment>
    <comment ref="V50" authorId="1" shapeId="0">
      <text>
        <r>
          <rPr>
            <b/>
            <sz val="9"/>
            <color indexed="81"/>
            <rFont val="Tahoma"/>
            <family val="2"/>
          </rPr>
          <t>Sobieniak, Kara (Ithaca,NY-US):</t>
        </r>
        <r>
          <rPr>
            <sz val="9"/>
            <color indexed="81"/>
            <rFont val="Tahoma"/>
            <family val="2"/>
          </rPr>
          <t xml:space="preserve">
Based on average pipeline analysis, updated in 2015.</t>
        </r>
      </text>
    </comment>
    <comment ref="V51" authorId="3" shapeId="0">
      <text>
        <r>
          <rPr>
            <b/>
            <sz val="9"/>
            <color indexed="81"/>
            <rFont val="Tahoma"/>
            <family val="2"/>
          </rPr>
          <t>Beaulieu, Shelley:</t>
        </r>
        <r>
          <rPr>
            <sz val="9"/>
            <color indexed="81"/>
            <rFont val="Tahoma"/>
            <family val="2"/>
          </rPr>
          <t xml:space="preserve">
Based on average pipeline analysis, updated in 2015.</t>
        </r>
      </text>
    </comment>
    <comment ref="V52" authorId="1" shapeId="0">
      <text>
        <r>
          <rPr>
            <b/>
            <sz val="9"/>
            <color indexed="81"/>
            <rFont val="Tahoma"/>
            <family val="2"/>
          </rPr>
          <t>Sobieniak, Kara (Ithaca,NY-US):</t>
        </r>
        <r>
          <rPr>
            <sz val="9"/>
            <color indexed="81"/>
            <rFont val="Tahoma"/>
            <family val="2"/>
          </rPr>
          <t xml:space="preserve">
Based on average pipeline analysis, updated in 2015.</t>
        </r>
      </text>
    </comment>
    <comment ref="V53" authorId="1" shapeId="0">
      <text>
        <r>
          <rPr>
            <b/>
            <sz val="9"/>
            <color indexed="81"/>
            <rFont val="Tahoma"/>
            <family val="2"/>
          </rPr>
          <t>Sobieniak, Kara (Ithaca,NY-US):</t>
        </r>
        <r>
          <rPr>
            <sz val="9"/>
            <color indexed="81"/>
            <rFont val="Tahoma"/>
            <family val="2"/>
          </rPr>
          <t xml:space="preserve">
Based on average pipeline analysis, updated in 2015.</t>
        </r>
      </text>
    </comment>
    <comment ref="V54" authorId="1" shapeId="0">
      <text>
        <r>
          <rPr>
            <b/>
            <sz val="9"/>
            <color indexed="81"/>
            <rFont val="Tahoma"/>
            <family val="2"/>
          </rPr>
          <t>Sobieniak, Kara (Ithaca,NY-US):</t>
        </r>
        <r>
          <rPr>
            <sz val="9"/>
            <color indexed="81"/>
            <rFont val="Tahoma"/>
            <family val="2"/>
          </rPr>
          <t xml:space="preserve">
Based on average pipeline analysis, updated in 2015.
</t>
        </r>
      </text>
    </comment>
    <comment ref="V55" authorId="1" shapeId="0">
      <text>
        <r>
          <rPr>
            <b/>
            <sz val="9"/>
            <color indexed="81"/>
            <rFont val="Tahoma"/>
            <family val="2"/>
          </rPr>
          <t>Sobieniak, Kara (Ithaca,NY-US):</t>
        </r>
        <r>
          <rPr>
            <sz val="9"/>
            <color indexed="81"/>
            <rFont val="Tahoma"/>
            <family val="2"/>
          </rPr>
          <t xml:space="preserve">
Based on average pipeline analysis, updated in 2015.
</t>
        </r>
      </text>
    </comment>
    <comment ref="D56" authorId="3" shapeId="0">
      <text>
        <r>
          <rPr>
            <sz val="9"/>
            <color indexed="81"/>
            <rFont val="Tahoma"/>
            <family val="2"/>
          </rPr>
          <t>COP at 17</t>
        </r>
      </text>
    </comment>
    <comment ref="F56" authorId="3" shapeId="0">
      <text>
        <r>
          <rPr>
            <sz val="9"/>
            <color indexed="81"/>
            <rFont val="Tahoma"/>
            <family val="2"/>
          </rPr>
          <t>COP at 17</t>
        </r>
      </text>
    </comment>
    <comment ref="V72" authorId="1" shapeId="0">
      <text>
        <r>
          <rPr>
            <b/>
            <sz val="9"/>
            <color indexed="81"/>
            <rFont val="Tahoma"/>
            <family val="2"/>
          </rPr>
          <t>Sobieniak, Kara (Ithaca,NY-US):</t>
        </r>
        <r>
          <rPr>
            <sz val="9"/>
            <color indexed="81"/>
            <rFont val="Tahoma"/>
            <family val="2"/>
          </rPr>
          <t xml:space="preserve">
Average Incremental Cost per pipeline analysis
</t>
        </r>
      </text>
    </comment>
    <comment ref="V86" authorId="2" shapeId="0">
      <text>
        <r>
          <rPr>
            <b/>
            <sz val="8"/>
            <color indexed="81"/>
            <rFont val="Tahoma"/>
            <family val="2"/>
          </rPr>
          <t>TRC:</t>
        </r>
        <r>
          <rPr>
            <sz val="8"/>
            <color indexed="81"/>
            <rFont val="Tahoma"/>
            <family val="2"/>
          </rPr>
          <t xml:space="preserve">
Per historical pipeline, updated in 2015.
</t>
        </r>
      </text>
    </comment>
    <comment ref="V90" authorId="1" shapeId="0">
      <text>
        <r>
          <rPr>
            <b/>
            <sz val="9"/>
            <color indexed="81"/>
            <rFont val="Tahoma"/>
            <family val="2"/>
          </rPr>
          <t>Sobieniak, Kara (Ithaca,NY-US):</t>
        </r>
        <r>
          <rPr>
            <sz val="9"/>
            <color indexed="81"/>
            <rFont val="Tahoma"/>
            <family val="2"/>
          </rPr>
          <t xml:space="preserve">
Avg. incremental cost as per pipeline analysis, updated in 2015</t>
        </r>
      </text>
    </comment>
    <comment ref="V91" authorId="1" shapeId="0">
      <text>
        <r>
          <rPr>
            <b/>
            <sz val="9"/>
            <color indexed="81"/>
            <rFont val="Tahoma"/>
            <family val="2"/>
          </rPr>
          <t>Sobieniak, Kara (Ithaca,NY-US):</t>
        </r>
        <r>
          <rPr>
            <sz val="9"/>
            <color indexed="81"/>
            <rFont val="Tahoma"/>
            <family val="2"/>
          </rPr>
          <t xml:space="preserve">
Avg. incremental cost as per pipeline analysis, updated in 2015</t>
        </r>
      </text>
    </comment>
    <comment ref="V94" authorId="2" shapeId="0">
      <text>
        <r>
          <rPr>
            <b/>
            <sz val="8"/>
            <color indexed="81"/>
            <rFont val="Tahoma"/>
            <family val="2"/>
          </rPr>
          <t>TRC:</t>
        </r>
        <r>
          <rPr>
            <sz val="8"/>
            <color indexed="81"/>
            <rFont val="Tahoma"/>
            <family val="2"/>
          </rPr>
          <t xml:space="preserve">
Average incremental cost per pipeline analysis, updated to 2015</t>
        </r>
      </text>
    </comment>
    <comment ref="V95" authorId="1" shapeId="0">
      <text>
        <r>
          <rPr>
            <b/>
            <sz val="9"/>
            <color indexed="81"/>
            <rFont val="Tahoma"/>
            <family val="2"/>
          </rPr>
          <t>Sobieniak, Kara (Ithaca,NY-US):</t>
        </r>
        <r>
          <rPr>
            <sz val="9"/>
            <color indexed="81"/>
            <rFont val="Tahoma"/>
            <family val="2"/>
          </rPr>
          <t xml:space="preserve">
Based on average pipeline analysis, update 2015
</t>
        </r>
      </text>
    </comment>
    <comment ref="V99" authorId="0" shapeId="0">
      <text>
        <r>
          <rPr>
            <b/>
            <sz val="9"/>
            <color indexed="81"/>
            <rFont val="Tahoma"/>
            <family val="2"/>
          </rPr>
          <t>Beaulieu, Shelley (CliftonPark,NY-US):</t>
        </r>
        <r>
          <rPr>
            <sz val="9"/>
            <color indexed="81"/>
            <rFont val="Tahoma"/>
            <family val="2"/>
          </rPr>
          <t xml:space="preserve">
Cost per heated square foot, per ENERGY STAR Qualified Homes Savings &amp; Cost Estimate Summary</t>
        </r>
      </text>
    </comment>
  </commentList>
</comments>
</file>

<file path=xl/comments4.xml><?xml version="1.0" encoding="utf-8"?>
<comments xmlns="http://schemas.openxmlformats.org/spreadsheetml/2006/main">
  <authors>
    <author>Beaulieu, Shelley (CliftonPark,NY-US)</author>
    <author>TRC</author>
  </authors>
  <commentList>
    <comment ref="A2" authorId="0" shapeId="0">
      <text>
        <r>
          <rPr>
            <b/>
            <sz val="9"/>
            <color indexed="81"/>
            <rFont val="Tahoma"/>
            <family val="2"/>
          </rPr>
          <t>Beaulieu, Shelley (CliftonPark,NY-US):</t>
        </r>
        <r>
          <rPr>
            <sz val="9"/>
            <color indexed="81"/>
            <rFont val="Tahoma"/>
            <family val="2"/>
          </rPr>
          <t xml:space="preserve">
Cities highlighted in yellow are representative cities from Tech Manual Oct 2010.</t>
        </r>
      </text>
    </comment>
    <comment ref="H2" authorId="0" shapeId="0">
      <text>
        <r>
          <rPr>
            <b/>
            <sz val="9"/>
            <color indexed="81"/>
            <rFont val="Tahoma"/>
            <family val="2"/>
          </rPr>
          <t>Beaulieu, Shelley (CliftonPark,NY-US):</t>
        </r>
        <r>
          <rPr>
            <sz val="9"/>
            <color indexed="81"/>
            <rFont val="Tahoma"/>
            <family val="2"/>
          </rPr>
          <t xml:space="preserve">
Tech Manual Order Jan 25 2011.</t>
        </r>
      </text>
    </comment>
    <comment ref="I2" authorId="0" shapeId="0">
      <text>
        <r>
          <rPr>
            <b/>
            <sz val="9"/>
            <color indexed="81"/>
            <rFont val="Tahoma"/>
            <family val="2"/>
          </rPr>
          <t>Beaulieu, Shelley (CliftonPark,NY-US):</t>
        </r>
        <r>
          <rPr>
            <sz val="9"/>
            <color indexed="81"/>
            <rFont val="Tahoma"/>
            <family val="2"/>
          </rPr>
          <t xml:space="preserve">
Tech Manual Oct 2010 pg 431</t>
        </r>
      </text>
    </comment>
    <comment ref="J2" authorId="0" shapeId="0">
      <text>
        <r>
          <rPr>
            <b/>
            <sz val="9"/>
            <color indexed="81"/>
            <rFont val="Tahoma"/>
            <family val="2"/>
          </rPr>
          <t>Beaulieu, Shelley (CliftonPark,NY-US):</t>
        </r>
        <r>
          <rPr>
            <sz val="9"/>
            <color indexed="81"/>
            <rFont val="Tahoma"/>
            <family val="2"/>
          </rPr>
          <t xml:space="preserve">
Tech Manual Oct 2010, Tmains, page 95</t>
        </r>
      </text>
    </comment>
    <comment ref="L2" authorId="0" shapeId="0">
      <text>
        <r>
          <rPr>
            <b/>
            <sz val="9"/>
            <color indexed="81"/>
            <rFont val="Tahoma"/>
            <family val="2"/>
          </rPr>
          <t>Beaulieu, Shelley (CliftonPark,NY-US):</t>
        </r>
        <r>
          <rPr>
            <sz val="9"/>
            <color indexed="81"/>
            <rFont val="Tahoma"/>
            <family val="2"/>
          </rPr>
          <t xml:space="preserve">
Tech Manual Oct 2010 pg 290</t>
        </r>
      </text>
    </comment>
    <comment ref="M2" authorId="0" shapeId="0">
      <text>
        <r>
          <rPr>
            <b/>
            <sz val="9"/>
            <color indexed="81"/>
            <rFont val="Tahoma"/>
            <family val="2"/>
          </rPr>
          <t>Beaulieu, Shelley (CliftonPark,NY-US):</t>
        </r>
        <r>
          <rPr>
            <sz val="9"/>
            <color indexed="81"/>
            <rFont val="Tahoma"/>
            <family val="2"/>
          </rPr>
          <t xml:space="preserve">
Tech Manual Oct 2010 pg 290</t>
        </r>
      </text>
    </comment>
    <comment ref="N2" authorId="0" shapeId="0">
      <text>
        <r>
          <rPr>
            <b/>
            <sz val="9"/>
            <color indexed="81"/>
            <rFont val="Tahoma"/>
            <family val="2"/>
          </rPr>
          <t>Beaulieu, Shelley (CliftonPark,NY-US):</t>
        </r>
        <r>
          <rPr>
            <sz val="9"/>
            <color indexed="81"/>
            <rFont val="Tahoma"/>
            <family val="2"/>
          </rPr>
          <t xml:space="preserve">
Tech Manual Oct 2010 pg 290</t>
        </r>
      </text>
    </comment>
    <comment ref="P2" authorId="0" shapeId="0">
      <text>
        <r>
          <rPr>
            <b/>
            <sz val="9"/>
            <color indexed="81"/>
            <rFont val="Tahoma"/>
            <family val="2"/>
          </rPr>
          <t>Beaulieu, Shelley (CliftonPark,NY-US):</t>
        </r>
        <r>
          <rPr>
            <sz val="9"/>
            <color indexed="81"/>
            <rFont val="Tahoma"/>
            <family val="2"/>
          </rPr>
          <t xml:space="preserve">
Tech Manual Oct 2010 Appx J, Other category, pg 456.</t>
        </r>
      </text>
    </comment>
    <comment ref="T2" authorId="0" shapeId="0">
      <text>
        <r>
          <rPr>
            <b/>
            <sz val="9"/>
            <color indexed="81"/>
            <rFont val="Tahoma"/>
            <family val="2"/>
          </rPr>
          <t>Beaulieu, Shelley (CliftonPark,NY-US):</t>
        </r>
        <r>
          <rPr>
            <sz val="9"/>
            <color indexed="81"/>
            <rFont val="Tahoma"/>
            <family val="2"/>
          </rPr>
          <t xml:space="preserve">
Used values from R-19 to R-30 from tables starting on page 380 of Oct 2010 Tech Manual</t>
        </r>
      </text>
    </comment>
    <comment ref="W2" authorId="0" shapeId="0">
      <text>
        <r>
          <rPr>
            <b/>
            <sz val="9"/>
            <color indexed="81"/>
            <rFont val="Tahoma"/>
            <family val="2"/>
          </rPr>
          <t>Beaulieu, Shelley (CliftonPark,NY-US):</t>
        </r>
        <r>
          <rPr>
            <sz val="9"/>
            <color indexed="81"/>
            <rFont val="Tahoma"/>
            <family val="2"/>
          </rPr>
          <t xml:space="preserve">
Used values from R-19 to R-30 from tables starting on page 380 of Oct 2010 Tech Manual</t>
        </r>
      </text>
    </comment>
    <comment ref="Z2" authorId="0" shapeId="0">
      <text>
        <r>
          <rPr>
            <b/>
            <sz val="9"/>
            <color indexed="81"/>
            <rFont val="Tahoma"/>
            <family val="2"/>
          </rPr>
          <t>Beaulieu, Shelley (CliftonPark,NY-US):</t>
        </r>
        <r>
          <rPr>
            <sz val="9"/>
            <color indexed="81"/>
            <rFont val="Tahoma"/>
            <family val="2"/>
          </rPr>
          <t xml:space="preserve">
Used values from R-38 to R-49 from tables starting on page 380 of Oct 2010 Tech Manual</t>
        </r>
      </text>
    </comment>
    <comment ref="AC2" authorId="0" shapeId="0">
      <text>
        <r>
          <rPr>
            <b/>
            <sz val="9"/>
            <color indexed="81"/>
            <rFont val="Tahoma"/>
            <family val="2"/>
          </rPr>
          <t>Beaulieu, Shelley (CliftonPark,NY-US):</t>
        </r>
        <r>
          <rPr>
            <sz val="9"/>
            <color indexed="81"/>
            <rFont val="Tahoma"/>
            <family val="2"/>
          </rPr>
          <t xml:space="preserve">
Used values from R-11 to R-13 from tables starting on page 380 of Oct 2010 Tech Manual</t>
        </r>
      </text>
    </comment>
    <comment ref="AF2" authorId="0" shapeId="0">
      <text>
        <r>
          <rPr>
            <b/>
            <sz val="9"/>
            <color indexed="81"/>
            <rFont val="Tahoma"/>
            <family val="2"/>
          </rPr>
          <t>Beaulieu, Shelley (CliftonPark,NY-US):</t>
        </r>
        <r>
          <rPr>
            <sz val="9"/>
            <color indexed="81"/>
            <rFont val="Tahoma"/>
            <family val="2"/>
          </rPr>
          <t xml:space="preserve">
Used values from interpolated value between R-13 and R-17 to R-19 from tables starting on page 380 of Oct 2010 Tech Manual</t>
        </r>
      </text>
    </comment>
    <comment ref="AI2" authorId="0" shapeId="0">
      <text>
        <r>
          <rPr>
            <b/>
            <sz val="9"/>
            <color indexed="81"/>
            <rFont val="Tahoma"/>
            <family val="2"/>
          </rPr>
          <t>Beaulieu, Shelley (CliftonPark,NY-US):</t>
        </r>
        <r>
          <rPr>
            <sz val="9"/>
            <color indexed="81"/>
            <rFont val="Tahoma"/>
            <family val="2"/>
          </rPr>
          <t xml:space="preserve">
Used values from R-11 to R-19 from tables starting on page 380 of Oct 2010 Tech Manual</t>
        </r>
      </text>
    </comment>
    <comment ref="AL2" authorId="0" shapeId="0">
      <text>
        <r>
          <rPr>
            <b/>
            <sz val="9"/>
            <color indexed="81"/>
            <rFont val="Tahoma"/>
            <family val="2"/>
          </rPr>
          <t>Beaulieu, Shelley (CliftonPark,NY-US):</t>
        </r>
        <r>
          <rPr>
            <sz val="9"/>
            <color indexed="81"/>
            <rFont val="Tahoma"/>
            <family val="2"/>
          </rPr>
          <t xml:space="preserve">
Used values interpolated between R-13 and R-17 to R-21 from tables starting on page 380 of Oct 2010 Tech Manual</t>
        </r>
      </text>
    </comment>
    <comment ref="AO2" authorId="0" shapeId="0">
      <text>
        <r>
          <rPr>
            <b/>
            <sz val="9"/>
            <color indexed="81"/>
            <rFont val="Tahoma"/>
            <family val="2"/>
          </rPr>
          <t>Beaulieu, Shelley (CliftonPark,NY-US):</t>
        </r>
        <r>
          <rPr>
            <sz val="9"/>
            <color indexed="81"/>
            <rFont val="Tahoma"/>
            <family val="2"/>
          </rPr>
          <t xml:space="preserve">
From Tech Manual October 2010, used Multifamily Low-Rise values, as High-Rise is not represented.  Used code as baseline, but doubled, as the code reflects reduction 0.05 in U-value, but this requirement is reduction of 0.10 in U-value.  Used AC Gas heat.</t>
        </r>
      </text>
    </comment>
    <comment ref="AR2" authorId="1" shapeId="0">
      <text>
        <r>
          <rPr>
            <b/>
            <sz val="8"/>
            <color indexed="81"/>
            <rFont val="Tahoma"/>
            <family val="2"/>
          </rPr>
          <t>TRC:</t>
        </r>
        <r>
          <rPr>
            <sz val="8"/>
            <color indexed="81"/>
            <rFont val="Tahoma"/>
            <family val="2"/>
          </rPr>
          <t xml:space="preserve">
Appendix K (MF Values weren't provided for kWh/ton so similar building type was chosen until that information because available)</t>
        </r>
      </text>
    </comment>
    <comment ref="AS2" authorId="1" shapeId="0">
      <text>
        <r>
          <rPr>
            <b/>
            <sz val="8"/>
            <color indexed="81"/>
            <rFont val="Tahoma"/>
            <family val="2"/>
          </rPr>
          <t>TRC:</t>
        </r>
        <r>
          <rPr>
            <sz val="8"/>
            <color indexed="81"/>
            <rFont val="Tahoma"/>
            <family val="2"/>
          </rPr>
          <t xml:space="preserve">
kW/ton values were provided in Appendix K of the the tech manual (pg 462)</t>
        </r>
      </text>
    </comment>
    <comment ref="AT2" authorId="0" shapeId="0">
      <text>
        <r>
          <rPr>
            <b/>
            <sz val="9"/>
            <color indexed="81"/>
            <rFont val="Tahoma"/>
            <family val="2"/>
          </rPr>
          <t>Beaulieu, Shelley (CliftonPark,NY-US):</t>
        </r>
        <r>
          <rPr>
            <sz val="9"/>
            <color indexed="81"/>
            <rFont val="Tahoma"/>
            <family val="2"/>
          </rPr>
          <t xml:space="preserve">
Based on Q1 2012 data in RS Means CostWorks database.</t>
        </r>
      </text>
    </comment>
    <comment ref="AU2" authorId="0" shapeId="0">
      <text>
        <r>
          <rPr>
            <b/>
            <sz val="9"/>
            <color indexed="81"/>
            <rFont val="Tahoma"/>
            <family val="2"/>
          </rPr>
          <t>Beaulieu, Shelley (CliftonPark,NY-US):</t>
        </r>
        <r>
          <rPr>
            <sz val="9"/>
            <color indexed="81"/>
            <rFont val="Tahoma"/>
            <family val="2"/>
          </rPr>
          <t xml:space="preserve">
Based on geography and climate zones, when appropriate</t>
        </r>
      </text>
    </comment>
    <comment ref="Q3" authorId="0" shapeId="0">
      <text>
        <r>
          <rPr>
            <b/>
            <sz val="9"/>
            <color indexed="81"/>
            <rFont val="Tahoma"/>
            <family val="2"/>
          </rPr>
          <t>Beaulieu, Shelley (CliftonPark,NY-US):</t>
        </r>
        <r>
          <rPr>
            <sz val="9"/>
            <color indexed="81"/>
            <rFont val="Tahoma"/>
            <family val="2"/>
          </rPr>
          <t xml:space="preserve">
Tech Manual Oct 2010 pg 395</t>
        </r>
      </text>
    </comment>
    <comment ref="R3" authorId="0" shapeId="0">
      <text>
        <r>
          <rPr>
            <b/>
            <sz val="9"/>
            <color indexed="81"/>
            <rFont val="Tahoma"/>
            <family val="2"/>
          </rPr>
          <t>Beaulieu, Shelley (CliftonPark,NY-US):</t>
        </r>
        <r>
          <rPr>
            <sz val="9"/>
            <color indexed="81"/>
            <rFont val="Tahoma"/>
            <family val="2"/>
          </rPr>
          <t xml:space="preserve">
Tech Manual Oct 2010 pg 395</t>
        </r>
      </text>
    </comment>
    <comment ref="S3" authorId="0" shapeId="0">
      <text>
        <r>
          <rPr>
            <b/>
            <sz val="9"/>
            <color indexed="81"/>
            <rFont val="Tahoma"/>
            <family val="2"/>
          </rPr>
          <t>Beaulieu, Shelley (CliftonPark,NY-US):</t>
        </r>
        <r>
          <rPr>
            <sz val="9"/>
            <color indexed="81"/>
            <rFont val="Tahoma"/>
            <family val="2"/>
          </rPr>
          <t xml:space="preserve">
Tech Manual Oct 2010 pg 395</t>
        </r>
      </text>
    </comment>
    <comment ref="J34" authorId="0" shapeId="0">
      <text>
        <r>
          <rPr>
            <b/>
            <sz val="9"/>
            <color indexed="81"/>
            <rFont val="Tahoma"/>
            <family val="2"/>
          </rPr>
          <t>Beaulieu, Shelley (CliftonPark,NY-US):</t>
        </r>
        <r>
          <rPr>
            <sz val="9"/>
            <color indexed="81"/>
            <rFont val="Tahoma"/>
            <family val="2"/>
          </rPr>
          <t xml:space="preserve">
6-13-1</t>
        </r>
      </text>
    </comment>
    <comment ref="AT48" authorId="0" shapeId="0">
      <text>
        <r>
          <rPr>
            <b/>
            <sz val="9"/>
            <color indexed="81"/>
            <rFont val="Tahoma"/>
            <family val="2"/>
          </rPr>
          <t>Beaulieu, Shelley (CliftonPark,NY-US):</t>
        </r>
        <r>
          <rPr>
            <sz val="9"/>
            <color indexed="81"/>
            <rFont val="Tahoma"/>
            <family val="2"/>
          </rPr>
          <t xml:space="preserve">
Plattsburg is the closest city in the RS Means City Cost Indicator.</t>
        </r>
      </text>
    </comment>
  </commentList>
</comments>
</file>

<file path=xl/comments5.xml><?xml version="1.0" encoding="utf-8"?>
<comments xmlns="http://schemas.openxmlformats.org/spreadsheetml/2006/main">
  <authors>
    <author>Beaulieu, Shelley (CliftonPark,NY-US)</author>
  </authors>
  <commentList>
    <comment ref="F7" authorId="0" shapeId="0">
      <text>
        <r>
          <rPr>
            <b/>
            <sz val="9"/>
            <color indexed="81"/>
            <rFont val="Tahoma"/>
            <family val="2"/>
          </rPr>
          <t>Beaulieu, Shelley (CliftonPark,NY-US):</t>
        </r>
        <r>
          <rPr>
            <sz val="9"/>
            <color indexed="81"/>
            <rFont val="Tahoma"/>
            <family val="2"/>
          </rPr>
          <t xml:space="preserve">
11-13-2</t>
        </r>
      </text>
    </comment>
    <comment ref="F9" authorId="0" shapeId="0">
      <text>
        <r>
          <rPr>
            <b/>
            <sz val="9"/>
            <color indexed="81"/>
            <rFont val="Tahoma"/>
            <family val="2"/>
          </rPr>
          <t>Beaulieu, Shelley (CliftonPark,NY-US):</t>
        </r>
        <r>
          <rPr>
            <sz val="9"/>
            <color indexed="81"/>
            <rFont val="Tahoma"/>
            <family val="2"/>
          </rPr>
          <t xml:space="preserve">
11-13-2</t>
        </r>
      </text>
    </comment>
    <comment ref="B25" authorId="0" shapeId="0">
      <text>
        <r>
          <rPr>
            <b/>
            <sz val="9"/>
            <color indexed="81"/>
            <rFont val="Tahoma"/>
            <family val="2"/>
          </rPr>
          <t>Beaulieu, Shelley (CliftonPark,NY-US):</t>
        </r>
        <r>
          <rPr>
            <sz val="9"/>
            <color indexed="81"/>
            <rFont val="Tahoma"/>
            <family val="2"/>
          </rPr>
          <t xml:space="preserve">
Per Tech Manual Oct 2010 pg 124, a window must have a U-value of less than 0.57 to be considered for incentives.</t>
        </r>
      </text>
    </comment>
    <comment ref="E34" authorId="0" shapeId="0">
      <text>
        <r>
          <rPr>
            <b/>
            <sz val="9"/>
            <color indexed="81"/>
            <rFont val="Tahoma"/>
            <family val="2"/>
          </rPr>
          <t>Beaulieu, Shelley (CliftonPark,NY-US):</t>
        </r>
        <r>
          <rPr>
            <sz val="9"/>
            <color indexed="81"/>
            <rFont val="Tahoma"/>
            <family val="2"/>
          </rPr>
          <t xml:space="preserve">
Revised 7-13-32</t>
        </r>
      </text>
    </comment>
    <comment ref="E35" authorId="0" shapeId="0">
      <text>
        <r>
          <rPr>
            <b/>
            <sz val="9"/>
            <color indexed="81"/>
            <rFont val="Tahoma"/>
            <family val="2"/>
          </rPr>
          <t>Beaulieu, Shelley (CliftonPark,NY-US):</t>
        </r>
        <r>
          <rPr>
            <sz val="9"/>
            <color indexed="81"/>
            <rFont val="Tahoma"/>
            <family val="2"/>
          </rPr>
          <t xml:space="preserve">
Revised 7-13-32</t>
        </r>
      </text>
    </comment>
    <comment ref="E36" authorId="0" shapeId="0">
      <text>
        <r>
          <rPr>
            <b/>
            <sz val="9"/>
            <color indexed="81"/>
            <rFont val="Tahoma"/>
            <family val="2"/>
          </rPr>
          <t>Beaulieu, Shelley (CliftonPark,NY-US):</t>
        </r>
        <r>
          <rPr>
            <sz val="9"/>
            <color indexed="81"/>
            <rFont val="Tahoma"/>
            <family val="2"/>
          </rPr>
          <t xml:space="preserve">
Revised 7-13-32</t>
        </r>
      </text>
    </comment>
    <comment ref="E43" authorId="0" shapeId="0">
      <text>
        <r>
          <rPr>
            <b/>
            <sz val="9"/>
            <color indexed="81"/>
            <rFont val="Tahoma"/>
            <family val="2"/>
          </rPr>
          <t>Beaulieu, Shelley (CliftonPark,NY-US):</t>
        </r>
        <r>
          <rPr>
            <sz val="9"/>
            <color indexed="81"/>
            <rFont val="Tahoma"/>
            <family val="2"/>
          </rPr>
          <t xml:space="preserve">
Revision 7-13-32</t>
        </r>
      </text>
    </comment>
    <comment ref="E44" authorId="0" shapeId="0">
      <text>
        <r>
          <rPr>
            <b/>
            <sz val="9"/>
            <color indexed="81"/>
            <rFont val="Tahoma"/>
            <family val="2"/>
          </rPr>
          <t>Beaulieu, Shelley (CliftonPark,NY-US):</t>
        </r>
        <r>
          <rPr>
            <sz val="9"/>
            <color indexed="81"/>
            <rFont val="Tahoma"/>
            <family val="2"/>
          </rPr>
          <t xml:space="preserve">
Revision 7-13-32</t>
        </r>
      </text>
    </comment>
    <comment ref="C73" authorId="0" shapeId="0">
      <text>
        <r>
          <rPr>
            <b/>
            <sz val="9"/>
            <color indexed="81"/>
            <rFont val="Tahoma"/>
            <family val="2"/>
          </rPr>
          <t>Beaulieu, Shelley (CliftonPark,NY-US):</t>
        </r>
        <r>
          <rPr>
            <sz val="9"/>
            <color indexed="81"/>
            <rFont val="Tahoma"/>
            <family val="2"/>
          </rPr>
          <t xml:space="preserve">
kWh/hp value from Tech Manual Oct 2010, Appx K, page 461 for multifamily.</t>
        </r>
      </text>
    </comment>
    <comment ref="P73" authorId="0" shapeId="0">
      <text>
        <r>
          <rPr>
            <b/>
            <sz val="9"/>
            <color indexed="81"/>
            <rFont val="Tahoma"/>
            <family val="2"/>
          </rPr>
          <t>Beaulieu, Shelley (CliftonPark,NY-US):</t>
        </r>
        <r>
          <rPr>
            <sz val="9"/>
            <color indexed="81"/>
            <rFont val="Tahoma"/>
            <family val="2"/>
          </rPr>
          <t xml:space="preserve">
kW/hp value from Tech Manual Oct 2010, Appx K, page 462 for multifamily.</t>
        </r>
      </text>
    </comment>
  </commentList>
</comments>
</file>

<file path=xl/comments6.xml><?xml version="1.0" encoding="utf-8"?>
<comments xmlns="http://schemas.openxmlformats.org/spreadsheetml/2006/main">
  <authors>
    <author>Beaulieu, Shelley (CliftonPark,NY-US)</author>
    <author>Beaulieu, Shelley</author>
  </authors>
  <commentList>
    <comment ref="B17" authorId="0" shapeId="0">
      <text>
        <r>
          <rPr>
            <sz val="9"/>
            <color indexed="81"/>
            <rFont val="Tahoma"/>
            <family val="2"/>
          </rPr>
          <t>The lesser of the incentive per the incentive schedule OR the total Measure Cost of measures that pass the TRC test.</t>
        </r>
      </text>
    </comment>
    <comment ref="B18" authorId="1" shapeId="0">
      <text>
        <r>
          <rPr>
            <sz val="9"/>
            <color indexed="81"/>
            <rFont val="Tahoma"/>
            <family val="2"/>
          </rPr>
          <t xml:space="preserve">Adjust/Reduce if needed to help pass project-level TRC test (see 3c above)
</t>
        </r>
      </text>
    </comment>
    <comment ref="G38" authorId="0" shapeId="0">
      <text>
        <r>
          <rPr>
            <sz val="9"/>
            <color indexed="81"/>
            <rFont val="Tahoma"/>
            <family val="2"/>
          </rPr>
          <t>Remainder of funding, capped at measure costs.</t>
        </r>
      </text>
    </comment>
  </commentList>
</comments>
</file>

<file path=xl/comments7.xml><?xml version="1.0" encoding="utf-8"?>
<comments xmlns="http://schemas.openxmlformats.org/spreadsheetml/2006/main">
  <authors>
    <author>Administrator</author>
    <author>gvijayakumar</author>
    <author>Gayathri Vijayakumar</author>
    <author>Yakir Lamdan</author>
  </authors>
  <commentList>
    <comment ref="B10" authorId="0" shapeId="0">
      <text>
        <r>
          <rPr>
            <sz val="9"/>
            <color indexed="81"/>
            <rFont val="Tahoma"/>
            <family val="2"/>
          </rPr>
          <t xml:space="preserve">Do not update Proposed ERM cells to match As Built. Document changes to Design in the individual Protocol worksheets.
</t>
        </r>
      </text>
    </comment>
    <comment ref="B12" authorId="1" shapeId="0">
      <text>
        <r>
          <rPr>
            <sz val="9"/>
            <color indexed="81"/>
            <rFont val="Tahoma"/>
            <family val="2"/>
          </rPr>
          <t xml:space="preserve">List total appliance count. Must be ENERGY STAR certified. 
</t>
        </r>
      </text>
    </comment>
    <comment ref="B13" authorId="1" shapeId="0">
      <text>
        <r>
          <rPr>
            <sz val="9"/>
            <color indexed="81"/>
            <rFont val="Tahoma"/>
            <family val="2"/>
          </rPr>
          <t xml:space="preserve">List total appliance count. Must be ENERGY STAR certified.
</t>
        </r>
      </text>
    </comment>
    <comment ref="B14" authorId="1" shapeId="0">
      <text>
        <r>
          <rPr>
            <sz val="9"/>
            <color indexed="81"/>
            <rFont val="Tahoma"/>
            <family val="2"/>
          </rPr>
          <t xml:space="preserve">List total appliance count, and location (common laundry room or in-unit). Must be ENERGY STAR certified. </t>
        </r>
        <r>
          <rPr>
            <b/>
            <sz val="9"/>
            <color indexed="81"/>
            <rFont val="Tahoma"/>
            <family val="2"/>
          </rPr>
          <t xml:space="preserve">
</t>
        </r>
      </text>
    </comment>
    <comment ref="B19" authorId="1" shapeId="0">
      <text>
        <r>
          <rPr>
            <sz val="9"/>
            <color indexed="81"/>
            <rFont val="Tahoma"/>
            <family val="2"/>
          </rPr>
          <t xml:space="preserve">Provide Proposed DHW system type, efficiency, capacity, and fuel; include number, efficiency and HP of pumps, whether VFD is specified in the MOTOR section below, location, and space served. 
Ex: Dedicated natural gas condensing DHW boiler (92% Et, 500,000 BTUH); in basement, serves apartment units. 
</t>
        </r>
      </text>
    </comment>
    <comment ref="B20" authorId="1" shapeId="0">
      <text>
        <r>
          <rPr>
            <sz val="9"/>
            <color indexed="81"/>
            <rFont val="Tahoma"/>
            <family val="2"/>
          </rPr>
          <t xml:space="preserve">Provide details on storage tank capacity and insulation for central DWH systems. </t>
        </r>
        <r>
          <rPr>
            <sz val="9"/>
            <color indexed="81"/>
            <rFont val="Tahoma"/>
            <family val="2"/>
          </rPr>
          <t xml:space="preserve">
</t>
        </r>
        <r>
          <rPr>
            <sz val="9"/>
            <color indexed="81"/>
            <rFont val="Tahoma"/>
            <family val="2"/>
          </rPr>
          <t xml:space="preserve">
Ex. R-14 blanket around two 200 gallon storage tanks</t>
        </r>
      </text>
    </comment>
    <comment ref="B21" authorId="1" shapeId="0">
      <text>
        <r>
          <rPr>
            <sz val="9"/>
            <color indexed="81"/>
            <rFont val="Tahoma"/>
            <family val="2"/>
          </rPr>
          <t>List flow rates for all plumbing fixtures and WaterSense labeling if applicable.
Proposed Design cannot exceed 2.0 gpm for kitchen faucets or lavatory faucets. Toilets and showerheads must be WaterSense labeled
If following the Prescriptive Path, Proposed Design cannot exceed 1.75 gpm in shower stalls and lavatory faucets and/or aerators must be Water Sense labeled.</t>
        </r>
      </text>
    </comment>
    <comment ref="B23" authorId="1" shapeId="0">
      <text>
        <r>
          <rPr>
            <sz val="9"/>
            <color indexed="81"/>
            <rFont val="Tahoma"/>
            <family val="2"/>
          </rPr>
          <t>Provide complete assembly details, including depth, insulation type, and calculate overall assembly U-value, using ASHRAE Appendix A.</t>
        </r>
      </text>
    </comment>
    <comment ref="B24" authorId="1" shapeId="0">
      <text>
        <r>
          <rPr>
            <sz val="9"/>
            <color indexed="81"/>
            <rFont val="Tahoma"/>
            <family val="2"/>
          </rPr>
          <t xml:space="preserve">Provide complete assembly details, including depth, insulation type, and calculate overall assembly U-value, using ASHRAE Appendix A. </t>
        </r>
      </text>
    </comment>
    <comment ref="B25" authorId="1" shapeId="0">
      <text>
        <r>
          <rPr>
            <sz val="9"/>
            <color indexed="81"/>
            <rFont val="Tahoma"/>
            <family val="2"/>
          </rPr>
          <t xml:space="preserve">Provide complete assembly details, including depth, insulation type, and calculate overall assembly U-value, using ASHRAE Appendix A.
</t>
        </r>
      </text>
    </comment>
    <comment ref="B26" authorId="1" shapeId="0">
      <text>
        <r>
          <rPr>
            <sz val="9"/>
            <color indexed="81"/>
            <rFont val="Tahoma"/>
            <family val="2"/>
          </rPr>
          <t>Provide complete assembly details, including depth, insulation type, and calculate overall assembly U-value, using ASHRAE Appendix A.</t>
        </r>
      </text>
    </comment>
    <comment ref="B27" authorId="1" shapeId="0">
      <text>
        <r>
          <rPr>
            <sz val="9"/>
            <color indexed="81"/>
            <rFont val="Tahoma"/>
            <family val="2"/>
          </rPr>
          <t xml:space="preserve">Provide complete assembly details, including depth, insulation type, and calculate overall assembly U-value, using ASHRAE Appendix A. </t>
        </r>
      </text>
    </comment>
    <comment ref="B28" authorId="1" shapeId="0">
      <text>
        <r>
          <rPr>
            <sz val="9"/>
            <color indexed="81"/>
            <rFont val="Tahoma"/>
            <family val="2"/>
          </rPr>
          <t xml:space="preserve">Provide complete assembly details, including depth, insulation type, and calculate overall assembly U-value, using ASHRAE Appendix A. </t>
        </r>
      </text>
    </comment>
    <comment ref="B29" authorId="1" shapeId="0">
      <text>
        <r>
          <rPr>
            <sz val="9"/>
            <color indexed="81"/>
            <rFont val="Tahoma"/>
            <family val="2"/>
          </rPr>
          <t xml:space="preserve">Provide complete assembly details, including depth, insulation type, and calculate overall assembly U-value, using ASHRAE Appendix A.
</t>
        </r>
      </text>
    </comment>
    <comment ref="A30" authorId="1" shapeId="0">
      <text>
        <r>
          <rPr>
            <sz val="9"/>
            <color indexed="81"/>
            <rFont val="Tahoma"/>
            <family val="2"/>
          </rPr>
          <t>Ex. Radiant floors</t>
        </r>
      </text>
    </comment>
    <comment ref="B30" authorId="1" shapeId="0">
      <text>
        <r>
          <rPr>
            <sz val="9"/>
            <color indexed="81"/>
            <rFont val="Tahoma"/>
            <family val="2"/>
          </rPr>
          <t xml:space="preserve">Provide complete assembly details, including depth, insulation type, and calculate overall assembly U-value, using ASHRAE Appendix A.
</t>
        </r>
      </text>
    </comment>
    <comment ref="B31" authorId="1" shapeId="0">
      <text>
        <r>
          <rPr>
            <sz val="9"/>
            <color indexed="81"/>
            <rFont val="Tahoma"/>
            <family val="2"/>
          </rPr>
          <t xml:space="preserve">Provide details on U-value, SHGC, and frame material.
Obtain NFRC label or performance data from window manufacturer for documentation.
</t>
        </r>
      </text>
    </comment>
    <comment ref="B32" authorId="1" shapeId="0">
      <text>
        <r>
          <rPr>
            <sz val="9"/>
            <color indexed="81"/>
            <rFont val="Tahoma"/>
            <family val="2"/>
          </rPr>
          <t xml:space="preserve">Provide details on U-value.
Obtain NFRC label or performance data from door manufacturer for documentation.
</t>
        </r>
      </text>
    </comment>
    <comment ref="B34" authorId="1" shapeId="0">
      <text>
        <r>
          <rPr>
            <sz val="9"/>
            <color indexed="81"/>
            <rFont val="Tahoma"/>
            <family val="2"/>
          </rPr>
          <t xml:space="preserve">Provide for ALL Proposed Space Heating systems: type, efficiency, fuel, distribution type, whether it is ENERGY STAR certified, location, and space served.
Ex: ENERGY STAR in-unit natural gas condensing furnaces (92%), forced air distribution by Carrier for apartments and 85% gas-fired rooftop MAU by TRANE. </t>
        </r>
      </text>
    </comment>
    <comment ref="B35" authorId="2" shapeId="0">
      <text>
        <r>
          <rPr>
            <sz val="9"/>
            <color indexed="81"/>
            <rFont val="Tahoma"/>
            <family val="2"/>
          </rPr>
          <t xml:space="preserve">Specify ALL electric resistance heating systems, capacity, power, controls, and location.
Specify any supplemental systems installed for freeze protection.
Ex. Two 3 kW unit heaters in stairwells, only operate when temperature falls below 55F.
</t>
        </r>
      </text>
    </comment>
    <comment ref="B36" authorId="1" shapeId="0">
      <text>
        <r>
          <rPr>
            <sz val="9"/>
            <color indexed="81"/>
            <rFont val="Tahoma"/>
            <family val="2"/>
          </rPr>
          <t>Provide capacities of ALL Proposed Space Heating systems.
Ex. Apartment furnaces: 40,000 BTUH, Corridor/Lobby MAU: 140,000 BTUH</t>
        </r>
      </text>
    </comment>
    <comment ref="B37" authorId="2" shapeId="0">
      <text>
        <r>
          <rPr>
            <sz val="9"/>
            <color indexed="81"/>
            <rFont val="Tahoma"/>
            <family val="2"/>
          </rPr>
          <t>If applicable, provide hot water design supply and return temperatures for Proposed Design.</t>
        </r>
        <r>
          <rPr>
            <sz val="9"/>
            <color indexed="81"/>
            <rFont val="Tahoma"/>
            <family val="2"/>
          </rPr>
          <t xml:space="preserve">
</t>
        </r>
      </text>
    </comment>
    <comment ref="B38" authorId="2" shapeId="0">
      <text>
        <r>
          <rPr>
            <sz val="9"/>
            <color indexed="81"/>
            <rFont val="Tahoma"/>
            <family val="2"/>
          </rPr>
          <t>If applicable, provide outdoor reset conditions for Proposed Design.</t>
        </r>
        <r>
          <rPr>
            <sz val="9"/>
            <color indexed="81"/>
            <rFont val="Tahoma"/>
            <family val="2"/>
          </rPr>
          <t xml:space="preserve">
</t>
        </r>
      </text>
    </comment>
    <comment ref="B40" authorId="3" shapeId="0">
      <text>
        <r>
          <rPr>
            <sz val="9"/>
            <color indexed="81"/>
            <rFont val="Tahoma"/>
            <family val="2"/>
          </rPr>
          <t>List all space conditioning systems in building, including but not limited to lobbies, corridors, apartments, laundry rooms, offices, etc.
Provide system type, efficiencies (EER), and whether it is ENERGY STAR qualified. If available, provide manufacturer and model.
Ex: Apartments cooled with ENERGY STAR 9.5 EER window air conditioners. Lobbies and corridors cooled with non-ENERGY STAR 12 EER make-up air unit, 48,000 BTUH.</t>
        </r>
      </text>
    </comment>
    <comment ref="B41" authorId="2" shapeId="0">
      <text>
        <r>
          <rPr>
            <sz val="9"/>
            <color indexed="81"/>
            <rFont val="Tahoma"/>
            <family val="2"/>
          </rPr>
          <t xml:space="preserve">Provide capacity for all cooling systems. 
Provide load sizing calculations that reflect the design; installed capacity cannot exceed design by more than 20%, except when smaller sizes are not available. Outdoor temperatures shall be the 99.0% design temperatures as published by the ASHRAE Handbook of Fundamentals. Indoor temperatures shall be 75°F for cooling. </t>
        </r>
        <r>
          <rPr>
            <sz val="9"/>
            <color indexed="81"/>
            <rFont val="Tahoma"/>
            <family val="2"/>
          </rPr>
          <t xml:space="preserve">
</t>
        </r>
      </text>
    </comment>
    <comment ref="B42" authorId="2" shapeId="0">
      <text>
        <r>
          <rPr>
            <sz val="9"/>
            <color indexed="81"/>
            <rFont val="Tahoma"/>
            <family val="2"/>
          </rPr>
          <t>Indicate any cooling system control parameters that will be needed in the Proposed design model.
Ex. Cooling tower fan motor is equipped with VFD controlled by temperature sensor on condenser water supply pipe.</t>
        </r>
        <r>
          <rPr>
            <sz val="9"/>
            <color indexed="81"/>
            <rFont val="Tahoma"/>
            <family val="2"/>
          </rPr>
          <t xml:space="preserve">
</t>
        </r>
      </text>
    </comment>
    <comment ref="B44" authorId="1" shapeId="0">
      <text>
        <r>
          <rPr>
            <sz val="9"/>
            <color indexed="81"/>
            <rFont val="Tahoma"/>
            <family val="2"/>
          </rPr>
          <t>Indicate which spaces will have occupancy or bi-level controls.
All non-24/7 spaces must have occupancy sensors or bi-level controls (ex. laundry rooms and janitor closets).
Model a 25% power adjustment reduction in corridors for installing sensors.
Model a 35% power adjustment reduction in stairwells for installing sensors.</t>
        </r>
        <r>
          <rPr>
            <sz val="9"/>
            <color indexed="81"/>
            <rFont val="Tahoma"/>
            <family val="2"/>
          </rPr>
          <t xml:space="preserve">
</t>
        </r>
      </text>
    </comment>
    <comment ref="B47" authorId="1" shapeId="0">
      <text>
        <r>
          <rPr>
            <sz val="9"/>
            <color indexed="81"/>
            <rFont val="Tahoma"/>
            <family val="2"/>
          </rPr>
          <t xml:space="preserve">Use the Performance Path calculator to calculate the overall weighted lighting power density, after determining the amount of specified and receptacle lighting within apartments.
</t>
        </r>
      </text>
    </comment>
    <comment ref="B49" authorId="1" shapeId="0">
      <text>
        <r>
          <rPr>
            <sz val="9"/>
            <color indexed="81"/>
            <rFont val="Tahoma"/>
            <family val="2"/>
          </rPr>
          <t xml:space="preserve">Must specify NEMA Premium motors or VFD. Both are required when following the Prescriptive Path.
Provide Proposed Space Heating system motor details; include number, efficiency and HP of any pumps or fans, and whether VFD is specified.
Ex: Two 3HP, NEMA Premium circulating pump motors, 93% efficient with VFD.
</t>
        </r>
      </text>
    </comment>
    <comment ref="B50" authorId="1" shapeId="0">
      <text>
        <r>
          <rPr>
            <sz val="9"/>
            <color indexed="81"/>
            <rFont val="Tahoma"/>
            <family val="2"/>
          </rPr>
          <t xml:space="preserve">Must specify NEMA Premium motors or VFD. Both are required when following the Prescriptive Path.
Provide Proposed Space Heating system motor details; include number, efficiency and HP of any pumps or fans, and whether VFD is specified.
Ex: Two 3HP, NEMA Premium circulating pump motors, 93% efficient with VFD.
</t>
        </r>
      </text>
    </comment>
    <comment ref="B52" authorId="1" shapeId="0">
      <text>
        <r>
          <rPr>
            <sz val="9"/>
            <color indexed="81"/>
            <rFont val="Tahoma"/>
            <family val="2"/>
          </rPr>
          <t xml:space="preserve">ASHRAE 62.2-2007 minimum local exhaust requirements: 
Continuous 5ACH/kitchen and 20 CFM/bathroom.
Intermittent 100 CFM/kitchen and 50 CFM/bathroom (model as operating 2 hours/day)
</t>
        </r>
        <r>
          <rPr>
            <b/>
            <sz val="9"/>
            <color indexed="81"/>
            <rFont val="Tahoma"/>
            <family val="2"/>
          </rPr>
          <t xml:space="preserve">As-Built model shall reflect ventilation flowrates measured during testing. </t>
        </r>
        <r>
          <rPr>
            <sz val="9"/>
            <color indexed="81"/>
            <rFont val="Tahoma"/>
            <family val="2"/>
          </rPr>
          <t xml:space="preserve">
If following the Prescriptive Path, measured flowrates for fans operating 24/7, cannot exceed 7.5 ACH50/kitchen or 30 CFM/bathroom.
Provide total CFM of mechanical ventilation provided in corridors.
Confirm with MEP that ventilation meets the minimum requirements of local code and ASHRAE 62.1-2007.</t>
        </r>
      </text>
    </comment>
    <comment ref="B54" authorId="1" shapeId="0">
      <text>
        <r>
          <rPr>
            <sz val="9"/>
            <color indexed="81"/>
            <rFont val="Tahoma"/>
            <family val="2"/>
          </rPr>
          <t xml:space="preserve">If taking the duct-sealing credit, assume 5 CFM per floor per shaft in the Proposed, but replace with tested leakage in AS-BUILT model. 
</t>
        </r>
      </text>
    </comment>
    <comment ref="B55" authorId="1" shapeId="0">
      <text>
        <r>
          <rPr>
            <sz val="9"/>
            <color indexed="81"/>
            <rFont val="Tahoma"/>
            <family val="2"/>
          </rPr>
          <t>Include count, CFM, HP, and efficiency of each fan.</t>
        </r>
      </text>
    </comment>
    <comment ref="B56" authorId="1" shapeId="0">
      <text>
        <r>
          <rPr>
            <sz val="9"/>
            <color indexed="81"/>
            <rFont val="Tahoma"/>
            <family val="2"/>
          </rPr>
          <t>Specify manufacturer, Model, and CFM/W. Must be ENERGY STAR certified.</t>
        </r>
      </text>
    </comment>
    <comment ref="B57" authorId="1" shapeId="0">
      <text>
        <r>
          <rPr>
            <sz val="9"/>
            <color indexed="81"/>
            <rFont val="Tahoma"/>
            <family val="2"/>
          </rPr>
          <t>List the number of exhaust fans serving the non-apartment spaces in the building, such as the corridor,  laundry, elevator room or trash compactor room. 
Include CFM, HP, and efficiency of each fan.  Model for 24 hours/day unless installing demand controls.</t>
        </r>
      </text>
    </comment>
    <comment ref="B58" authorId="2" shapeId="0">
      <text>
        <r>
          <rPr>
            <sz val="9"/>
            <color indexed="81"/>
            <rFont val="Tahoma"/>
            <family val="2"/>
          </rPr>
          <t xml:space="preserve">If part of Proposed Design, specify which ventilation systems have demand control and estimated reduction in hours of operation for energy model. </t>
        </r>
        <r>
          <rPr>
            <sz val="9"/>
            <color indexed="81"/>
            <rFont val="Tahoma"/>
            <family val="2"/>
          </rPr>
          <t xml:space="preserve">
</t>
        </r>
      </text>
    </comment>
  </commentList>
</comments>
</file>

<file path=xl/comments8.xml><?xml version="1.0" encoding="utf-8"?>
<comments xmlns="http://schemas.openxmlformats.org/spreadsheetml/2006/main">
  <authors>
    <author>Administrator</author>
  </authors>
  <commentList>
    <comment ref="B32" authorId="0" shapeId="0">
      <text>
        <r>
          <rPr>
            <b/>
            <sz val="9"/>
            <color indexed="81"/>
            <rFont val="Tahoma"/>
            <family val="2"/>
          </rPr>
          <t>For envelopes with multiple assemblies</t>
        </r>
      </text>
    </comment>
    <comment ref="B40" authorId="0" shapeId="0">
      <text>
        <r>
          <rPr>
            <b/>
            <sz val="9"/>
            <color indexed="81"/>
            <rFont val="Tahoma"/>
            <family val="2"/>
          </rPr>
          <t>For envelopes with multiple assemblies</t>
        </r>
      </text>
    </comment>
  </commentList>
</comments>
</file>

<file path=xl/comments9.xml><?xml version="1.0" encoding="utf-8"?>
<comments xmlns="http://schemas.openxmlformats.org/spreadsheetml/2006/main">
  <authors>
    <author>Administrator</author>
  </authors>
  <commentList>
    <comment ref="B31" authorId="0" shapeId="0">
      <text>
        <r>
          <rPr>
            <b/>
            <sz val="9"/>
            <color indexed="81"/>
            <rFont val="Tahoma"/>
            <family val="2"/>
          </rPr>
          <t>For envelopes with multiple assemblies</t>
        </r>
      </text>
    </comment>
    <comment ref="B40" authorId="0" shapeId="0">
      <text>
        <r>
          <rPr>
            <b/>
            <sz val="9"/>
            <color indexed="81"/>
            <rFont val="Tahoma"/>
            <family val="2"/>
          </rPr>
          <t>For envelopes with multiple assemblies</t>
        </r>
      </text>
    </comment>
    <comment ref="B49" authorId="0" shapeId="0">
      <text>
        <r>
          <rPr>
            <b/>
            <sz val="9"/>
            <color indexed="81"/>
            <rFont val="Tahoma"/>
            <family val="2"/>
          </rPr>
          <t>For envelopes with multiple assemblies</t>
        </r>
      </text>
    </comment>
    <comment ref="B56" authorId="0" shapeId="0">
      <text>
        <r>
          <rPr>
            <b/>
            <sz val="9"/>
            <color indexed="81"/>
            <rFont val="Tahoma"/>
            <family val="2"/>
          </rPr>
          <t>For envelopes with multiple assemblies</t>
        </r>
      </text>
    </comment>
  </commentList>
</comments>
</file>

<file path=xl/sharedStrings.xml><?xml version="1.0" encoding="utf-8"?>
<sst xmlns="http://schemas.openxmlformats.org/spreadsheetml/2006/main" count="6622" uniqueCount="2565">
  <si>
    <t xml:space="preserve"> </t>
  </si>
  <si>
    <t>Lighting</t>
  </si>
  <si>
    <t>Chiller - Air Cooled with Condenser</t>
  </si>
  <si>
    <t>Chiller - Air Cooled without Condenser</t>
  </si>
  <si>
    <t>ENERGY STAR</t>
  </si>
  <si>
    <t>Conditioned space</t>
  </si>
  <si>
    <t>Unconditioned space</t>
  </si>
  <si>
    <t>no requirement</t>
  </si>
  <si>
    <t>All</t>
  </si>
  <si>
    <t>Maximum allowable glazing area</t>
  </si>
  <si>
    <t>Nonmetal framing</t>
  </si>
  <si>
    <t>Metal framing (entrance door)</t>
  </si>
  <si>
    <t>Metal framing (all other)</t>
  </si>
  <si>
    <t>Doors - Opaque</t>
  </si>
  <si>
    <r>
      <t xml:space="preserve"> </t>
    </r>
    <r>
      <rPr>
        <b/>
        <sz val="10"/>
        <color indexed="8"/>
        <rFont val="Calibri"/>
        <family val="2"/>
        <scheme val="minor"/>
      </rPr>
      <t xml:space="preserve">Item </t>
    </r>
    <r>
      <rPr>
        <sz val="10"/>
        <rFont val="Calibri"/>
        <family val="2"/>
        <scheme val="minor"/>
      </rPr>
      <t xml:space="preserve"> </t>
    </r>
  </si>
  <si>
    <r>
      <t xml:space="preserve"> </t>
    </r>
    <r>
      <rPr>
        <b/>
        <sz val="10"/>
        <color indexed="8"/>
        <rFont val="Calibri"/>
        <family val="2"/>
        <scheme val="minor"/>
      </rPr>
      <t xml:space="preserve">Component </t>
    </r>
    <r>
      <rPr>
        <sz val="10"/>
        <rFont val="Calibri"/>
        <family val="2"/>
        <scheme val="minor"/>
      </rPr>
      <t xml:space="preserve"> </t>
    </r>
  </si>
  <si>
    <r>
      <rPr>
        <sz val="10"/>
        <color indexed="8"/>
        <rFont val="Calibri"/>
        <family val="2"/>
        <scheme val="minor"/>
      </rPr>
      <t xml:space="preserve">Insulation entirely above deck </t>
    </r>
    <r>
      <rPr>
        <sz val="10"/>
        <rFont val="Calibri"/>
        <family val="2"/>
        <scheme val="minor"/>
      </rPr>
      <t xml:space="preserve"> </t>
    </r>
  </si>
  <si>
    <t>Ducts</t>
  </si>
  <si>
    <t>0.60 COP</t>
  </si>
  <si>
    <t>1.00 COP / 1.05 IPLV</t>
  </si>
  <si>
    <t>1.00 COP / 1.00 IPLV</t>
  </si>
  <si>
    <t>0.70 COP</t>
  </si>
  <si>
    <r>
      <rPr>
        <b/>
        <sz val="10"/>
        <color indexed="8"/>
        <rFont val="Calibri"/>
        <family val="2"/>
        <scheme val="minor"/>
      </rPr>
      <t xml:space="preserve">Ventilation </t>
    </r>
    <r>
      <rPr>
        <b/>
        <sz val="10"/>
        <rFont val="Calibri"/>
        <family val="2"/>
        <scheme val="minor"/>
      </rPr>
      <t xml:space="preserve"> </t>
    </r>
  </si>
  <si>
    <r>
      <rPr>
        <b/>
        <sz val="10"/>
        <color indexed="8"/>
        <rFont val="Calibri"/>
        <family val="2"/>
        <scheme val="minor"/>
      </rPr>
      <t xml:space="preserve">Envelope </t>
    </r>
    <r>
      <rPr>
        <b/>
        <sz val="10"/>
        <rFont val="Calibri"/>
        <family val="2"/>
        <scheme val="minor"/>
      </rPr>
      <t xml:space="preserve"> </t>
    </r>
  </si>
  <si>
    <r>
      <rPr>
        <sz val="10"/>
        <color indexed="8"/>
        <rFont val="Calibri"/>
        <family val="2"/>
        <scheme val="minor"/>
      </rPr>
      <t xml:space="preserve">Steel-framed </t>
    </r>
    <r>
      <rPr>
        <sz val="10"/>
        <rFont val="Calibri"/>
        <family val="2"/>
        <scheme val="minor"/>
      </rPr>
      <t xml:space="preserve"> </t>
    </r>
  </si>
  <si>
    <t>R-10.0 for 24 in. vertical or horizontal</t>
  </si>
  <si>
    <t>80% Et</t>
  </si>
  <si>
    <t>Heated (radiant)</t>
  </si>
  <si>
    <t>Appliances</t>
  </si>
  <si>
    <t>Roof Insulation</t>
  </si>
  <si>
    <t>Requirement Met</t>
  </si>
  <si>
    <t>Nominal R-value (minimum)</t>
  </si>
  <si>
    <t>Oil or Gas: 85% Et</t>
  </si>
  <si>
    <t>Unheated (non-radiant) and on-grade</t>
  </si>
  <si>
    <t>Electric Resistance space heating</t>
  </si>
  <si>
    <t>Plumbing Fixtures</t>
  </si>
  <si>
    <t>Water heater efficiency: Hot Water Supply Boiler</t>
  </si>
  <si>
    <t>Heating and Cooling</t>
  </si>
  <si>
    <t xml:space="preserve">Occupancy controls  </t>
  </si>
  <si>
    <t>Common Area Lighting</t>
  </si>
  <si>
    <t>Domestic Water Heating</t>
  </si>
  <si>
    <t>Metal framing (curtainwall/storefront)</t>
  </si>
  <si>
    <t>Water heater efficiency: 
In-Unit Electric or Gas Water Heaters (storage or instantaneous)</t>
  </si>
  <si>
    <t>Motors</t>
  </si>
  <si>
    <t>Supply duct Insulation level</t>
  </si>
  <si>
    <t>Envelope</t>
  </si>
  <si>
    <t>Ventilation and Infiltration</t>
  </si>
  <si>
    <t>Direct-drive; variable speed control</t>
  </si>
  <si>
    <t>Direct-drive; variable speed control; ECM</t>
  </si>
  <si>
    <t>In-Unit Lighting</t>
  </si>
  <si>
    <t>Efficacies and location</t>
  </si>
  <si>
    <t>Metal Building</t>
  </si>
  <si>
    <t>R-38.0</t>
  </si>
  <si>
    <t>Attic and Other</t>
  </si>
  <si>
    <t>R-49.0</t>
  </si>
  <si>
    <t>R-30.0</t>
  </si>
  <si>
    <t>R-2.0</t>
  </si>
  <si>
    <t>R-15.0 for 24 in. vertical or horizontal</t>
  </si>
  <si>
    <t>R-15.0 for 24in. vertical or horizontal</t>
  </si>
  <si>
    <t>R-20.0 for 48 in. vertical or horizontal</t>
  </si>
  <si>
    <t>30% Window-to-Wall Ratio</t>
  </si>
  <si>
    <t>Refrigerators (where provided)</t>
  </si>
  <si>
    <t>Dishwashers (where provided)</t>
  </si>
  <si>
    <t>Above Grade Wall Insulation</t>
  </si>
  <si>
    <t>Below Grade Wall Insulation</t>
  </si>
  <si>
    <t>Floor Insulation</t>
  </si>
  <si>
    <t>Slab Insulation</t>
  </si>
  <si>
    <t>Central Exhaust Duct Leakage (test procedure in T&amp;V)</t>
  </si>
  <si>
    <t>Steel-Joist</t>
  </si>
  <si>
    <t>Heating and Cooling Equipment Minimum Efficiencies</t>
  </si>
  <si>
    <t>Water heater efficiency (Gas)</t>
  </si>
  <si>
    <t>Water heater efficiency (Electric)</t>
  </si>
  <si>
    <t>Hot Water Supply Boiler (Oil or Gas)</t>
  </si>
  <si>
    <t>R Value</t>
  </si>
  <si>
    <t>U Value</t>
  </si>
  <si>
    <t>String</t>
  </si>
  <si>
    <t>Above Grade Wall</t>
  </si>
  <si>
    <t>Below Grade Wall</t>
  </si>
  <si>
    <t>Unconditioned</t>
  </si>
  <si>
    <t>Wood-framed and other</t>
  </si>
  <si>
    <t>Vertical Glazing (including partially glazed doors)</t>
  </si>
  <si>
    <t>Energy Star</t>
  </si>
  <si>
    <t>SHGC</t>
  </si>
  <si>
    <t>U-0.85/SHGC-0.40</t>
  </si>
  <si>
    <t>U-0.80/SHGC-0.40</t>
  </si>
  <si>
    <t>EER/Et</t>
  </si>
  <si>
    <t>COP</t>
  </si>
  <si>
    <t>Control cooling tower to maximize heat pump EER; VFD on cooling tower fans</t>
  </si>
  <si>
    <t>R-6</t>
  </si>
  <si>
    <t>footcandles</t>
  </si>
  <si>
    <t>Common Area Lighting (Interior)</t>
  </si>
  <si>
    <t>Stairs</t>
  </si>
  <si>
    <t>Corridors</t>
  </si>
  <si>
    <t>Lobby</t>
  </si>
  <si>
    <t>Elec/mech</t>
  </si>
  <si>
    <t>Active Storage</t>
  </si>
  <si>
    <t>Inactive Storage</t>
  </si>
  <si>
    <t>Multipurpose</t>
  </si>
  <si>
    <t>Office</t>
  </si>
  <si>
    <t>Mass Wall</t>
  </si>
  <si>
    <t>Mass Floor</t>
  </si>
  <si>
    <t xml:space="preserve">Insulation entirely above deck  </t>
  </si>
  <si>
    <t xml:space="preserve">Steel-framed  </t>
  </si>
  <si>
    <t>Assembly Max. U/SHGC</t>
  </si>
  <si>
    <t xml:space="preserve">Albany </t>
  </si>
  <si>
    <t xml:space="preserve">Allegany </t>
  </si>
  <si>
    <t xml:space="preserve">Bronx </t>
  </si>
  <si>
    <t xml:space="preserve">Broome </t>
  </si>
  <si>
    <t xml:space="preserve">Cattaraugus </t>
  </si>
  <si>
    <t xml:space="preserve">Cayuga </t>
  </si>
  <si>
    <t xml:space="preserve">Chautauqua </t>
  </si>
  <si>
    <t xml:space="preserve">Chemung </t>
  </si>
  <si>
    <t xml:space="preserve">Chenango </t>
  </si>
  <si>
    <t xml:space="preserve">Clinton </t>
  </si>
  <si>
    <t xml:space="preserve">Columbia </t>
  </si>
  <si>
    <t xml:space="preserve">Cortland </t>
  </si>
  <si>
    <t xml:space="preserve">Delaware </t>
  </si>
  <si>
    <t xml:space="preserve">Dutchess </t>
  </si>
  <si>
    <t xml:space="preserve">Erie </t>
  </si>
  <si>
    <t xml:space="preserve">Essex </t>
  </si>
  <si>
    <t xml:space="preserve">Franklin </t>
  </si>
  <si>
    <t xml:space="preserve">Fulton </t>
  </si>
  <si>
    <t xml:space="preserve">Genessee </t>
  </si>
  <si>
    <t xml:space="preserve">Greene </t>
  </si>
  <si>
    <t xml:space="preserve">Hamilton </t>
  </si>
  <si>
    <t xml:space="preserve">Herkimer </t>
  </si>
  <si>
    <t xml:space="preserve">Jefferson </t>
  </si>
  <si>
    <t xml:space="preserve">Kings </t>
  </si>
  <si>
    <t xml:space="preserve">Lewis </t>
  </si>
  <si>
    <t xml:space="preserve">Livingston </t>
  </si>
  <si>
    <t xml:space="preserve">Madison </t>
  </si>
  <si>
    <t xml:space="preserve">Monroe </t>
  </si>
  <si>
    <t xml:space="preserve">Montgomery </t>
  </si>
  <si>
    <t xml:space="preserve">Nassau </t>
  </si>
  <si>
    <t xml:space="preserve">New York </t>
  </si>
  <si>
    <t xml:space="preserve">Niagara </t>
  </si>
  <si>
    <t xml:space="preserve">Oneida </t>
  </si>
  <si>
    <t xml:space="preserve">Onondaga </t>
  </si>
  <si>
    <t xml:space="preserve">Ontario </t>
  </si>
  <si>
    <t xml:space="preserve">Orange </t>
  </si>
  <si>
    <t xml:space="preserve">Orleans </t>
  </si>
  <si>
    <t xml:space="preserve">Oswego </t>
  </si>
  <si>
    <t xml:space="preserve">Otsego </t>
  </si>
  <si>
    <t xml:space="preserve">Putnam </t>
  </si>
  <si>
    <t xml:space="preserve">Queens </t>
  </si>
  <si>
    <t xml:space="preserve">Rensselaer </t>
  </si>
  <si>
    <t xml:space="preserve">Richmond </t>
  </si>
  <si>
    <t xml:space="preserve">Rockland </t>
  </si>
  <si>
    <t xml:space="preserve">Saratoga </t>
  </si>
  <si>
    <t xml:space="preserve">Schenectady </t>
  </si>
  <si>
    <t xml:space="preserve">Schoharie </t>
  </si>
  <si>
    <t xml:space="preserve">Schuyler </t>
  </si>
  <si>
    <t xml:space="preserve">Seneca </t>
  </si>
  <si>
    <t xml:space="preserve">Steuben </t>
  </si>
  <si>
    <t xml:space="preserve">Suffolk </t>
  </si>
  <si>
    <t xml:space="preserve">Sullivan </t>
  </si>
  <si>
    <t xml:space="preserve">Tioga </t>
  </si>
  <si>
    <t xml:space="preserve">Tompkins </t>
  </si>
  <si>
    <t xml:space="preserve">Ulster </t>
  </si>
  <si>
    <t xml:space="preserve">Warren </t>
  </si>
  <si>
    <t xml:space="preserve">Washington </t>
  </si>
  <si>
    <t xml:space="preserve">Wayne </t>
  </si>
  <si>
    <t xml:space="preserve">Westchester </t>
  </si>
  <si>
    <t xml:space="preserve">Wyoming </t>
  </si>
  <si>
    <t xml:space="preserve">Yates </t>
  </si>
  <si>
    <t xml:space="preserve">COUNTY </t>
  </si>
  <si>
    <t xml:space="preserve">WINTER DESIGN DRY-BULB TEMPERATURE </t>
  </si>
  <si>
    <t xml:space="preserve">SUMMER DESIGN DRY-BULB TEMPERATURE </t>
  </si>
  <si>
    <t xml:space="preserve">COINCIDENT WET-BULB TEMPERATURE </t>
  </si>
  <si>
    <t xml:space="preserve">HEATING DEGREE DAYS </t>
  </si>
  <si>
    <t xml:space="preserve">CLIMATE ZONE </t>
  </si>
  <si>
    <t xml:space="preserve">RESIDENTIAL </t>
  </si>
  <si>
    <t>COMMERCIAL</t>
  </si>
  <si>
    <t>14A</t>
  </si>
  <si>
    <t>11B</t>
  </si>
  <si>
    <t>13A</t>
  </si>
  <si>
    <t>10B</t>
  </si>
  <si>
    <t>12B</t>
  </si>
  <si>
    <t>R-20.0 c.i.</t>
  </si>
  <si>
    <t>R-19.0</t>
  </si>
  <si>
    <t>R-11.4 c.i.</t>
  </si>
  <si>
    <t>R-13.0 + R-7.5 c.i.</t>
  </si>
  <si>
    <t>R-13.0 + R-3.8 c.i.</t>
  </si>
  <si>
    <t>R-7.5 c.i.</t>
  </si>
  <si>
    <t>R-10.4 c.i.</t>
  </si>
  <si>
    <t>U-0.50/SHGC-0.40</t>
  </si>
  <si>
    <t>U-0.55/SHGC-0.40</t>
  </si>
  <si>
    <t>R-12.5 c.i.</t>
  </si>
  <si>
    <t>U-0.45/SHGC-0.40</t>
  </si>
  <si>
    <t>R-13.3 c.i.</t>
  </si>
  <si>
    <t>R-15.2 c.i.</t>
  </si>
  <si>
    <t>R-14.6 c.i.</t>
  </si>
  <si>
    <t>11.0 EER</t>
  </si>
  <si>
    <t>SEER</t>
  </si>
  <si>
    <t>13.0 SEER/7.7 HSPF</t>
  </si>
  <si>
    <t>12.0 EER, 4.2 Htg COP</t>
  </si>
  <si>
    <t>SqFt</t>
  </si>
  <si>
    <t>Unit</t>
  </si>
  <si>
    <t>Each</t>
  </si>
  <si>
    <t>CFM</t>
  </si>
  <si>
    <t>Corridors:0.5, 10 fc</t>
  </si>
  <si>
    <t>Stairs:0.6, 15 fc</t>
  </si>
  <si>
    <t>Non-24 Hours Spaces</t>
  </si>
  <si>
    <t>Clothes Washers - In-unit (where provided)</t>
  </si>
  <si>
    <t>Clothes Washers - Common-area</t>
  </si>
  <si>
    <t>CLH</t>
  </si>
  <si>
    <t>EER</t>
  </si>
  <si>
    <t>HLH</t>
  </si>
  <si>
    <t>Gallons Per Day Calculations</t>
  </si>
  <si>
    <t>Cold Water Temp</t>
  </si>
  <si>
    <t>Water heater eff. Gas</t>
  </si>
  <si>
    <t>Water heater eff. Electric</t>
  </si>
  <si>
    <t>Incremental Cost</t>
  </si>
  <si>
    <t>Totals</t>
  </si>
  <si>
    <t>Year</t>
  </si>
  <si>
    <t>Lifetime</t>
  </si>
  <si>
    <t>TRC</t>
  </si>
  <si>
    <t>Proposed</t>
  </si>
  <si>
    <t>Baseline</t>
  </si>
  <si>
    <t xml:space="preserve">COOLING DEGREE DAYS </t>
  </si>
  <si>
    <t>Apartment SqFt</t>
  </si>
  <si>
    <t>Non-24 hour space SqFt</t>
  </si>
  <si>
    <r>
      <rPr>
        <b/>
        <sz val="10"/>
        <color indexed="8"/>
        <rFont val="Calibri"/>
        <family val="2"/>
        <scheme val="minor"/>
      </rPr>
      <t xml:space="preserve">Insulation entirely above deck </t>
    </r>
    <r>
      <rPr>
        <b/>
        <sz val="10"/>
        <rFont val="Calibri"/>
        <family val="2"/>
        <scheme val="minor"/>
      </rPr>
      <t xml:space="preserve"> </t>
    </r>
  </si>
  <si>
    <t>Baseline kWh</t>
  </si>
  <si>
    <t>Baseline Therms</t>
  </si>
  <si>
    <t>Proposed kWh</t>
  </si>
  <si>
    <t>Proposed Therms</t>
  </si>
  <si>
    <t>Performance Rating</t>
  </si>
  <si>
    <t xml:space="preserve">Appliances  </t>
  </si>
  <si>
    <t xml:space="preserve">Ventilation  </t>
  </si>
  <si>
    <t>HVAC_d
Refridge</t>
  </si>
  <si>
    <t>HVAC_c
Refridge</t>
  </si>
  <si>
    <t>HVAC_g
Refridge</t>
  </si>
  <si>
    <t>Item</t>
  </si>
  <si>
    <t>Component</t>
  </si>
  <si>
    <t>Partner Fees</t>
  </si>
  <si>
    <t>$</t>
  </si>
  <si>
    <t>Central Hudson</t>
  </si>
  <si>
    <t>Con Ed</t>
  </si>
  <si>
    <t>NYSEG</t>
  </si>
  <si>
    <t>O &amp; R</t>
  </si>
  <si>
    <t>RG &amp; E</t>
  </si>
  <si>
    <t>Utilities</t>
  </si>
  <si>
    <t>Present Value Factor Calculations</t>
  </si>
  <si>
    <t>Discount rate:</t>
  </si>
  <si>
    <t>Avoided Cost Forecast</t>
  </si>
  <si>
    <t>Residual Oil</t>
  </si>
  <si>
    <t>Co2 Adder per KWh</t>
  </si>
  <si>
    <t>Co2 Adder per MMBtu Nat Gas</t>
  </si>
  <si>
    <t>Co2 Adder per MMBtu Oil (place holder values)</t>
  </si>
  <si>
    <t>Avoided Cost Present Value Forecast</t>
  </si>
  <si>
    <t>UtilityLookup</t>
  </si>
  <si>
    <t>Metal Building Walls</t>
  </si>
  <si>
    <t>ENERGY STAR Qualified</t>
  </si>
  <si>
    <t>Infiltration Credit</t>
  </si>
  <si>
    <t>Infiltration</t>
  </si>
  <si>
    <t>kWh/1000 SF</t>
  </si>
  <si>
    <t>therms/1000 SF</t>
  </si>
  <si>
    <t>Upstate (non-cooling)</t>
  </si>
  <si>
    <t>Upstate (cooling)</t>
  </si>
  <si>
    <t>Downstate (cooling)</t>
  </si>
  <si>
    <t>Downstate (non-cooling)</t>
  </si>
  <si>
    <t>PV of Cooling kWh Savings</t>
  </si>
  <si>
    <t>PV of Non-Cooling kWh Savings</t>
  </si>
  <si>
    <t>PV of kW Savings</t>
  </si>
  <si>
    <t>PV of Heating MMBtu Savings</t>
  </si>
  <si>
    <t>PV of Water Savings</t>
  </si>
  <si>
    <t>PV of Electric CO2</t>
  </si>
  <si>
    <t>PV of Gas CO2</t>
  </si>
  <si>
    <t>Present Value of Benefits</t>
  </si>
  <si>
    <t>Non-Cooling kWh Savings</t>
  </si>
  <si>
    <t>Cooling kWh Savings</t>
  </si>
  <si>
    <t>Heating Therm Savings</t>
  </si>
  <si>
    <t>Non-Heating Therm Savings</t>
  </si>
  <si>
    <t>KEDLI</t>
  </si>
  <si>
    <t>GasUtility</t>
  </si>
  <si>
    <t>Other</t>
  </si>
  <si>
    <t>Wood-framed and other Walls</t>
  </si>
  <si>
    <r>
      <rPr>
        <b/>
        <sz val="10"/>
        <color indexed="8"/>
        <rFont val="Calibri"/>
        <family val="2"/>
        <scheme val="minor"/>
      </rPr>
      <t xml:space="preserve">Wood-framed and other </t>
    </r>
    <r>
      <rPr>
        <b/>
        <sz val="10"/>
        <rFont val="Calibri"/>
        <family val="2"/>
        <scheme val="minor"/>
      </rPr>
      <t>Walls</t>
    </r>
  </si>
  <si>
    <t>R-30.0 ci</t>
  </si>
  <si>
    <t>R-25.0 ci</t>
  </si>
  <si>
    <t>R-13.3 ci</t>
  </si>
  <si>
    <t>R-19.0 + R-11 ls</t>
  </si>
  <si>
    <t>R-25.0 + R-11 ls</t>
  </si>
  <si>
    <t>R-15.2 ci</t>
  </si>
  <si>
    <t>R-20 ci</t>
  </si>
  <si>
    <t>R-13.0 + R-13 ci</t>
  </si>
  <si>
    <t>R-13.0 + R-10 ci</t>
  </si>
  <si>
    <t>R-13.0 + R-7.5 ci</t>
  </si>
  <si>
    <t>R-10 ci</t>
  </si>
  <si>
    <t>R-12.5 ci</t>
  </si>
  <si>
    <t>R-30.0 + R-7.5 ci</t>
  </si>
  <si>
    <t>R-14.6 ci</t>
  </si>
  <si>
    <t>R-30.0 + 7.5 ci</t>
  </si>
  <si>
    <t>R-38.0 + R-12.5 ci</t>
  </si>
  <si>
    <t>R-15.0 for 24 in.</t>
  </si>
  <si>
    <t>R-20.0 for 24 in.</t>
  </si>
  <si>
    <t>R-15.0 for 36 in. + R-5 ci below</t>
  </si>
  <si>
    <t>--</t>
  </si>
  <si>
    <t>U-0.40 / SHGC-0.40</t>
  </si>
  <si>
    <t>U-0.75 / SHGC-0.40</t>
  </si>
  <si>
    <t>U-0.35 / SHGC-0.40</t>
  </si>
  <si>
    <t>U-0.45 / SHGC-0.40</t>
  </si>
  <si>
    <t>U-0.70 / SHGC-0.40</t>
  </si>
  <si>
    <t>Electric (EF): 0.97 - (0.001 * tank gal capacity)</t>
  </si>
  <si>
    <t>11.5 EER/12.0 IEER</t>
  </si>
  <si>
    <t>10.0 EER/10.5 IEER</t>
  </si>
  <si>
    <t>Warm air furnace (&lt;225 KBtu/h, common areas)</t>
  </si>
  <si>
    <t>Warm air furnace (&lt;225 KBtu/h, apartments)</t>
  </si>
  <si>
    <t>Warm air furnace (&gt;225 KBtu/h)</t>
  </si>
  <si>
    <t>80% Et (gas) / 81% Et (oil)</t>
  </si>
  <si>
    <t>95% AFUE (gas) or 90% AFUE (oil)</t>
  </si>
  <si>
    <t>Packaged terminal air conditioner (PTAC)</t>
  </si>
  <si>
    <t>Air cooled heat pump (≥13 and &lt;65 KBtu/h)</t>
  </si>
  <si>
    <t>Air cooled heat pump (≥240 KBtu/h)</t>
  </si>
  <si>
    <t>Cooling: 11.1 EER/11.6 IEER
Heating: 3.3 COP (@47°F DB)</t>
  </si>
  <si>
    <t>Cooling: 9.6 EER/9.6 IEER
Heating: 3.2 COP (@47°F DB)</t>
  </si>
  <si>
    <t>Water source heat pump (&lt;135 KBtu/h)</t>
  </si>
  <si>
    <t>Cooling: 14.0 EER
Heating: 4.2 COP</t>
  </si>
  <si>
    <t>Boilers, hot water (&lt;300,000 Btu/h)</t>
  </si>
  <si>
    <t>Boilers, hot water (≥300,000 Btu/hr)</t>
  </si>
  <si>
    <t>VRF Air Conditioners and Heat Pumps</t>
  </si>
  <si>
    <t>Air conditioners, air cooled (&lt;13 KBtu/h)</t>
  </si>
  <si>
    <t>Air conditioners, air cooled
(≥13 and &lt;65 KBtu/h)</t>
  </si>
  <si>
    <t>Air conditioners, air cooled
(≥65 and &lt;135 KBtu/h)</t>
  </si>
  <si>
    <t>Air conditioners, air cooled
(≥135 and &lt;240 KBtu/h)</t>
  </si>
  <si>
    <t>Air conditioners, air cooled
(≥240 and &lt;760 KBtu/h)</t>
  </si>
  <si>
    <t>ENERGY STAR qualified</t>
  </si>
  <si>
    <t>Air cooled heat pump (≥65 and &lt;135 KBtu/h)</t>
  </si>
  <si>
    <t>Air cooled heat pump (≥135 and &lt;240 KBtu/h)</t>
  </si>
  <si>
    <t>10.0 EER (full load) / 12.5 EER (IPLV)</t>
  </si>
  <si>
    <t>Water‐cooled chiller, positive displacement (&lt;75 tons)</t>
  </si>
  <si>
    <t>Water‐cooled chiller, positive displacement (75‐150 tons)</t>
  </si>
  <si>
    <t>Water‐cooled chiller, positive displacement (150‐300 tons)</t>
  </si>
  <si>
    <t>Water‐cooled chiller, positive displacement (&gt;300 tons)</t>
  </si>
  <si>
    <t>Water‐cooled chiller, centrifugal (≥300 tons and &lt;600 tons)</t>
  </si>
  <si>
    <t>Water‐cooled chiller, centrifugal (≥600 tons)</t>
  </si>
  <si>
    <t>Air‐cooled absorption single effect chiller</t>
  </si>
  <si>
    <t>Water‐cooled absorption single effect chiller</t>
  </si>
  <si>
    <t>Absorption double effect indirect‐fired chiller</t>
  </si>
  <si>
    <t>Absorption double effect direct‐fired chiller</t>
  </si>
  <si>
    <t>Open‐loop propeller or axial fan cooling towers</t>
  </si>
  <si>
    <t>Closed‐loop propeller or axial fan cooling towers</t>
  </si>
  <si>
    <t>Open‐loop centrifugal fan cooling towers</t>
  </si>
  <si>
    <t>Closed‐loop centrifugal fan cooling towers</t>
  </si>
  <si>
    <t>0.780 kW/ton (full load) / 0.630 kW/ton (IPLV)</t>
  </si>
  <si>
    <t>0.775 kW/ton (full load) / 0.615 kW/ton (IPLV)</t>
  </si>
  <si>
    <t>0.680 kW/ton (full load) / 0.580 kW/ton (IPLV)</t>
  </si>
  <si>
    <t>0.620 kW/ton (full load) / 0.540 kW/ton (IPLV)</t>
  </si>
  <si>
    <t>0.634 kW/ton (full load) / 0.596 kW/ton (IPLV)</t>
  </si>
  <si>
    <t>0.576 kW/ton (full load) / 0.549 kW/ton (IPLV)</t>
  </si>
  <si>
    <t>0.570 kW/ton (full load) / 0.539 kW/ton (IPLV)</t>
  </si>
  <si>
    <t>&gt;40 gpm/hp (@95°F entering water, 85°F leaving water, 75°F wb entering air)</t>
  </si>
  <si>
    <t>&gt;15 gpm/hp (@102°F entering water, 90°F leaving water, 75°F wb entering air)</t>
  </si>
  <si>
    <t>&gt;22 gpm/hp (@95°F entering water, 85°F leaving water, 75°F wb entering air)</t>
  </si>
  <si>
    <t>&gt;8 gpm/hp (@102°F entering water, 90°F leaving water, 75°F wb entering air)</t>
  </si>
  <si>
    <t>Water‐cooled chiller, centrifugal (&lt;150 tons)</t>
  </si>
  <si>
    <t>Water‐cooled chiller, centrifugal (≥150 tons and &lt;300 tons)</t>
  </si>
  <si>
    <r>
      <t xml:space="preserve"> </t>
    </r>
    <r>
      <rPr>
        <b/>
        <sz val="10"/>
        <color indexed="8"/>
        <rFont val="Calibri"/>
        <family val="2"/>
        <scheme val="minor"/>
      </rPr>
      <t>Requirement (Minimum or Maximum)</t>
    </r>
  </si>
  <si>
    <t>80% AFUE</t>
  </si>
  <si>
    <t>R-1.4</t>
  </si>
  <si>
    <t>NYC</t>
  </si>
  <si>
    <t>Yes</t>
  </si>
  <si>
    <t>N/A</t>
  </si>
  <si>
    <t>No</t>
  </si>
  <si>
    <t>Vending Machines</t>
  </si>
  <si>
    <t>Not Applicable</t>
  </si>
  <si>
    <t>Costs</t>
  </si>
  <si>
    <t xml:space="preserve">Project Name: </t>
  </si>
  <si>
    <t xml:space="preserve">Select County: </t>
  </si>
  <si>
    <t xml:space="preserve">Select Electric Utility: </t>
  </si>
  <si>
    <t xml:space="preserve">Select Gas Utility: </t>
  </si>
  <si>
    <t xml:space="preserve">Located in NYC? </t>
  </si>
  <si>
    <t>gallons/unit</t>
  </si>
  <si>
    <t>MMBtu/unit</t>
  </si>
  <si>
    <t>Include in Project-Level TRC?</t>
  </si>
  <si>
    <t>PV for Project Level TRC</t>
  </si>
  <si>
    <t>Measure Cost for Project Level TRC</t>
  </si>
  <si>
    <t>Funding Source Code</t>
  </si>
  <si>
    <t>EEPS-Gas</t>
  </si>
  <si>
    <t>EEPS-Electric</t>
  </si>
  <si>
    <t>SIR</t>
  </si>
  <si>
    <t>Cost Savings</t>
  </si>
  <si>
    <t>Weighted Lifetime</t>
  </si>
  <si>
    <t>Refrigerators</t>
  </si>
  <si>
    <t>Clothes Dryers</t>
  </si>
  <si>
    <t>HVAC_g</t>
  </si>
  <si>
    <t>Fan Cooling Tower - CV no Econ kWh/ton</t>
  </si>
  <si>
    <t>Motors serving hydronic heating w/ VFD &gt; 5 HP</t>
  </si>
  <si>
    <t>Motors serving hydronic cooling w/ VFD &gt; 5 HP</t>
  </si>
  <si>
    <t>Fan Motors &gt; 5 HP</t>
  </si>
  <si>
    <t>Clothes Washers - In-unit</t>
  </si>
  <si>
    <t>Total # of bedrooms in building</t>
  </si>
  <si>
    <t>Occupants:</t>
  </si>
  <si>
    <t>Avg Occupants/Apt:</t>
  </si>
  <si>
    <t># Apts</t>
  </si>
  <si>
    <t># Bathrooms</t>
  </si>
  <si>
    <t>Proposed EER (averaged)</t>
  </si>
  <si>
    <t>Proposed SEER (averaged)</t>
  </si>
  <si>
    <t>Proposed AFUE (averaged)</t>
  </si>
  <si>
    <t>R-13.0 + R-5.6 c.i.</t>
  </si>
  <si>
    <t>AFUE</t>
  </si>
  <si>
    <t>Total Heating MMBtu/hr</t>
  </si>
  <si>
    <t>Total Cooling MMBtu/hr</t>
  </si>
  <si>
    <t>Use Data From</t>
  </si>
  <si>
    <t>Albany</t>
  </si>
  <si>
    <t>Binghamton</t>
  </si>
  <si>
    <t>Buffalo</t>
  </si>
  <si>
    <t>Syracuse</t>
  </si>
  <si>
    <t>Massena</t>
  </si>
  <si>
    <t>Poughkeepsie</t>
  </si>
  <si>
    <t>kW/1000 SF</t>
  </si>
  <si>
    <t>R-Value (Assembly)</t>
  </si>
  <si>
    <t>therm/1000 SF</t>
  </si>
  <si>
    <t>Steel-framed  walls</t>
  </si>
  <si>
    <t>Metal Building Roof</t>
  </si>
  <si>
    <t>Saint Lawrence</t>
  </si>
  <si>
    <t>Water Savings (gallons)</t>
  </si>
  <si>
    <t>Demand Savings (kW)</t>
  </si>
  <si>
    <t>kWh/100 SF</t>
  </si>
  <si>
    <t>kW/100 SF</t>
  </si>
  <si>
    <t>therm/100 SF</t>
  </si>
  <si>
    <t>Windows</t>
  </si>
  <si>
    <t>10.8 EER</t>
  </si>
  <si>
    <t>9.8 EER/9.5 IPLV</t>
  </si>
  <si>
    <t>EER =12.5-(0.213 * Cap/1000)</t>
  </si>
  <si>
    <t>10.8 EER/11.0 IPLV/3.3 Htg COP</t>
  </si>
  <si>
    <t>10.4 EER/11.5 IPLV/3.2 Htg COP</t>
  </si>
  <si>
    <t>9.3 EER/9.0 IPLV/3.2 Htg COP</t>
  </si>
  <si>
    <t>COP (full load)</t>
  </si>
  <si>
    <t>COP (IPLV)</t>
  </si>
  <si>
    <t>Lobby:1.3, 16 fc</t>
  </si>
  <si>
    <t>WLHP Pump
kWh/hp</t>
  </si>
  <si>
    <t>WLHP
kW/hp</t>
  </si>
  <si>
    <t>All hard-wired lighting fixtures and ceiling fans installed within apartments shall meet or exceed ENERGY STAR efficacies.  Overall in-unit LPD may not exceed 0.7 W/SF.  When calculating overall LPD, use 0.7 W/SF for spaces where lighting is not specified.</t>
  </si>
  <si>
    <t>HP (Sum of motors serving hydronic heating &gt; 5 HP)</t>
  </si>
  <si>
    <t>HP (Sum of motors serving hydronic cooling &gt; 5 HP)</t>
  </si>
  <si>
    <t>Motors in circulating pumps serving hydronic heating or cooling &gt; 5 HP</t>
  </si>
  <si>
    <r>
      <t xml:space="preserve">NEMA </t>
    </r>
    <r>
      <rPr>
        <b/>
        <u/>
        <sz val="10"/>
        <color indexed="8"/>
        <rFont val="Calibri"/>
        <family val="2"/>
        <scheme val="minor"/>
      </rPr>
      <t>Premium</t>
    </r>
    <r>
      <rPr>
        <b/>
        <sz val="10"/>
        <color indexed="8"/>
        <rFont val="Calibri"/>
        <family val="2"/>
        <scheme val="minor"/>
      </rPr>
      <t xml:space="preserve"> </t>
    </r>
    <r>
      <rPr>
        <sz val="10"/>
        <color indexed="8"/>
        <rFont val="Calibri"/>
        <family val="2"/>
        <scheme val="minor"/>
      </rPr>
      <t xml:space="preserve">efficiency motors and variable frequency drives. </t>
    </r>
  </si>
  <si>
    <t>Central exhaust fans &lt; 1/16 HP</t>
  </si>
  <si>
    <t>Central exhaust fans 1/16 &lt; HP &lt; 1</t>
  </si>
  <si>
    <t>Central exhaust fans &gt; 1 HP</t>
  </si>
  <si>
    <t>Powered common area laundry ventilation</t>
  </si>
  <si>
    <t>Automatic demand control required to turn off ventilation fans when no dryers are operating.</t>
  </si>
  <si>
    <t>R-10.0 for 24 in. + R-5 ci below</t>
  </si>
  <si>
    <t>R-16.7 ci</t>
  </si>
  <si>
    <t>Number of occupancy sensors in stairs, corridors and lobby</t>
  </si>
  <si>
    <t>RS Mean City Cost Indicator</t>
  </si>
  <si>
    <t>Technical Manual</t>
  </si>
  <si>
    <t>Technical Manual and ENERGY STAR Calculator for Clothes Washers</t>
  </si>
  <si>
    <t>Energy savings calculation source</t>
  </si>
  <si>
    <t>Project Quantity</t>
  </si>
  <si>
    <t>ASHRAE Handbook of Fundamentals</t>
  </si>
  <si>
    <t>Occupancy Sensors</t>
  </si>
  <si>
    <t>Ventilation</t>
  </si>
  <si>
    <t>n/a</t>
  </si>
  <si>
    <t>HP (Sum of motors &lt; 1/16 HP)</t>
  </si>
  <si>
    <t>HP (Sum of motors  1/16 &lt; HP &lt; 1)</t>
  </si>
  <si>
    <t>Dishwashers</t>
  </si>
  <si>
    <t>Ceiling Fans</t>
  </si>
  <si>
    <t>ENERGY STAR Calculator for Ceiling Fans</t>
  </si>
  <si>
    <t>Ceiling Fan</t>
  </si>
  <si>
    <t>Gas (EF): 0.69 - (0.002 * tank gal capacity)</t>
  </si>
  <si>
    <t>All non-apartment spaces, except those where automatic shutoff would endanger the safety of occupants, must have occupancy sensors or automatic bi-level lighting controls. This includes spaces intended for 24-hour operation such as corridors and stairwells.</t>
  </si>
  <si>
    <t>24 Hour Spaces</t>
  </si>
  <si>
    <t>Non-24 Hour Spaces</t>
  </si>
  <si>
    <t>Water heater eff. Hot Water Supply Boiler</t>
  </si>
  <si>
    <r>
      <t xml:space="preserve">Motors serving ventilation 1 </t>
    </r>
    <r>
      <rPr>
        <u/>
        <sz val="10"/>
        <color theme="1"/>
        <rFont val="Calibri"/>
        <family val="2"/>
        <scheme val="minor"/>
      </rPr>
      <t>&lt;</t>
    </r>
    <r>
      <rPr>
        <sz val="10"/>
        <color theme="1"/>
        <rFont val="Calibri"/>
        <family val="2"/>
        <scheme val="minor"/>
      </rPr>
      <t xml:space="preserve"> HP </t>
    </r>
    <r>
      <rPr>
        <u/>
        <sz val="10"/>
        <color theme="1"/>
        <rFont val="Calibri"/>
        <family val="2"/>
        <scheme val="minor"/>
      </rPr>
      <t>&lt;</t>
    </r>
    <r>
      <rPr>
        <sz val="10"/>
        <color theme="1"/>
        <rFont val="Calibri"/>
        <family val="2"/>
        <scheme val="minor"/>
      </rPr>
      <t xml:space="preserve"> 5</t>
    </r>
  </si>
  <si>
    <r>
      <t xml:space="preserve">Motors serving hydronic heating 1 </t>
    </r>
    <r>
      <rPr>
        <u/>
        <sz val="10"/>
        <color theme="1"/>
        <rFont val="Calibri"/>
        <family val="2"/>
        <scheme val="minor"/>
      </rPr>
      <t>&lt;</t>
    </r>
    <r>
      <rPr>
        <sz val="10"/>
        <color theme="1"/>
        <rFont val="Calibri"/>
        <family val="2"/>
        <scheme val="minor"/>
      </rPr>
      <t xml:space="preserve"> HP </t>
    </r>
    <r>
      <rPr>
        <u/>
        <sz val="10"/>
        <color theme="1"/>
        <rFont val="Calibri"/>
        <family val="2"/>
        <scheme val="minor"/>
      </rPr>
      <t>&lt;</t>
    </r>
    <r>
      <rPr>
        <sz val="10"/>
        <color theme="1"/>
        <rFont val="Calibri"/>
        <family val="2"/>
        <scheme val="minor"/>
      </rPr>
      <t xml:space="preserve"> 5</t>
    </r>
  </si>
  <si>
    <r>
      <t xml:space="preserve">Motors serving hydronic cooling 1 </t>
    </r>
    <r>
      <rPr>
        <u/>
        <sz val="10"/>
        <color theme="1"/>
        <rFont val="Calibri"/>
        <family val="2"/>
        <scheme val="minor"/>
      </rPr>
      <t>&lt;</t>
    </r>
    <r>
      <rPr>
        <sz val="10"/>
        <color theme="1"/>
        <rFont val="Calibri"/>
        <family val="2"/>
        <scheme val="minor"/>
      </rPr>
      <t xml:space="preserve"> HP </t>
    </r>
    <r>
      <rPr>
        <u/>
        <sz val="10"/>
        <color theme="1"/>
        <rFont val="Calibri"/>
        <family val="2"/>
        <scheme val="minor"/>
      </rPr>
      <t>&lt;</t>
    </r>
    <r>
      <rPr>
        <sz val="10"/>
        <color theme="1"/>
        <rFont val="Calibri"/>
        <family val="2"/>
        <scheme val="minor"/>
      </rPr>
      <t xml:space="preserve"> 5</t>
    </r>
  </si>
  <si>
    <r>
      <rPr>
        <b/>
        <sz val="11"/>
        <color indexed="8"/>
        <rFont val="Calibri"/>
        <family val="2"/>
        <scheme val="minor"/>
      </rPr>
      <t xml:space="preserve">Appliances </t>
    </r>
    <r>
      <rPr>
        <b/>
        <sz val="11"/>
        <rFont val="Calibri"/>
        <family val="2"/>
        <scheme val="minor"/>
      </rPr>
      <t xml:space="preserve"> </t>
    </r>
  </si>
  <si>
    <t>Value for selected Climate Zone</t>
  </si>
  <si>
    <t>Costs for CZ 4</t>
  </si>
  <si>
    <t>Costs for CZ 5</t>
  </si>
  <si>
    <t>Costs for CZ 6</t>
  </si>
  <si>
    <t>30% WWR</t>
  </si>
  <si>
    <t>Costs for selected Climate Zone</t>
  </si>
  <si>
    <t>Measure</t>
  </si>
  <si>
    <t>Climate Zone
4</t>
  </si>
  <si>
    <t>Climate Zone
5</t>
  </si>
  <si>
    <t>Climate Zone
6</t>
  </si>
  <si>
    <t>Apartment in-line and ceiling exhaust fans</t>
  </si>
  <si>
    <t>Range Hoods (up to 500 CFM)</t>
  </si>
  <si>
    <t>Select type of fan</t>
  </si>
  <si>
    <t>CFM/W</t>
  </si>
  <si>
    <t>Baseline EER</t>
  </si>
  <si>
    <t>Baseline SEER</t>
  </si>
  <si>
    <t>Baseline AFUE</t>
  </si>
  <si>
    <t>Shower Flow Rate (gpm)</t>
  </si>
  <si>
    <t>Faucet Flow Rate (gpm</t>
  </si>
  <si>
    <t>Efficiency or GPM</t>
  </si>
  <si>
    <t>COP/SEER</t>
  </si>
  <si>
    <t>Not permitted</t>
  </si>
  <si>
    <r>
      <t>W/ft</t>
    </r>
    <r>
      <rPr>
        <b/>
        <vertAlign val="superscript"/>
        <sz val="11"/>
        <color theme="1"/>
        <rFont val="Calibri"/>
        <family val="2"/>
        <scheme val="minor"/>
      </rPr>
      <t>2</t>
    </r>
  </si>
  <si>
    <t>Bathroom and Utility Room Fans (10 - 89 CFM)</t>
  </si>
  <si>
    <t>Bathroom and Utility Room Fans (90 - 500 CFM)</t>
  </si>
  <si>
    <t>In-line Fans</t>
  </si>
  <si>
    <t>Fan Type</t>
  </si>
  <si>
    <t>CO Demand Controls of Garage</t>
  </si>
  <si>
    <r>
      <t xml:space="preserve">Motors serving ventilation 1 </t>
    </r>
    <r>
      <rPr>
        <u/>
        <sz val="11"/>
        <color theme="1"/>
        <rFont val="Calibri"/>
        <family val="2"/>
        <scheme val="minor"/>
      </rPr>
      <t>&lt;</t>
    </r>
    <r>
      <rPr>
        <sz val="11"/>
        <color theme="1"/>
        <rFont val="Calibri"/>
        <family val="2"/>
        <scheme val="minor"/>
      </rPr>
      <t xml:space="preserve"> HP </t>
    </r>
    <r>
      <rPr>
        <u/>
        <sz val="11"/>
        <color theme="1"/>
        <rFont val="Calibri"/>
        <family val="2"/>
        <scheme val="minor"/>
      </rPr>
      <t>&lt;</t>
    </r>
    <r>
      <rPr>
        <sz val="11"/>
        <color theme="1"/>
        <rFont val="Calibri"/>
        <family val="2"/>
        <scheme val="minor"/>
      </rPr>
      <t xml:space="preserve"> 5</t>
    </r>
  </si>
  <si>
    <r>
      <t xml:space="preserve">Motors serving hydronic heating 1 </t>
    </r>
    <r>
      <rPr>
        <u/>
        <sz val="11"/>
        <color theme="1"/>
        <rFont val="Calibri"/>
        <family val="2"/>
        <scheme val="minor"/>
      </rPr>
      <t>&lt;</t>
    </r>
    <r>
      <rPr>
        <sz val="11"/>
        <color theme="1"/>
        <rFont val="Calibri"/>
        <family val="2"/>
        <scheme val="minor"/>
      </rPr>
      <t xml:space="preserve"> HP </t>
    </r>
    <r>
      <rPr>
        <u/>
        <sz val="11"/>
        <color theme="1"/>
        <rFont val="Calibri"/>
        <family val="2"/>
        <scheme val="minor"/>
      </rPr>
      <t>&lt;</t>
    </r>
    <r>
      <rPr>
        <sz val="11"/>
        <color theme="1"/>
        <rFont val="Calibri"/>
        <family val="2"/>
        <scheme val="minor"/>
      </rPr>
      <t xml:space="preserve"> 5</t>
    </r>
  </si>
  <si>
    <r>
      <t xml:space="preserve">Motors serving hydronic cooling 1 </t>
    </r>
    <r>
      <rPr>
        <u/>
        <sz val="11"/>
        <color theme="1"/>
        <rFont val="Calibri"/>
        <family val="2"/>
        <scheme val="minor"/>
      </rPr>
      <t>&lt;</t>
    </r>
    <r>
      <rPr>
        <sz val="11"/>
        <color theme="1"/>
        <rFont val="Calibri"/>
        <family val="2"/>
        <scheme val="minor"/>
      </rPr>
      <t xml:space="preserve"> HP </t>
    </r>
    <r>
      <rPr>
        <u/>
        <sz val="11"/>
        <color theme="1"/>
        <rFont val="Calibri"/>
        <family val="2"/>
        <scheme val="minor"/>
      </rPr>
      <t>&lt;</t>
    </r>
    <r>
      <rPr>
        <sz val="11"/>
        <color theme="1"/>
        <rFont val="Calibri"/>
        <family val="2"/>
        <scheme val="minor"/>
      </rPr>
      <t xml:space="preserve"> 5</t>
    </r>
  </si>
  <si>
    <t>Faucet Flow Rate (gpm)</t>
  </si>
  <si>
    <t>Garage Exhaust</t>
  </si>
  <si>
    <t>Climate Zone 4</t>
  </si>
  <si>
    <t>Climate Zone 5</t>
  </si>
  <si>
    <t>Climate Zone 6</t>
  </si>
  <si>
    <t>Not Permitted</t>
  </si>
  <si>
    <t>Duct leakage</t>
  </si>
  <si>
    <t>Infiltration reduction</t>
  </si>
  <si>
    <t>EPA Simulation Guidelines</t>
  </si>
  <si>
    <t>ENERGY STAR Qualified; 9.25 HSPF</t>
  </si>
  <si>
    <t>ENERGY STAR Qualified; 9.5 HSPF</t>
  </si>
  <si>
    <t>ENERGY STAR Qualified; 90% AFUE</t>
  </si>
  <si>
    <t>Stairs: 0.69 W/SF, 15 fc</t>
  </si>
  <si>
    <t>Corridors: 0.66 W/SF, 10 fc</t>
  </si>
  <si>
    <t>Lobby: 0.9 W/SF, 16 fc</t>
  </si>
  <si>
    <t>Elec/mech: 0.95 W/SF, 30 fc
Storage: 0.63 W/SF, 20 fc
Multipurpose: 1.23 W/SF, 30 fc
Office: 1.11 W/SF, 35 fc</t>
  </si>
  <si>
    <t>Value</t>
  </si>
  <si>
    <t>Look-Up Value</t>
  </si>
  <si>
    <t>Oil values are not used in any calculations. Please test this, and then we can delete the data. DO NOT DELETE ROW, delete values and put comment in cell.</t>
  </si>
  <si>
    <t>Avoided energy per kWh with line loss -Upstate(2008$)</t>
  </si>
  <si>
    <t>Avoided energy per kWh with line loss -Lower Hudson(2008$)</t>
  </si>
  <si>
    <t>Avoided energy per kWh with line loss -NYC(2008$)</t>
  </si>
  <si>
    <t>Avoided Capacity per KW with reserve margin, line loss and avoided distribution -Upstate(2008$)</t>
  </si>
  <si>
    <t>Avoided Capacity per KW with reserve margin, line loss and avoided distribution -NYC(2008$)</t>
  </si>
  <si>
    <t>Avoided gas $/MMBtu (Heating) -Downstate 2008$</t>
  </si>
  <si>
    <t>Avoided gas $/MMBtu (Heating) -Upstate2008$</t>
  </si>
  <si>
    <t>Natural gas $ per MMBtu (Hot Water) - Downstate</t>
  </si>
  <si>
    <t>Natural gas $ per MMBtu (Hot Water) - Upstate</t>
  </si>
  <si>
    <t>Avoided energy per kWh with line loss -Upstate (Zones A-F, 2012$)</t>
  </si>
  <si>
    <t>Avoided energy per kWh with line loss -Lower Hudson (Zones G-I, 2012$)</t>
  </si>
  <si>
    <t>Avoided energy per kWh with line loss -NYC (Zone J, 2012$)</t>
  </si>
  <si>
    <t>Avoided Capacity per KW with reserve margin, line loss and avoided distribution -Upstate (Zones A-F &amp; G-I, 2012$)</t>
  </si>
  <si>
    <t>Avoided Capacity per KW with reserve margin, line loss and avoided distribution -NYC (Zone J, 2012$)</t>
  </si>
  <si>
    <t>Avoided gas $/MMBtu (Heating) -Downstate 2012$</t>
  </si>
  <si>
    <t>Avoided gas $/MMBtu (Heating) -Upstate 2012$</t>
  </si>
  <si>
    <t>Natural gas $ per MMBtu (Hot Water) - Downstate (2012$)</t>
  </si>
  <si>
    <t>Natural gas $ per MMBtu (Hot Water) - Upstate (2012$)</t>
  </si>
  <si>
    <t>Co2 Adder per kWh ($2012) with line loss</t>
  </si>
  <si>
    <t>Co2 Adder per MMBtu (2012$)</t>
  </si>
  <si>
    <t>Co2 Adder per MMBtu Oil (2012$)</t>
  </si>
  <si>
    <t>NatGrid</t>
  </si>
  <si>
    <t>KEDNY</t>
  </si>
  <si>
    <t>PV of Non-Heating MMBtu Savings</t>
  </si>
  <si>
    <t>Number of Units:</t>
  </si>
  <si>
    <t>Housing Income Classification:</t>
  </si>
  <si>
    <t>Gut Rehab?</t>
  </si>
  <si>
    <t>NYSERDA would like to thank the EPA for allowing us to base this spreadsheet heavily on their ENERGY STAR MFHR T&amp;V Worksheets.</t>
  </si>
  <si>
    <t>Instructions</t>
  </si>
  <si>
    <t>http://www.youtube.com/watch?v=gco7heVBBZY</t>
  </si>
  <si>
    <t>General Formatting</t>
  </si>
  <si>
    <t>Cells</t>
  </si>
  <si>
    <t xml:space="preserve">= Fill data in this cell after site Inspection </t>
  </si>
  <si>
    <t xml:space="preserve">= Information in this cell is fed to other spreadsheets </t>
  </si>
  <si>
    <t>= Performance Values &amp; Deliverables</t>
  </si>
  <si>
    <t>Summary</t>
  </si>
  <si>
    <r>
      <t xml:space="preserve">After the final plan review confirms all recommendations have been integrated in to the construction documents, the </t>
    </r>
    <r>
      <rPr>
        <i/>
        <sz val="10"/>
        <rFont val="Arial"/>
        <family val="2"/>
      </rPr>
      <t>T&amp;V Worksheets</t>
    </r>
    <r>
      <rPr>
        <sz val="10"/>
        <rFont val="Arial"/>
        <family val="2"/>
      </rPr>
      <t xml:space="preserve"> are intended to be printed and brought to the field.  They list measures and building components to be inspected as well as mandatory requirements to be confirmed and any additional relevant information identified during the plan review.</t>
    </r>
  </si>
  <si>
    <t>Navigating</t>
  </si>
  <si>
    <r>
      <rPr>
        <b/>
        <i/>
        <sz val="11"/>
        <color indexed="8"/>
        <rFont val="Calibri"/>
        <family val="2"/>
      </rPr>
      <t>T&amp;V Worksheets</t>
    </r>
    <r>
      <rPr>
        <b/>
        <sz val="11"/>
        <color indexed="8"/>
        <rFont val="Calibri"/>
        <family val="2"/>
      </rPr>
      <t xml:space="preserve"> - Overview</t>
    </r>
  </si>
  <si>
    <r>
      <t xml:space="preserve">Each </t>
    </r>
    <r>
      <rPr>
        <i/>
        <sz val="10"/>
        <rFont val="Arial"/>
        <family val="2"/>
      </rPr>
      <t xml:space="preserve">T&amp;V Worksheet </t>
    </r>
    <r>
      <rPr>
        <sz val="10"/>
        <rFont val="Arial"/>
        <family val="2"/>
      </rPr>
      <t>is formatted similarly to easily locate the sections used at different stages throughout the project.  The header contains the name of the project, building component being reviewed/inspected and a box to enter the date inspections occur and who conducted them.</t>
    </r>
  </si>
  <si>
    <r>
      <t xml:space="preserve">Each </t>
    </r>
    <r>
      <rPr>
        <i/>
        <sz val="10"/>
        <rFont val="Arial"/>
        <family val="2"/>
      </rPr>
      <t>T&amp;V Worksheet</t>
    </r>
    <r>
      <rPr>
        <sz val="10"/>
        <rFont val="Arial"/>
        <family val="2"/>
      </rPr>
      <t xml:space="preserve"> also contains sections titled "Schedule", "Equipment Needed" and "Sampling Requirements".  The "Schedule" section gives recommendations about the appropriate time to begin inspecting that particular component and sometimes suggests the minimum number of inspections.  "Sampling Requirements" outlines appropriate sampling rates, minimum sample set requirements and mandatory photographs to be included as documentation.</t>
    </r>
  </si>
  <si>
    <r>
      <t xml:space="preserve">Most </t>
    </r>
    <r>
      <rPr>
        <i/>
        <sz val="10"/>
        <rFont val="Arial"/>
        <family val="2"/>
      </rPr>
      <t>T&amp;V Worksheets</t>
    </r>
    <r>
      <rPr>
        <sz val="10"/>
        <rFont val="Arial"/>
        <family val="2"/>
      </rPr>
      <t xml:space="preserve"> contain sections titled "Notes for Drawings and Specifications".  This is meant to be used in the plan review stage for easy access to language to be copied and pasted into the cells labeled "Plan Review Comment".  This section and any others not needed can be hidden when printing for the field to condense the size as much as possible.  The more complex building components, such as HVAC, do not have the "Notes for Drawings and Specifications" section because there are too many notes to put in one cell; they are broken up line by line in elements below.</t>
    </r>
  </si>
  <si>
    <r>
      <t xml:space="preserve">Some </t>
    </r>
    <r>
      <rPr>
        <i/>
        <sz val="10"/>
        <rFont val="Arial"/>
        <family val="2"/>
      </rPr>
      <t>T&amp;V Worksheets</t>
    </r>
    <r>
      <rPr>
        <sz val="10"/>
        <rFont val="Arial"/>
        <family val="2"/>
      </rPr>
      <t xml:space="preserve"> have schedules for building HVAC equipment or envelope assemblies for easier tracking of characteristics specific to that type of component.  These rows have been left unlocked so they can be copied for various assemblies, or rows can be inserted for additional equipment.</t>
    </r>
  </si>
  <si>
    <t>a)  Yes - Verified</t>
  </si>
  <si>
    <t>b)  No - Not Verified</t>
  </si>
  <si>
    <t>c)  N/A - Not Applicable</t>
  </si>
  <si>
    <t>Help</t>
  </si>
  <si>
    <t>Send questions and comments to</t>
  </si>
  <si>
    <t>pgleeson@trcsolutions.com</t>
  </si>
  <si>
    <t>Compliance Path:</t>
  </si>
  <si>
    <t>Modified Prescriptive Path</t>
  </si>
  <si>
    <t xml:space="preserve">Address: </t>
  </si>
  <si>
    <t>City, State, Zip:</t>
  </si>
  <si>
    <t>Is this project participating in NYSERDA's Multifamily Performance Program?</t>
  </si>
  <si>
    <t>Team</t>
  </si>
  <si>
    <t>First Name</t>
  </si>
  <si>
    <t>Last Name</t>
  </si>
  <si>
    <t>Email</t>
  </si>
  <si>
    <t>Office Phone</t>
  </si>
  <si>
    <t>Direct Line</t>
  </si>
  <si>
    <t>Developer</t>
  </si>
  <si>
    <t>Architect</t>
  </si>
  <si>
    <t>MEP Engineer</t>
  </si>
  <si>
    <t>General Contractor</t>
  </si>
  <si>
    <t>MEP Contractor</t>
  </si>
  <si>
    <t>Number of Stories</t>
  </si>
  <si>
    <t>Climate Zone</t>
  </si>
  <si>
    <t>Number of Units (per building)</t>
  </si>
  <si>
    <t>Typical SF of apartment</t>
  </si>
  <si>
    <t>Studio</t>
  </si>
  <si>
    <t>1 - Bedroom</t>
  </si>
  <si>
    <t>2 - Bedroom</t>
  </si>
  <si>
    <t>3 - Bedroom</t>
  </si>
  <si>
    <t>4 - Bedroom</t>
  </si>
  <si>
    <t>Building Areas (per building)</t>
  </si>
  <si>
    <t>Building Area</t>
  </si>
  <si>
    <t>Total Square Ft</t>
  </si>
  <si>
    <t>Apartment</t>
  </si>
  <si>
    <t>Storage, active</t>
  </si>
  <si>
    <t>Storage, inactive</t>
  </si>
  <si>
    <t>Corridor/Transition</t>
  </si>
  <si>
    <t>Stairs - Active</t>
  </si>
  <si>
    <t>Restroom</t>
  </si>
  <si>
    <t>Conference/meeting/multipurpose</t>
  </si>
  <si>
    <t>Electrical/Mechanical</t>
  </si>
  <si>
    <t>Workshop</t>
  </si>
  <si>
    <t>Parking garage</t>
  </si>
  <si>
    <t>Nonresidential Spaces (ie. commercial)</t>
  </si>
  <si>
    <t>Type of Garage</t>
  </si>
  <si>
    <t>T&amp;V Protocol Number and Description</t>
  </si>
  <si>
    <t>T&amp;V Worksheet</t>
  </si>
  <si>
    <t>Potential Inspection Schedule Categories</t>
  </si>
  <si>
    <t>1.1 - APPLIANCES</t>
  </si>
  <si>
    <t>Post-Completion</t>
  </si>
  <si>
    <t>2.1-2.2, 5.1, 5.3 - HEATING&amp;DHW</t>
  </si>
  <si>
    <t>Finishes</t>
  </si>
  <si>
    <t>Protocol 3.1 - Wall Construction/Insulation, R-value</t>
  </si>
  <si>
    <t>3.1 - ENV_BELOW GRADE WALL</t>
  </si>
  <si>
    <t>Pre-Drywall</t>
  </si>
  <si>
    <t>3.1 - ENV_ABOVE GRADE WALL</t>
  </si>
  <si>
    <t>8.1 - INF_EXT AIR BARRIER</t>
  </si>
  <si>
    <t>Protocol 3.2 - Roof Construction/Insulation, R-value</t>
  </si>
  <si>
    <t>3.2 - ENV_ROOF</t>
  </si>
  <si>
    <t>Protocol 3.3 - Floor Construction/Insulation, R-value</t>
  </si>
  <si>
    <t>3.3 - ENV_FLOORS</t>
  </si>
  <si>
    <t>Protocol 3.4 - Window Selection, U-value, and SHGC</t>
  </si>
  <si>
    <t>3.4 - ENV_WINDOWS</t>
  </si>
  <si>
    <t xml:space="preserve">Protocol 3.5 - Exterior Door Selection, Entranceway Design, Use of Vestibules, Weather-stripping, and Air Leakage </t>
  </si>
  <si>
    <t>3.5 - ENV_EXTERIOR DOORS</t>
  </si>
  <si>
    <t>Protocol 4.1 – Heating and Compartmentalization</t>
  </si>
  <si>
    <t>4.1 - GARAGES_CMPTZ &amp; HEATING</t>
  </si>
  <si>
    <t>5.2, 5.4 - COOLING</t>
  </si>
  <si>
    <t>Protocol 6.1 - Common Areas, In-Unit, Garage and Exterior Lighting</t>
  </si>
  <si>
    <t>6.1, 6.2, 6.3 - LIGHTING</t>
  </si>
  <si>
    <t>Protocol 6.2 – Emergency Lighting (Exit Signs)</t>
  </si>
  <si>
    <t>Protocol 6.3 – Controls</t>
  </si>
  <si>
    <t>Protocol 7.1 - Motors</t>
  </si>
  <si>
    <t>7.1 - MOTORS</t>
  </si>
  <si>
    <t>8.1-INF_COMPTZN VIS INSPECTION</t>
  </si>
  <si>
    <t>8.1 - INF_BLOWER DOOR TEST</t>
  </si>
  <si>
    <t>8.2 - VENT_SCHEDULE&amp;TAB REPORT</t>
  </si>
  <si>
    <t>8.2 - VENT_DUCT TIGHTNESS</t>
  </si>
  <si>
    <t>Protocol 9.1 - Metering Configuration</t>
  </si>
  <si>
    <t>9.1 - METERS</t>
  </si>
  <si>
    <t xml:space="preserve">Building Component </t>
  </si>
  <si>
    <t>Date Revised:
By:</t>
  </si>
  <si>
    <t># REVIEW:  75% and 100% Design Completion Review
Prepared by:
Date:</t>
  </si>
  <si>
    <t>Proposed Method of Compliance 
(by PM/client)</t>
  </si>
  <si>
    <t xml:space="preserve">Plan Review Comments </t>
  </si>
  <si>
    <t>Location (dwg / spec)</t>
  </si>
  <si>
    <t xml:space="preserve">Inspection Comments </t>
  </si>
  <si>
    <t>APPLIANCES</t>
  </si>
  <si>
    <t>Dryer</t>
  </si>
  <si>
    <t>DOMESTIC HOT WATER</t>
  </si>
  <si>
    <t>Domestic Hot Water-Type &amp; Efficiency</t>
  </si>
  <si>
    <t>If storage is provided, the maximum storage tank capacity shall be specified based on occupancy.</t>
  </si>
  <si>
    <t>Domestic Hot Water - Low Flow Fixtures</t>
  </si>
  <si>
    <t xml:space="preserve">ENVELOPE </t>
  </si>
  <si>
    <t>Floor Perimeter/Plank Edge Insulation</t>
  </si>
  <si>
    <t>Floor Insulation Above Unconditioned Space</t>
  </si>
  <si>
    <t>Below Grade Slab Floor Insulation</t>
  </si>
  <si>
    <t>Slab-on-Grade Insulation (unheated)</t>
  </si>
  <si>
    <t>Slab-on-Grade Insulation (embedded heated only)</t>
  </si>
  <si>
    <t>Exterior Doors</t>
  </si>
  <si>
    <t>HEATING &amp; COOLING</t>
  </si>
  <si>
    <t>Space Heating - Type &amp; Efficiency</t>
  </si>
  <si>
    <t>Heating Terminal Units - Electric or Freeze Protection</t>
  </si>
  <si>
    <t>Space Heating - Sizing</t>
  </si>
  <si>
    <t>Space Heating - Design Temperatures</t>
  </si>
  <si>
    <t>Space Heating - Controls</t>
  </si>
  <si>
    <t>Terminal heating and cooling distribution equipment serving an apartment shall be controlled by a thermostat(s) within the same apartment.</t>
  </si>
  <si>
    <t>Thermostat Setting</t>
  </si>
  <si>
    <t>Space Cooling - Type and Efficiency</t>
  </si>
  <si>
    <t>Space Cooling - Sizing</t>
  </si>
  <si>
    <t>Space Cooling - Controls</t>
  </si>
  <si>
    <t xml:space="preserve">LIGHTING </t>
  </si>
  <si>
    <t>Lighting Controls</t>
  </si>
  <si>
    <t>Exterior Lights</t>
  </si>
  <si>
    <t>MOTORS (3-PHASE , &gt; 1 HP)</t>
  </si>
  <si>
    <t>Heating Circulating Pumps</t>
  </si>
  <si>
    <t>Cooling Circulating Pumps and Cooling Tower Fans</t>
  </si>
  <si>
    <t>All three-phase pump motors 1 horse-power or larger shall meet or exceed efficiency standards for NEMA Premium™ motors, where available.</t>
  </si>
  <si>
    <t>VENTILATION</t>
  </si>
  <si>
    <t>Ventilation: Thermal
(Heat Recovery)</t>
  </si>
  <si>
    <t>Ventilation: Thermal
(Duct Sealing)</t>
  </si>
  <si>
    <t>Ventilation: Electric
(Apartments)</t>
  </si>
  <si>
    <t>Ventilation: Electric
(Non-Apartment)</t>
  </si>
  <si>
    <t>Ventilation: Demand  Control</t>
  </si>
  <si>
    <t>MISC.</t>
  </si>
  <si>
    <t>Renewables</t>
  </si>
  <si>
    <t>CHP</t>
  </si>
  <si>
    <r>
      <t xml:space="preserve">2) Complete all </t>
    </r>
    <r>
      <rPr>
        <i/>
        <sz val="10"/>
        <color indexed="8"/>
        <rFont val="Arial"/>
        <family val="2"/>
      </rPr>
      <t>T&amp;V Worksheets</t>
    </r>
    <r>
      <rPr>
        <sz val="10"/>
        <color indexed="8"/>
        <rFont val="Arial"/>
        <family val="2"/>
      </rPr>
      <t xml:space="preserve"> and this checklist will be automatically updated.</t>
    </r>
  </si>
  <si>
    <t>3) Review the checklist and add clarificaiton in the Comments column for any items that have not been verified or are not applicable.</t>
  </si>
  <si>
    <t>&lt;Select One - Plan Review or Final Inspection&gt;</t>
  </si>
  <si>
    <t>Location in Specs/ DWGs</t>
  </si>
  <si>
    <t>Verified in Plan Review</t>
  </si>
  <si>
    <t>Verified by Inspector</t>
  </si>
  <si>
    <t>Comments</t>
  </si>
  <si>
    <t>EPA Multifamily Highrise Program - Unique Prescriptive Path Requirements</t>
  </si>
  <si>
    <t>NYSERDA Multifamily Performance Program - Unique Prescriptive Path Requirements</t>
  </si>
  <si>
    <t>1.  Appliances</t>
  </si>
  <si>
    <t>(a)  Appliances</t>
  </si>
  <si>
    <t>-</t>
  </si>
  <si>
    <t>2.  Domestic Water Heating</t>
  </si>
  <si>
    <t>(a) General</t>
  </si>
  <si>
    <t>(b) Water Heating Type and Efficiency</t>
  </si>
  <si>
    <t>(c) Water Heating Temperature</t>
  </si>
  <si>
    <t>The temperature setting of in-unit storage water heaters must not exceed 140°F. For both in-unit and central DHW systems, temperatures measured at faucets and showerheads must not exceed 125°F.</t>
  </si>
  <si>
    <t>(d) Water Heating Controls</t>
  </si>
  <si>
    <t>(e) Water Heating Pipe Insulation</t>
  </si>
  <si>
    <t>(f) Plumbing Fixtures</t>
  </si>
  <si>
    <t>3.  Envelope</t>
  </si>
  <si>
    <t>• Below Grade Walls</t>
  </si>
  <si>
    <t>• Above Grade Walls</t>
  </si>
  <si>
    <t>• Floor Perimeter/ Plank Edges</t>
  </si>
  <si>
    <t>• Roof</t>
  </si>
  <si>
    <t>• Floors Over Unconditioned Spaces</t>
  </si>
  <si>
    <t>• Below Grade Slab Floors</t>
  </si>
  <si>
    <t>• Slab-On-Grade Floors (unheated Only)</t>
  </si>
  <si>
    <t>• Slab-On-Grade Floors (embedded heated Only)</t>
  </si>
  <si>
    <t>• Exterior Doors</t>
  </si>
  <si>
    <t>(b) Vertical Glazing</t>
  </si>
  <si>
    <t>Specified windows must be double or triple-pane, with low-emissivity glass or coatings. 
Based on the climate zone, the specified windows meet the Prescriptive requirements.
Window frames must be separated from conductive framing (metal &amp; masonry studs, lintels &amp; sills) with insulation designed to serve as a thermal break.</t>
  </si>
  <si>
    <t>Maximum allowable glazing area: 40% Window-to-Wall Ratio</t>
  </si>
  <si>
    <t>(c) Vestibules</t>
  </si>
  <si>
    <t>When required by local building code, entranceways shall be designed with vestibules with weather-stripping hard-fastened to the door or frame.</t>
  </si>
  <si>
    <t>(d) AC Sleeves</t>
  </si>
  <si>
    <t>4. Garages and Sidewalks</t>
  </si>
  <si>
    <t>(a) Air Infiltration</t>
  </si>
  <si>
    <t>Attached garages shall be fully compartmentalized from the rest of the building through air sealing.  All pipe and conduit penetrations shall be sealed with material compatible with the surface and resilient to temperature fluctuations.</t>
  </si>
  <si>
    <t>(b) Heated Garages</t>
  </si>
  <si>
    <t>(c) Ice Prevention</t>
  </si>
  <si>
    <t>5. Heating and Cooling</t>
  </si>
  <si>
    <t>• Heating</t>
  </si>
  <si>
    <t>• Cooling</t>
  </si>
  <si>
    <t>(b) Heating System Type</t>
  </si>
  <si>
    <t>Atmospherically vented gas furnaces and boilers shall not be specified.</t>
  </si>
  <si>
    <t>(c) Electric Resistance Heating</t>
  </si>
  <si>
    <t>(d) Heating System Sizing and Efficiency</t>
  </si>
  <si>
    <t>Load sizing calculations must reflect the design; installed capacity cannot exceed design by more than 20%, except when smaller sizes are not available.
Heating loads shall be calculated, equipment capacity shall be selected, and duct systems shall be sized according to the latest editions of ACCA Manual J, S, &amp; D, respectively, ASHRAE 2009 Handbook of Fundamentals, or a substantively equivalent procedure. Indoor temperatures shall be 70°F for heating, outdoor temperatures shall be the 99.0% design temperature, as published by the ASHRAE Handbook of Fundamentals.</t>
  </si>
  <si>
    <t>(e) Cooling System Sizing and Efficiency</t>
  </si>
  <si>
    <t>Load sizing calculations must reflect the design; installed capacity cannot exceed design by more than 20%, except when smaller sizes are not available.
Cooling loads shall be calculated, equipment capacity shall be selected, and duct systems shall be sized according to the latest editions of ACCA Manual J, S, &amp; D, respectively, ASHRAE 2009 Handbook of Fundamentals, or a substantively equivalent procedure. Indoor temperatures shall be 75°F for cooling, outdoor temperatures shall be the 1.0% design temperature, as published by the ASHRAE Handbook of Fundamentals.</t>
  </si>
  <si>
    <t>(f) Control Valves</t>
  </si>
  <si>
    <t>For hydronic distribution systems, all terminal heating and cooling distribution equipment must be separated from the riser or distribution loop by a control valve or terminal distribution pump, so that heated or cooled fluid is not delivered to the apartment distribution equipment when there is no call from the apartment thermostats.</t>
  </si>
  <si>
    <t>(f) Flexible Ducts</t>
  </si>
  <si>
    <t>(h) Duct Sealing and Insulation</t>
  </si>
  <si>
    <t>Heating and cooling ductwork shall be sealed at all transverse joints and connections, including ductwork connections through drywall or other finish materials, using UL‐181 compliant methods and materials. Construction documents shall specify that ductwork must be inspected before access is covered up.</t>
  </si>
  <si>
    <t>Heating and cooling supply and return ductwork shall be insulated to a minimum R-8 in unconditioned space.</t>
  </si>
  <si>
    <t>Heating and cooling supply and return ductwork shall be insulated to a minimum R-8 in unconditioned space and R-4 in conditioned space.</t>
  </si>
  <si>
    <t>For systems designed with outdoor-air supplied to the heating, cooling, or ventilation distribution system, provide motorized dampers that will automatically shut when systems or spaces are not in use.  Continuously running ventilation would not be subject to either damper, as they are always in use.</t>
  </si>
  <si>
    <t>• Ventilation</t>
  </si>
  <si>
    <t>Calculations and assumptions for sizing circulating pumps must meet Chapter 43 of the ASHRAE Handbook, HVAC Systems and Equipment or equivalent industry accepted standard.</t>
  </si>
  <si>
    <r>
      <t xml:space="preserve">For in-unit forced air distribution systems, perform design calculations (using </t>
    </r>
    <r>
      <rPr>
        <i/>
        <sz val="9"/>
        <color indexed="8"/>
        <rFont val="Arial"/>
        <family val="2"/>
      </rPr>
      <t>ACCA Manuals J and D</t>
    </r>
    <r>
      <rPr>
        <sz val="9"/>
        <color indexed="8"/>
        <rFont val="Arial"/>
        <family val="2"/>
      </rPr>
      <t xml:space="preserve">, the ASHRAE Handbook of Fundamentals, or an equivalent procedure) and install ducts accordingly. </t>
    </r>
  </si>
  <si>
    <t>Bedroom must be pressure-balanced using any combination of transfer grills, jump ducts, dedicated return ducts, and/or undercut doors.</t>
  </si>
  <si>
    <t>6.  Lighting</t>
  </si>
  <si>
    <t/>
  </si>
  <si>
    <t>(a) Occupancy Controls</t>
  </si>
  <si>
    <t>All non-apartment spaces, except those where automatic shutoff would endanger the safety of occupants, must have occupancy sensors or automatic bi-level lighting controls. Automatic controls must be specified for spaces intended for 24-hour operation such as corridors and stairwells.</t>
  </si>
  <si>
    <t>(b) Common Area Lighting</t>
  </si>
  <si>
    <t>(c) Exit Signs</t>
  </si>
  <si>
    <t>All exit signs shall be specified as LED (not to exceed 5W per face) or photo-luminescent and shall conform to local building code; fixtures located above stairwell doors and other forms of egress shall contain a battery back-up feature.</t>
  </si>
  <si>
    <t>(d) Exterior Lighting</t>
  </si>
  <si>
    <t>Fixtures must include automatic switching on timers or photocell controls except fixtures intended for 24-hour operation, required for security, or located on apartment balconies.</t>
  </si>
  <si>
    <t>All outdoor lighting fixtures shall have combined lamp and ballast efficacies meeting or exceeding ENERGY STAR specifications.</t>
  </si>
  <si>
    <t xml:space="preserve">Total specified exterior lighting power cannot exceed ASHRAE 90.1-2010 allowances.                    </t>
  </si>
  <si>
    <t>(e) In-Unit Lighting</t>
  </si>
  <si>
    <t>(f) Illumination Levels</t>
  </si>
  <si>
    <t>7.  Motors</t>
  </si>
  <si>
    <t>(a) Heating Pump Motor Efficiency</t>
  </si>
  <si>
    <t>8.  Ventilation &amp; Infiltration</t>
  </si>
  <si>
    <t>(a) Building Air Barrier</t>
  </si>
  <si>
    <t>The building plans shall demonstrate a continuous, unbroken air barrier separating the conditioned space of the building from the exterior, unconditioned spaces within the building, commercial spaces, mechanical rooms vented with unconditioned air, mechanical chases opening to unconditioned spaces, elevator shafts, and garages or other vehicle/equipment storage facilities.</t>
  </si>
  <si>
    <t>(b) Apartment Infiltration</t>
  </si>
  <si>
    <t>Apartments shall be sealed to reduce air exchange between the apartment and outside as well as the apartment and other adjacent spaces.  A maximum air leakage rate of 0.30 CFM50 per square feet of enclosure is allowed.</t>
  </si>
  <si>
    <t>(c) Non-Apartment Ventilation</t>
  </si>
  <si>
    <t>Common area ventilation systems shall be designed and tested to satisfy minimum requirements of ASHRAE 62.1-2007, without exceeding the minimum ventilation rates by more than 50%.</t>
  </si>
  <si>
    <t>Central exhaust fans 1/16 HP and less must be direct-drive and have variable speed controllers.
Central exhaust fans greater than 1/16 HP and less than 1 HP must be direct-drive with ECM motors and variable speed controllers.
Central exhaust fans 1 HP and larger must have NEMA Premium efficient motors.</t>
  </si>
  <si>
    <t xml:space="preserve">Powered common laundry ventilation must be installed with automatic demand control to turn off ventilation fans when no dryers are operating.  </t>
  </si>
  <si>
    <t>(d) In-Unit Ventilation</t>
  </si>
  <si>
    <t>Final Inspection</t>
  </si>
  <si>
    <t>(e) Duct sealing at joints and connections</t>
  </si>
  <si>
    <t>Ductwork penetrating the building envelope shall be sealed to prevent air leakage through the duct system and/or the building envelope. This includes but is not limited to roof curbs and exterior wall exhaust/intake vents.</t>
  </si>
  <si>
    <t>9.  Metering</t>
  </si>
  <si>
    <t>(a) Nonresidential Associated Spaces</t>
  </si>
  <si>
    <t>Post-construction, the utility consumption of the residential-associated spaces must be capable of evaluation independent of any commercial/retail spaces. These nonresidential associated parts of the building shall be separately metered (or sub-metered) for electricity, gas, fuel oil, water, steam, and hot water for domestic and/or space heating purposes.</t>
  </si>
  <si>
    <t>(b) Direct-Metered Utilities</t>
  </si>
  <si>
    <t xml:space="preserve">For buildings that are direct-metered for utilities to the apartments, the building owner must secure signed releases from individual apartment occupants to allow for benchmarking or find alternative methods to assessing whole building energy consumption, such as a whole-building meter or asking the utility for aggregated data. All data uploaded to Portfolio Manager is strictly confidential and only used to estimate the energy performance of the building as a whole, not of individual apartments. </t>
  </si>
  <si>
    <r>
      <t>Table 1</t>
    </r>
    <r>
      <rPr>
        <b/>
        <i/>
        <sz val="10"/>
        <rFont val="Arial"/>
        <family val="2"/>
      </rPr>
      <t xml:space="preserve"> Modified Prescriptive Path</t>
    </r>
    <r>
      <rPr>
        <b/>
        <sz val="10"/>
        <rFont val="Arial"/>
        <family val="2"/>
      </rPr>
      <t xml:space="preserve"> – Minimum Heating and Cooling Equipment Efficiencies</t>
    </r>
  </si>
  <si>
    <t>Equipment Type</t>
  </si>
  <si>
    <t>Minimum Efficiency per ASHRAE 90.1 2007 Climate Zones</t>
  </si>
  <si>
    <t>Room AC ( window, through-wall, ductless  mini-splits)</t>
  </si>
  <si>
    <t xml:space="preserve">ENERGY STAR qualified </t>
  </si>
  <si>
    <t>Air conditioner (&lt;13 KBtu/h)</t>
  </si>
  <si>
    <t>Air conditioner (≥13 and &lt;65 KBtu/h)</t>
  </si>
  <si>
    <t>Air conditioner ((≥65 and &lt;240 KBtu/h)</t>
  </si>
  <si>
    <t>Air conditioner (≥240  and &lt; 760 KBtu/h)</t>
  </si>
  <si>
    <t>Electric resistance space heating</t>
  </si>
  <si>
    <t xml:space="preserve">Not permitted in any space using this approach </t>
  </si>
  <si>
    <t>Warm-Air Furnace (&lt;225 KBtu/h, common areas)</t>
  </si>
  <si>
    <r>
      <t>Warm-Air Furnace (</t>
    </r>
    <r>
      <rPr>
        <b/>
        <u/>
        <sz val="8"/>
        <color indexed="8"/>
        <rFont val="Arial"/>
        <family val="2"/>
      </rPr>
      <t>&gt;</t>
    </r>
    <r>
      <rPr>
        <b/>
        <sz val="8"/>
        <color indexed="8"/>
        <rFont val="Arial"/>
        <family val="2"/>
      </rPr>
      <t>225 KBtu/h)</t>
    </r>
  </si>
  <si>
    <t>80% Et (gas)    or 81% Et (oil)</t>
  </si>
  <si>
    <t>Packaged Terminal Air Conditioner (PTAC)</t>
  </si>
  <si>
    <t>13.8 – (0.300 X Cap/1000) EER</t>
  </si>
  <si>
    <t xml:space="preserve">Packaged Terminal Heat Pump (PTHP) </t>
  </si>
  <si>
    <t>Cooling: 14.0– (0.3 X Cap/1000) EER        Heating:  3.7– (0.052 X Cap/1000) COP</t>
  </si>
  <si>
    <t xml:space="preserve">ENERGY STAR qualified
8.5HSPF </t>
  </si>
  <si>
    <t xml:space="preserve">ENERGY STAR qualified
9.25HSPF </t>
  </si>
  <si>
    <t xml:space="preserve">ENERGY STAR qualified
9.5HSPF </t>
  </si>
  <si>
    <t>Air cooled heat pump (≥65 and &lt;240 KBtu/h)</t>
  </si>
  <si>
    <t>Cooling: 11.1 EER/11.6 IEER                     Heating: 3.3 COP (@47°F DB)</t>
  </si>
  <si>
    <t>Cooling:   9.6 EER/9.6 IEER                      Heating: 3.2 COP (@47°F DB)</t>
  </si>
  <si>
    <t>Water-source  heat pump (&lt;135 KBtu/h)</t>
  </si>
  <si>
    <t>Cooling: 14.0 EER(86°F entering water) Heating: 4.2 COP(68°F entering water)</t>
  </si>
  <si>
    <t xml:space="preserve">90% AFUE </t>
  </si>
  <si>
    <t>Boilers, hot water (≥300,000 Btu/h)</t>
  </si>
  <si>
    <t>86% Et  (89% Et if using heat pumps)</t>
  </si>
  <si>
    <t>See Tables 6.8.1I and 6.8.1J of ASHRAE 90.1-2010</t>
  </si>
  <si>
    <t xml:space="preserve">Air-cooled chillers with or without condenser </t>
  </si>
  <si>
    <t xml:space="preserve">10.0 EER / 12.5 IPLV </t>
  </si>
  <si>
    <t>Water-cooled chiller, positive displacement (&lt;75 tons)</t>
  </si>
  <si>
    <t xml:space="preserve">0.780 kW/ton (Full load) /  0.630 kW/ton (IPLV) </t>
  </si>
  <si>
    <t>Water-cooled chiller, positive displacement (75-150 tons)</t>
  </si>
  <si>
    <t xml:space="preserve">0.775 kW/ton (Full load) /  0.615 kW/ton (IPLV) </t>
  </si>
  <si>
    <t>Water-cooled chiller, positive displacement (150-300tons)</t>
  </si>
  <si>
    <t xml:space="preserve">0.680 kW/ton (Full load) /  0.580 kW/ton (IPLV) </t>
  </si>
  <si>
    <t>Water-cooled chiller, positive displacement (&gt;300 tons)</t>
  </si>
  <si>
    <t xml:space="preserve">0.620 kW/ton (Full load) /  0.540 kW/ton (IPLV) </t>
  </si>
  <si>
    <t>Water-cooled, centrifugal ( &lt;300  tons)</t>
  </si>
  <si>
    <t>0.634 kW/ton (Full load) /  0.596 kW/ton (IPLV)</t>
  </si>
  <si>
    <t>Water-cooled, centrifugal (≥300 and &lt;600  tons)</t>
  </si>
  <si>
    <t>0.576 kW/ton (Full load) /  0.549 kW/ton (IPLV)</t>
  </si>
  <si>
    <t>Water-cooled, centrifugal (≥600 tons)</t>
  </si>
  <si>
    <t>0.570 kW/ton (Full load) /  0.539 kW/ton (IPLV)</t>
  </si>
  <si>
    <t>Air-cooled absorption single effect chiller</t>
  </si>
  <si>
    <t>0.6 COP</t>
  </si>
  <si>
    <t>Water-cooled absorption single effect chiller</t>
  </si>
  <si>
    <t>Absorption double effect indirect-fired chiller</t>
  </si>
  <si>
    <t>Absorption double effect direct-fired chiller</t>
  </si>
  <si>
    <r>
      <t>Open-loop propeller or axial fan cooling towers</t>
    </r>
    <r>
      <rPr>
        <b/>
        <vertAlign val="superscript"/>
        <sz val="8"/>
        <rFont val="Arial"/>
        <family val="2"/>
      </rPr>
      <t>2</t>
    </r>
  </si>
  <si>
    <t>&gt;40 gpm/hp (@95°F entering water, 85°F leaving water, 75°F web entering air)</t>
  </si>
  <si>
    <r>
      <t>Closed-loop propeller or axial fan cooling towers</t>
    </r>
    <r>
      <rPr>
        <b/>
        <vertAlign val="superscript"/>
        <sz val="8"/>
        <rFont val="Arial"/>
        <family val="2"/>
      </rPr>
      <t>2</t>
    </r>
  </si>
  <si>
    <r>
      <t>Open-loop centrifugal fan cooling towers</t>
    </r>
    <r>
      <rPr>
        <b/>
        <vertAlign val="superscript"/>
        <sz val="8"/>
        <rFont val="Arial"/>
        <family val="2"/>
      </rPr>
      <t>2</t>
    </r>
  </si>
  <si>
    <r>
      <t>Closed-loop centrifugal fan cooling towers</t>
    </r>
    <r>
      <rPr>
        <b/>
        <vertAlign val="superscript"/>
        <sz val="8"/>
        <rFont val="Arial"/>
        <family val="2"/>
      </rPr>
      <t>2</t>
    </r>
  </si>
  <si>
    <t>1.    In Climates Zones 1 through 6, if the prescriptive Heating Season Performance Factors are met for air-source heat pumps, electric resistance back-up heating is allowed, if programmable thermostats with adaptive recovery technology are installed.</t>
  </si>
  <si>
    <t xml:space="preserve">2.     In Climate Zone 7 and 8, dual-fuel backup is not required for ENERGY STAR qualified heat pumps that have no backup heating because the heat pump is capable of meeting 100% of the design heating load. </t>
  </si>
  <si>
    <t>3.     Cooling tower fan motors must be equipped with VFD controlled by a temperature sensor on the condenser water supply pipe.</t>
  </si>
  <si>
    <t>Tables 2 &amp; 3 Climate Specific Envelope Requirements for Climate Zones 1-8</t>
  </si>
  <si>
    <t>Envelope Component</t>
  </si>
  <si>
    <t>Nominal   R Value (Minimum)</t>
  </si>
  <si>
    <t>Assembly U-Value (maximum)</t>
  </si>
  <si>
    <t>Climate Zone 1</t>
  </si>
  <si>
    <t>Climate Zone 2</t>
  </si>
  <si>
    <t>Climate Zone 3</t>
  </si>
  <si>
    <t>Climate Zone 7</t>
  </si>
  <si>
    <t>Climate Zone 8</t>
  </si>
  <si>
    <t>Insulation entirely above deck</t>
  </si>
  <si>
    <t>R-25.0 continuous</t>
  </si>
  <si>
    <t>R-30.0 continuous</t>
  </si>
  <si>
    <t>U-0.039</t>
  </si>
  <si>
    <t>U-0.032</t>
  </si>
  <si>
    <t>U-0.028</t>
  </si>
  <si>
    <t>R-19.0 +    R-11.0 Ls</t>
  </si>
  <si>
    <t>R-25.0 +    R-11.0 Ls</t>
  </si>
  <si>
    <t>U-0.035</t>
  </si>
  <si>
    <t>U-0.031</t>
  </si>
  <si>
    <t>U-0.029</t>
  </si>
  <si>
    <t>U-0.021</t>
  </si>
  <si>
    <t>U-0.017</t>
  </si>
  <si>
    <t>Mass</t>
  </si>
  <si>
    <t>R-13.3 continuous</t>
  </si>
  <si>
    <t>R-15.2 continuous</t>
  </si>
  <si>
    <t>R-20.0 continuous</t>
  </si>
  <si>
    <t>U-0.123</t>
  </si>
  <si>
    <t>U-0.104</t>
  </si>
  <si>
    <t>U-0.090</t>
  </si>
  <si>
    <t>U-0.080</t>
  </si>
  <si>
    <t>U-0.071</t>
  </si>
  <si>
    <t>U-0.060</t>
  </si>
  <si>
    <t>U-0.043</t>
  </si>
  <si>
    <t>R-13.0 +  R-13.0 ci</t>
  </si>
  <si>
    <t>U-0.079</t>
  </si>
  <si>
    <t>U-0.052</t>
  </si>
  <si>
    <t>Steel-Framed</t>
  </si>
  <si>
    <t>R-13.0 + R-10.0 c.i.</t>
  </si>
  <si>
    <t>U-0.077</t>
  </si>
  <si>
    <t>U-0.055</t>
  </si>
  <si>
    <t>U-0.037</t>
  </si>
  <si>
    <t>U-0.033</t>
  </si>
  <si>
    <t>R-13.0 +  R-7.5 ci</t>
  </si>
  <si>
    <t>U-0.064</t>
  </si>
  <si>
    <t>U-0.051</t>
  </si>
  <si>
    <t>U-0.045</t>
  </si>
  <si>
    <t>Conditioned and Indirectly Conditioned space</t>
  </si>
  <si>
    <t>R-10.0 continuous</t>
  </si>
  <si>
    <t xml:space="preserve">R-10.0 continuous </t>
  </si>
  <si>
    <t>NR</t>
  </si>
  <si>
    <t>U-0.092</t>
  </si>
  <si>
    <t>U-0.075</t>
  </si>
  <si>
    <t>U-0.063</t>
  </si>
  <si>
    <t>U-0.137</t>
  </si>
  <si>
    <t>U-0.087</t>
  </si>
  <si>
    <t>U-0.057</t>
  </si>
  <si>
    <t>R-38.0 +  R-12.5 ci</t>
  </si>
  <si>
    <t>U-0.038</t>
  </si>
  <si>
    <t>U-0.023</t>
  </si>
  <si>
    <t>R-30.0 +  R-7.5 ci</t>
  </si>
  <si>
    <t>U-0.026</t>
  </si>
  <si>
    <t>R-15.0 for 24 in. + R-5 ci below</t>
  </si>
  <si>
    <t>R-10.0 for 24 in. + R-5 ci  below</t>
  </si>
  <si>
    <t>R-7.5 for 12 in. + R-5 ci below</t>
  </si>
  <si>
    <t xml:space="preserve">R-20.0 for 36 in. + R-5 ci below </t>
  </si>
  <si>
    <t>Opaque - All</t>
  </si>
  <si>
    <t>U-0.6</t>
  </si>
  <si>
    <t>U-0.4</t>
  </si>
  <si>
    <t>Vertical Glazing</t>
  </si>
  <si>
    <t>Assembly Max U.</t>
  </si>
  <si>
    <t>Assembly Max. SHGC</t>
  </si>
  <si>
    <t xml:space="preserve">Metal framing (curtain wall/ storefront) </t>
  </si>
  <si>
    <t>U-0.40</t>
  </si>
  <si>
    <t>U-0.35</t>
  </si>
  <si>
    <t>SHGC-0.25</t>
  </si>
  <si>
    <t>SHGC-0.40</t>
  </si>
  <si>
    <t>SHGC-NR</t>
  </si>
  <si>
    <t>U-0.75</t>
  </si>
  <si>
    <t>U-0.70</t>
  </si>
  <si>
    <t>U-0.45</t>
  </si>
  <si>
    <t>2) The columns on the right serve as a quick visual aid to see which components were not verified, red means not verified.</t>
  </si>
  <si>
    <t>3) Rows and columns can be hidden and adjusted to condense as much as possible before printing to send to members of the project team.</t>
  </si>
  <si>
    <t>Item #</t>
  </si>
  <si>
    <t xml:space="preserve">BUILDING COMPONENT </t>
  </si>
  <si>
    <r>
      <t>#</t>
    </r>
    <r>
      <rPr>
        <b/>
        <vertAlign val="superscript"/>
        <sz val="14"/>
        <rFont val="Arial"/>
        <family val="2"/>
      </rPr>
      <t xml:space="preserve"> </t>
    </r>
    <r>
      <rPr>
        <b/>
        <sz val="14"/>
        <rFont val="Arial"/>
        <family val="2"/>
      </rPr>
      <t xml:space="preserve">REVIEW:  75% and 100% Design Completion Review
</t>
    </r>
    <r>
      <rPr>
        <sz val="14"/>
        <rFont val="Arial"/>
        <family val="2"/>
      </rPr>
      <t>Prepared by:
Date:</t>
    </r>
  </si>
  <si>
    <r>
      <t xml:space="preserve">AS BUILT REVIEW: 
</t>
    </r>
    <r>
      <rPr>
        <sz val="14"/>
        <rFont val="Arial"/>
        <family val="2"/>
      </rPr>
      <t xml:space="preserve">Prepared by:
Date: </t>
    </r>
  </si>
  <si>
    <r>
      <t xml:space="preserve">Proposed ERM 
</t>
    </r>
    <r>
      <rPr>
        <sz val="14"/>
        <rFont val="Arial"/>
        <family val="2"/>
      </rPr>
      <t>(Method of Compliance 
by Client)</t>
    </r>
  </si>
  <si>
    <t>Dwg/Spec</t>
  </si>
  <si>
    <t>Team Comments</t>
  </si>
  <si>
    <t>APPLIANCES - ENERGY STAR</t>
  </si>
  <si>
    <t>1.1.1</t>
  </si>
  <si>
    <t>1.1.2</t>
  </si>
  <si>
    <t>1.1.3</t>
  </si>
  <si>
    <t>1.1.4</t>
  </si>
  <si>
    <t>1.1.6</t>
  </si>
  <si>
    <t>1.1.8</t>
  </si>
  <si>
    <t>Dryers</t>
  </si>
  <si>
    <t>1.1.9</t>
  </si>
  <si>
    <t>Statement of Substantial Completion</t>
  </si>
  <si>
    <t>NA</t>
  </si>
  <si>
    <t xml:space="preserve">DOMESTIC HOT WATER </t>
  </si>
  <si>
    <t>2.1.1</t>
  </si>
  <si>
    <t>Compliance Statement</t>
  </si>
  <si>
    <t>MODELING INPUTS</t>
  </si>
  <si>
    <t>2.2.1</t>
  </si>
  <si>
    <t>DHW - Type &amp; Efficiency</t>
  </si>
  <si>
    <t>2.2.2</t>
  </si>
  <si>
    <t>DHW - Storage Insulation</t>
  </si>
  <si>
    <t>2.2.3</t>
  </si>
  <si>
    <t>DHW - Low Flow Fixtures</t>
  </si>
  <si>
    <t>DHW CONFIGURATION, CONTROLS, DISTRIBUTION &amp; DOCUMENTATION</t>
  </si>
  <si>
    <t>2.3.1</t>
  </si>
  <si>
    <t>DHW Central Plant - Boiler room location and venting</t>
  </si>
  <si>
    <t>2.3.2</t>
  </si>
  <si>
    <t>DHW - Insulation for Piping</t>
  </si>
  <si>
    <t>2.3.3</t>
  </si>
  <si>
    <t>DHW - Temperature</t>
  </si>
  <si>
    <t>2.3.4</t>
  </si>
  <si>
    <t>DHW - Controls</t>
  </si>
  <si>
    <t>2.3.5</t>
  </si>
  <si>
    <t>DHW - Training and Manuals</t>
  </si>
  <si>
    <t>2.3.6</t>
  </si>
  <si>
    <t>DHW - Manufacturer's Product Data</t>
  </si>
  <si>
    <t>2.3.7</t>
  </si>
  <si>
    <t>Statement of Substantial Completion - HVAC</t>
  </si>
  <si>
    <t>BELOW GRADE WALLS</t>
  </si>
  <si>
    <t>3.1.1</t>
  </si>
  <si>
    <t>Below Grade Walls - Notes for Drawings and Specifications</t>
  </si>
  <si>
    <t>3.1.2</t>
  </si>
  <si>
    <t>Overall U-Value for Below Grade Walls</t>
  </si>
  <si>
    <t>3.1.3</t>
  </si>
  <si>
    <t>Below Grade Walls - Compliance Statement</t>
  </si>
  <si>
    <t>3.1.4</t>
  </si>
  <si>
    <t>Below Grade Walls - Insulation and Initial Framing Inspection</t>
  </si>
  <si>
    <t>3.1.5</t>
  </si>
  <si>
    <t>Below Grade Walls - Wood-Framed Construction</t>
  </si>
  <si>
    <t>3.1.6</t>
  </si>
  <si>
    <t>Below Grade Walls - Final Inspection</t>
  </si>
  <si>
    <t>ABOVE GRADE WALLS</t>
  </si>
  <si>
    <t>3.2.1</t>
  </si>
  <si>
    <t>Above Grade Walls - Notes for Drawings and Specifications</t>
  </si>
  <si>
    <t>3.2.2</t>
  </si>
  <si>
    <t>Overall U-Value for Above Grade Walls</t>
  </si>
  <si>
    <t>3.2.3</t>
  </si>
  <si>
    <t>Overall U-Value for Floor Perimeter/Plan Edge</t>
  </si>
  <si>
    <t>3.2.4</t>
  </si>
  <si>
    <t>Above Grade Walls - Compliance Statement</t>
  </si>
  <si>
    <t>3.2.5</t>
  </si>
  <si>
    <t>Above Grade Walls - Insulation and Initial Framing Inspection</t>
  </si>
  <si>
    <t>3.2.6</t>
  </si>
  <si>
    <t>Above Grade Walls - Floor Perimeter/Plank Edge - Insulation and Framing Inspection</t>
  </si>
  <si>
    <t>3.2.7</t>
  </si>
  <si>
    <t>Above Grade Walls - Continuous Insulation Requirements</t>
  </si>
  <si>
    <t>3.2.8</t>
  </si>
  <si>
    <t>Above Grade Walls - Wood-Framed Construction</t>
  </si>
  <si>
    <t>3.2.9</t>
  </si>
  <si>
    <t>Above Grade Walls - Final Inspection</t>
  </si>
  <si>
    <t>ROOF</t>
  </si>
  <si>
    <t>3.3.1</t>
  </si>
  <si>
    <t>Roof - Notes for Drawings and Specifications</t>
  </si>
  <si>
    <t>3.3.2</t>
  </si>
  <si>
    <t>Overall U-Value for Roofs</t>
  </si>
  <si>
    <t>3.3.3</t>
  </si>
  <si>
    <t>Roof - Compliance Statement</t>
  </si>
  <si>
    <t>3.3.4</t>
  </si>
  <si>
    <t>Roof - Insulation and Initial Framing Inspection</t>
  </si>
  <si>
    <t>3.3.5</t>
  </si>
  <si>
    <t>Wood-Framed Construction</t>
  </si>
  <si>
    <t>3.3.6</t>
  </si>
  <si>
    <t>FLOORS</t>
  </si>
  <si>
    <t>3.4.1</t>
  </si>
  <si>
    <t>Floor - Notes for Drawings and Specifications</t>
  </si>
  <si>
    <t>3.4.2</t>
  </si>
  <si>
    <t>Overall U-Value for Floors Over Conditioned Spaces</t>
  </si>
  <si>
    <t>3.4.3</t>
  </si>
  <si>
    <t>Overall U-Value for Below Grade Slab Floors</t>
  </si>
  <si>
    <t>3.4.4</t>
  </si>
  <si>
    <t>Overall U-Value for Slab-On-Grade (unheated only) Floors</t>
  </si>
  <si>
    <t>3.4.5</t>
  </si>
  <si>
    <t>Overall U-Value for Slab-On-Grade (embedded only) Floors</t>
  </si>
  <si>
    <t>3.4.6</t>
  </si>
  <si>
    <t>Floors - Compliance Statement</t>
  </si>
  <si>
    <t>3.4.7</t>
  </si>
  <si>
    <t>Floor Insulation Above Unconditioned Space - Insulation and Initial Framing Inspection</t>
  </si>
  <si>
    <t>3.4.8</t>
  </si>
  <si>
    <t>Below Grade Slab Floor- Insulation Inspection</t>
  </si>
  <si>
    <t>3.4.9</t>
  </si>
  <si>
    <t>Slab-on-Grade (unheated) - Insulation Inspection</t>
  </si>
  <si>
    <t>3.4.10</t>
  </si>
  <si>
    <t>Slab-on-Grade (embedded heated only) - Insulation Inspection</t>
  </si>
  <si>
    <t>3.4.11</t>
  </si>
  <si>
    <t>3.4.12</t>
  </si>
  <si>
    <t>WINDOWS</t>
  </si>
  <si>
    <t>3.5.1</t>
  </si>
  <si>
    <t>Windows - Notes for Drawings and Specifications</t>
  </si>
  <si>
    <t>3.5.2</t>
  </si>
  <si>
    <t>Windows - Compliance Statement</t>
  </si>
  <si>
    <t>3.5.3</t>
  </si>
  <si>
    <t>Window-to-Wall Ratio</t>
  </si>
  <si>
    <t>3.5.4</t>
  </si>
  <si>
    <t>Rough Openings</t>
  </si>
  <si>
    <t>3.5.5</t>
  </si>
  <si>
    <t>Window/Wall Mock Up</t>
  </si>
  <si>
    <t>3.5.6</t>
  </si>
  <si>
    <t>On-Going Site Inspections</t>
  </si>
  <si>
    <t>3.5.7</t>
  </si>
  <si>
    <t>Air Tightness</t>
  </si>
  <si>
    <t>3.5.8</t>
  </si>
  <si>
    <t>Windows - Manufacturer's Product Data</t>
  </si>
  <si>
    <t>3.5.9</t>
  </si>
  <si>
    <t>DOORS</t>
  </si>
  <si>
    <t>3.6.1</t>
  </si>
  <si>
    <t>Doors - Notes for Drawings and Specifications</t>
  </si>
  <si>
    <t>3.6.2</t>
  </si>
  <si>
    <t>Exterior Doors - Compliance Statement</t>
  </si>
  <si>
    <t>3.6.3</t>
  </si>
  <si>
    <t>Vestibules and Entryways</t>
  </si>
  <si>
    <t>3.6.4</t>
  </si>
  <si>
    <t>Operation and Fit</t>
  </si>
  <si>
    <t>3.6.5</t>
  </si>
  <si>
    <t>Weather-Stripping</t>
  </si>
  <si>
    <t>3.6.6</t>
  </si>
  <si>
    <t>Smoke Testing</t>
  </si>
  <si>
    <t>3.6.7</t>
  </si>
  <si>
    <t xml:space="preserve">GARAGES </t>
  </si>
  <si>
    <t>4.1.1</t>
  </si>
  <si>
    <t>Garage Heating and Compartmentalization - Notes for Drawings and Specifications</t>
  </si>
  <si>
    <t>4.1.2</t>
  </si>
  <si>
    <t>Garage Heating</t>
  </si>
  <si>
    <t>Garage Freeze Protection</t>
  </si>
  <si>
    <t>4.1.3</t>
  </si>
  <si>
    <t>Garage Compartmentalization</t>
  </si>
  <si>
    <t>4.1.4</t>
  </si>
  <si>
    <t>4.1.5</t>
  </si>
  <si>
    <t>Doors Between Garage and Building</t>
  </si>
  <si>
    <t>HEATING</t>
  </si>
  <si>
    <t>5.1.1</t>
  </si>
  <si>
    <t>5.1.2</t>
  </si>
  <si>
    <t>5.1.3</t>
  </si>
  <si>
    <t>5.1.4</t>
  </si>
  <si>
    <t>Heating Terminal Units - Electric Resistance or Freeze Protection</t>
  </si>
  <si>
    <t>5.1.6</t>
  </si>
  <si>
    <t>5.1.7</t>
  </si>
  <si>
    <t>BOILER CONFIGURATION AND HYDRONIC DISTRIBUTION</t>
  </si>
  <si>
    <t>5.2.1</t>
  </si>
  <si>
    <t>Space Heating Central Plant - Boiler room location and venting</t>
  </si>
  <si>
    <t>5.2.2</t>
  </si>
  <si>
    <t>Space Heating - Insulation for Piping</t>
  </si>
  <si>
    <t>5.2.3</t>
  </si>
  <si>
    <t>Heating Distribution - Piping Configuration</t>
  </si>
  <si>
    <t>5.2.4</t>
  </si>
  <si>
    <t>Heating Distribution - Pump Sizing</t>
  </si>
  <si>
    <t>5.2.5</t>
  </si>
  <si>
    <t>Heating Distribution - Pressure Control Set-points</t>
  </si>
  <si>
    <t>5.2.6</t>
  </si>
  <si>
    <t>Heating Terminal Units - Thermostatic Controls</t>
  </si>
  <si>
    <t>ALL FORCED AIR HEATING SYSTEMS (Including Heat Pumps where applicable)</t>
  </si>
  <si>
    <t>5.3.1</t>
  </si>
  <si>
    <t>Heating Distribution - Outdoor Air Damper</t>
  </si>
  <si>
    <t>5.3.2</t>
  </si>
  <si>
    <t>Heating Distribution - Flex Duct Installation</t>
  </si>
  <si>
    <t>5.3.3</t>
  </si>
  <si>
    <t>Heating Distribution - Duct Insulation</t>
  </si>
  <si>
    <t>5.3.4</t>
  </si>
  <si>
    <t>Heating Distribution - Duct Sealing Details</t>
  </si>
  <si>
    <t>5.3.5</t>
  </si>
  <si>
    <t>Heating System - Combustion Venting</t>
  </si>
  <si>
    <t>5.3.6</t>
  </si>
  <si>
    <t>Heating System - Refrigerant Charge, Airflow and Nameplate Data</t>
  </si>
  <si>
    <t>IN-UNIT FORCED AIR HEATING SYSTEMS</t>
  </si>
  <si>
    <t>5.4.1</t>
  </si>
  <si>
    <t>Heating Distribution - In-Unit Duct Sizing</t>
  </si>
  <si>
    <t>5.4.2</t>
  </si>
  <si>
    <t>Heating Distribution - In-Unit Pressure Balancing</t>
  </si>
  <si>
    <t>5.4.3</t>
  </si>
  <si>
    <t>Heating Distribution - In-Unit Duct Leakage Testing</t>
  </si>
  <si>
    <t>5.4.4</t>
  </si>
  <si>
    <t>Heating Distribution - HVAC Contractor Checklist</t>
  </si>
  <si>
    <t>HEATING SYSTEMS MISC</t>
  </si>
  <si>
    <t>5.5.1</t>
  </si>
  <si>
    <t>Heating Distribution - Thermostat</t>
  </si>
  <si>
    <t>5.5.2</t>
  </si>
  <si>
    <t>Space Heating - Training and Manuals</t>
  </si>
  <si>
    <t>5.5.3</t>
  </si>
  <si>
    <t>Space Heating - Manufacturer's Product Data</t>
  </si>
  <si>
    <t>5.5.4</t>
  </si>
  <si>
    <t>COOLING</t>
  </si>
  <si>
    <t>5.6.1</t>
  </si>
  <si>
    <t>5.6.2</t>
  </si>
  <si>
    <t>Space Cooling  - Sizing</t>
  </si>
  <si>
    <t>5.6.3</t>
  </si>
  <si>
    <t>Space Cooling  - Type and Efficiency</t>
  </si>
  <si>
    <t>5.6.5</t>
  </si>
  <si>
    <t>Space Cooling  - Controls</t>
  </si>
  <si>
    <t>CHILLED WATER AND CONDENSER WATER SYSTEMS</t>
  </si>
  <si>
    <t>5.7.1</t>
  </si>
  <si>
    <t>Cooling Distribution - Piping Configuration</t>
  </si>
  <si>
    <t>5.7.2</t>
  </si>
  <si>
    <t>Cooling Distribution - Pump Sizing</t>
  </si>
  <si>
    <t>5.7.3</t>
  </si>
  <si>
    <t>Cooling Distribution - Pressure Control Set-points</t>
  </si>
  <si>
    <t>5.7.4</t>
  </si>
  <si>
    <t>Cooling Distribution - Pipe Insulation</t>
  </si>
  <si>
    <t>5.7.5</t>
  </si>
  <si>
    <t>Cooling Terminal Units - Thermostatic Controls</t>
  </si>
  <si>
    <t>5.7.6</t>
  </si>
  <si>
    <t>Cooling System - Airflow and Nameplate Data</t>
  </si>
  <si>
    <t>ALL FORCED AIR COOLING SYSTEMS (Including heat pumps, split system ACs, PTACs and room ACs where applicable)</t>
  </si>
  <si>
    <t>5.8.1</t>
  </si>
  <si>
    <t>Cooling Distribution System - In-Unit Duct Sizing</t>
  </si>
  <si>
    <t>5.8.2</t>
  </si>
  <si>
    <t>Cooling Distribution System - In-Unit Pressure Balancing</t>
  </si>
  <si>
    <t>5.8.3</t>
  </si>
  <si>
    <t>Cooling Distribution - Duct Insulation</t>
  </si>
  <si>
    <t>5.8.4</t>
  </si>
  <si>
    <t>Cooling System - Outdoor Air Damper</t>
  </si>
  <si>
    <t>5.8.5</t>
  </si>
  <si>
    <t>Cooling Distribution - Duct Sealing Details</t>
  </si>
  <si>
    <t>5.8.6</t>
  </si>
  <si>
    <t>Cooling Distribution - Flex Duct Installation</t>
  </si>
  <si>
    <t>5.8.7</t>
  </si>
  <si>
    <t>Cooling Distribution - In-Unit Duct Leakage Testing</t>
  </si>
  <si>
    <t>5.8.8</t>
  </si>
  <si>
    <t>Cooling System - HVAC Contractor Checklist</t>
  </si>
  <si>
    <t>5.8.9</t>
  </si>
  <si>
    <t>Cooling System - Refrigerant Charge, Airflow and Nameplate Data</t>
  </si>
  <si>
    <t>COOLING SYSTEMS MISC</t>
  </si>
  <si>
    <t>5.9.1</t>
  </si>
  <si>
    <t>Cooling - A/C Sleeves</t>
  </si>
  <si>
    <t>5.9.2</t>
  </si>
  <si>
    <t>Cooling Distribution - Thermostat</t>
  </si>
  <si>
    <t>5.9.3</t>
  </si>
  <si>
    <t>Cooling - Training and Manuals</t>
  </si>
  <si>
    <t>5.9.4</t>
  </si>
  <si>
    <t>Cooling - Manufacturer's Product Data</t>
  </si>
  <si>
    <t>5.9.5</t>
  </si>
  <si>
    <t>LIGHTING</t>
  </si>
  <si>
    <t>6.1.1</t>
  </si>
  <si>
    <t>6.1.2</t>
  </si>
  <si>
    <t>6.1.3</t>
  </si>
  <si>
    <t>6.1.4</t>
  </si>
  <si>
    <t>Lighting Power Density</t>
  </si>
  <si>
    <t>6.1.5</t>
  </si>
  <si>
    <t>Lighting Controls - Verification</t>
  </si>
  <si>
    <t>6.1.6</t>
  </si>
  <si>
    <t>Common Area Lighting - ENERGY STAR</t>
  </si>
  <si>
    <t>6.1.7</t>
  </si>
  <si>
    <t>Common Area Lighting - LPD</t>
  </si>
  <si>
    <t>6.1.8</t>
  </si>
  <si>
    <t>Emergency Lighting - Exit Signs</t>
  </si>
  <si>
    <t>6.1.9</t>
  </si>
  <si>
    <t>Exterior Lighting - Controls</t>
  </si>
  <si>
    <t>6.1.10</t>
  </si>
  <si>
    <t>Exterior Lighting - ENERGY STAR</t>
  </si>
  <si>
    <r>
      <t xml:space="preserve">Exterior Lighting - LPD </t>
    </r>
    <r>
      <rPr>
        <b/>
        <i/>
        <sz val="14"/>
        <rFont val="Arial"/>
        <family val="2"/>
      </rPr>
      <t>(Prescriptive Path)</t>
    </r>
  </si>
  <si>
    <t xml:space="preserve">In-Unit Lighting  </t>
  </si>
  <si>
    <t>INSPECTION ONLY</t>
  </si>
  <si>
    <t>6.2.1</t>
  </si>
  <si>
    <t>Lighting - Ballasts</t>
  </si>
  <si>
    <t>6.2.2</t>
  </si>
  <si>
    <t>Lighting - Statement of Substantial Completion - Non 24/7 Spaces</t>
  </si>
  <si>
    <t>MOTORS</t>
  </si>
  <si>
    <t>7.1.1</t>
  </si>
  <si>
    <t>Motors - Notes for Drawings and Specifications</t>
  </si>
  <si>
    <t>7.1.3</t>
  </si>
  <si>
    <t>Heating Distribution - Motors</t>
  </si>
  <si>
    <t>7.1.4</t>
  </si>
  <si>
    <t>Cooling Distribution - Motors</t>
  </si>
  <si>
    <t>7.1.5</t>
  </si>
  <si>
    <t>DHW Distribution - Motors</t>
  </si>
  <si>
    <t>7.1.6</t>
  </si>
  <si>
    <t>Motors- Manufacturer's Product Data</t>
  </si>
  <si>
    <t>7.1.7</t>
  </si>
  <si>
    <t>Heating and DHW - Training and Manuals</t>
  </si>
  <si>
    <t>7.1.8</t>
  </si>
  <si>
    <t>INFILTRATION</t>
  </si>
  <si>
    <t>EXTERIOR AIR BARRIERS</t>
  </si>
  <si>
    <t>8.1.1</t>
  </si>
  <si>
    <t>General Exterior Enclosure - Notes for Drawings and Specifications</t>
  </si>
  <si>
    <t>8.1.2</t>
  </si>
  <si>
    <t>Exterior Enclosure Air Barriers - Notes for Drawings and Specifications</t>
  </si>
  <si>
    <t>8.1.3</t>
  </si>
  <si>
    <t>Exterior Air Barrier - Compliance Statement</t>
  </si>
  <si>
    <t>8.1.4</t>
  </si>
  <si>
    <t>8.1.5</t>
  </si>
  <si>
    <r>
      <t>Masonry Wall Preparation</t>
    </r>
    <r>
      <rPr>
        <sz val="10"/>
        <rFont val="Arial"/>
        <family val="2"/>
      </rPr>
      <t/>
    </r>
  </si>
  <si>
    <t>8.1.6</t>
  </si>
  <si>
    <r>
      <t>Gypsum Sheathing Wall Preparation</t>
    </r>
    <r>
      <rPr>
        <sz val="10"/>
        <rFont val="Arial"/>
        <family val="2"/>
      </rPr>
      <t/>
    </r>
  </si>
  <si>
    <t>8.1.7</t>
  </si>
  <si>
    <r>
      <t>General Coverage - Liquid Membrane</t>
    </r>
    <r>
      <rPr>
        <sz val="10"/>
        <rFont val="Arial"/>
        <family val="2"/>
      </rPr>
      <t/>
    </r>
  </si>
  <si>
    <t>8.1.8</t>
  </si>
  <si>
    <t>General Coverage at Adjacent Building Conditions - Liquid Membrane</t>
  </si>
  <si>
    <t>8.1.9</t>
  </si>
  <si>
    <t>General Coverage / Transition Membrane - Seams</t>
  </si>
  <si>
    <t>8.1.10</t>
  </si>
  <si>
    <t>Air Barrier Penetrations</t>
  </si>
  <si>
    <t>8.1.11</t>
  </si>
  <si>
    <r>
      <t>Rough Openings (Concrete Masonry Construction) - Windows and Doors</t>
    </r>
    <r>
      <rPr>
        <sz val="10"/>
        <rFont val="Arial"/>
        <family val="2"/>
      </rPr>
      <t/>
    </r>
  </si>
  <si>
    <t>8.1.12</t>
  </si>
  <si>
    <t>Rough Openings (Steel Stud Construction) - Windows and Doors</t>
  </si>
  <si>
    <t>8.1.13</t>
  </si>
  <si>
    <r>
      <t>Rough Openings - Pipes, Conduits, Ducts, Etc</t>
    </r>
    <r>
      <rPr>
        <sz val="10"/>
        <rFont val="Arial"/>
        <family val="2"/>
      </rPr>
      <t/>
    </r>
  </si>
  <si>
    <t>8.1.14</t>
  </si>
  <si>
    <r>
      <t>Rough Openings - Cast Stone Sills</t>
    </r>
    <r>
      <rPr>
        <sz val="10"/>
        <rFont val="Arial"/>
        <family val="2"/>
      </rPr>
      <t/>
    </r>
  </si>
  <si>
    <t>8.1.15</t>
  </si>
  <si>
    <t>Rough Openings - Gap at Window Frame</t>
  </si>
  <si>
    <t>8.1.16</t>
  </si>
  <si>
    <t>Rough Openings - Gap at Door Frame</t>
  </si>
  <si>
    <t>8.1.17</t>
  </si>
  <si>
    <t>Rough Openings - A/C Sleeves</t>
  </si>
  <si>
    <t>8.1.18</t>
  </si>
  <si>
    <t>Plank Edges (Steel Stud Construction) - At plank / exterior sheathing joint</t>
  </si>
  <si>
    <t>8.1.19</t>
  </si>
  <si>
    <t>Plank Edges (Concrete Masonry Construction) -
At plank / CMU joint</t>
  </si>
  <si>
    <t>8.1.20</t>
  </si>
  <si>
    <t>Plank Edges - At plank / steel girder joint</t>
  </si>
  <si>
    <t>8.1.21</t>
  </si>
  <si>
    <t>Steel Columns - Steel / CMU joints</t>
  </si>
  <si>
    <t>8.1.22</t>
  </si>
  <si>
    <t>Wall to Roof Connections</t>
  </si>
  <si>
    <t>8.1.23</t>
  </si>
  <si>
    <t>Transition between foundations and walls</t>
  </si>
  <si>
    <t>8.1.24</t>
  </si>
  <si>
    <t>Transition between one wall type and another</t>
  </si>
  <si>
    <t>8.1.25</t>
  </si>
  <si>
    <t xml:space="preserve">Transition at inside and outside corners
</t>
  </si>
  <si>
    <t>8.1.26</t>
  </si>
  <si>
    <t xml:space="preserve">Transition between exterior enclosure and interior walls, floors and ceilings that bound non-conditioned spaces </t>
  </si>
  <si>
    <t>8.1.27</t>
  </si>
  <si>
    <t>COMPARTMENTALIZATION - VISUAL INSPECTION</t>
  </si>
  <si>
    <t>8.2.1</t>
  </si>
  <si>
    <t>Compartmentalization - Notes for Drawings and Specifications</t>
  </si>
  <si>
    <t>8.2.2</t>
  </si>
  <si>
    <t>Compartmentalization Visual Inspection - General</t>
  </si>
  <si>
    <t>8.2.3</t>
  </si>
  <si>
    <t>Sample Unit - Visual Inspection</t>
  </si>
  <si>
    <t>8.2.4</t>
  </si>
  <si>
    <t>Inspect framing layout</t>
  </si>
  <si>
    <t>8.2.5</t>
  </si>
  <si>
    <t xml:space="preserve">Gypsum board to concrete floor plank connection </t>
  </si>
  <si>
    <t>8.2.6</t>
  </si>
  <si>
    <t>Gypsum board to concrete ceiling plank connection</t>
  </si>
  <si>
    <t>8.2.7</t>
  </si>
  <si>
    <t>Window to interior gypsum board</t>
  </si>
  <si>
    <t>8.2.8</t>
  </si>
  <si>
    <r>
      <t>A/C Sleeve Cover (if A/Cs provided by building)</t>
    </r>
    <r>
      <rPr>
        <sz val="10"/>
        <rFont val="Arial"/>
        <family val="2"/>
      </rPr>
      <t/>
    </r>
  </si>
  <si>
    <t>8.2.9</t>
  </si>
  <si>
    <t>Air conditioner sleeve sealed to drywall</t>
  </si>
  <si>
    <t>8.2.10</t>
  </si>
  <si>
    <t>Outlet/Electrical Box - Exterior and Demising Walls</t>
  </si>
  <si>
    <t>8.2.11</t>
  </si>
  <si>
    <t>Heating pipe penetrations through exterior walls</t>
  </si>
  <si>
    <t>8.2.12</t>
  </si>
  <si>
    <t>Heating pipe penetrations through interior partitions</t>
  </si>
  <si>
    <t>8.2.13</t>
  </si>
  <si>
    <t>Plumbing / Sprinkler Pipe Penetrations</t>
  </si>
  <si>
    <t>8.2.14</t>
  </si>
  <si>
    <t>Range Gas Line Penetration</t>
  </si>
  <si>
    <t>8.2.15</t>
  </si>
  <si>
    <t>Gap between take off duct and gypsum board</t>
  </si>
  <si>
    <t>8.2.16</t>
  </si>
  <si>
    <t>Electrical Panel</t>
  </si>
  <si>
    <t>8.2.17</t>
  </si>
  <si>
    <t>HVAC Access Doors</t>
  </si>
  <si>
    <t>8.2.18</t>
  </si>
  <si>
    <t>Thermostats</t>
  </si>
  <si>
    <t>8.2.19</t>
  </si>
  <si>
    <t>Intercoms</t>
  </si>
  <si>
    <t>8.2.20</t>
  </si>
  <si>
    <t>Lighting Fixtures</t>
  </si>
  <si>
    <t>8.2.21</t>
  </si>
  <si>
    <t>Door Latch Hole</t>
  </si>
  <si>
    <t>8.2.22</t>
  </si>
  <si>
    <t>Medicine Cabinet</t>
  </si>
  <si>
    <t>8.2.23</t>
  </si>
  <si>
    <t>BLOWER DOOR TESTING</t>
  </si>
  <si>
    <t>8.3.1</t>
  </si>
  <si>
    <t>Blower Door Test - Notes for Drawings and Specifications</t>
  </si>
  <si>
    <t>8.3.2</t>
  </si>
  <si>
    <t>Blower Door Test - Compliance Statement</t>
  </si>
  <si>
    <t>8.3.3</t>
  </si>
  <si>
    <t>8.3.4</t>
  </si>
  <si>
    <t>Final Verification Testing</t>
  </si>
  <si>
    <t>8.3.5</t>
  </si>
  <si>
    <t>Fan Pressure Testing Method</t>
  </si>
  <si>
    <t>8.5.1</t>
  </si>
  <si>
    <t>Ventilation - Notes for Drawings and Specifications</t>
  </si>
  <si>
    <t>8.5.2</t>
  </si>
  <si>
    <r>
      <t xml:space="preserve">Ventilation </t>
    </r>
    <r>
      <rPr>
        <b/>
        <i/>
        <sz val="14"/>
        <rFont val="Arial"/>
        <family val="2"/>
      </rPr>
      <t xml:space="preserve">Prescriptive Path </t>
    </r>
    <r>
      <rPr>
        <b/>
        <sz val="14"/>
        <rFont val="Arial"/>
        <family val="2"/>
      </rPr>
      <t>- Notes for Drawings and Specifications</t>
    </r>
  </si>
  <si>
    <t>8.5.3</t>
  </si>
  <si>
    <t>Garage Ventilation - Notes for Drawings and Specifications</t>
  </si>
  <si>
    <t>COMPLIANCE STATEMENT</t>
  </si>
  <si>
    <t>8.6.1</t>
  </si>
  <si>
    <t>MODELING INPUTS - SIZING AND BALANCING</t>
  </si>
  <si>
    <t>8.6.2</t>
  </si>
  <si>
    <t>Non - Apartment Fan Efficiency</t>
  </si>
  <si>
    <t>8.6.3</t>
  </si>
  <si>
    <t>Apartment Fan Efficiency (Roof)</t>
  </si>
  <si>
    <t>8.6.4</t>
  </si>
  <si>
    <t>Apartment Fan Efficiency (In-Unit)</t>
  </si>
  <si>
    <t>8.6.5</t>
  </si>
  <si>
    <t>8.6.6</t>
  </si>
  <si>
    <t>Demand Controls</t>
  </si>
  <si>
    <t>8.6.7</t>
  </si>
  <si>
    <t>Heat Recovery</t>
  </si>
  <si>
    <t>GARAGE VENTILATION</t>
  </si>
  <si>
    <t>8.7.2</t>
  </si>
  <si>
    <t>Test Sensor Operation</t>
  </si>
  <si>
    <t>8.7.3</t>
  </si>
  <si>
    <t>CO Sensor Locations</t>
  </si>
  <si>
    <t>8.7.4</t>
  </si>
  <si>
    <t>Garage Fan and CO Sensor - Manufacturer's Product Data</t>
  </si>
  <si>
    <t>VENTILATION MISC</t>
  </si>
  <si>
    <t>8.8.1</t>
  </si>
  <si>
    <t>Toilet, Kitchen, General Exhaust Grilles and Corridor Supply Ventilation Grilles</t>
  </si>
  <si>
    <t>8.8.2</t>
  </si>
  <si>
    <t>8.8.3</t>
  </si>
  <si>
    <t>8.8.4</t>
  </si>
  <si>
    <t>Common Area Supply Ventilation - Outdoor Air Damper</t>
  </si>
  <si>
    <t>8.8.5</t>
  </si>
  <si>
    <t>Smoke Vents</t>
  </si>
  <si>
    <t>8.8.6</t>
  </si>
  <si>
    <t>Passive Intake Systems (Trickle Vents)</t>
  </si>
  <si>
    <t>8.8.7</t>
  </si>
  <si>
    <t>Ventilation - Manufacturer's Product Data</t>
  </si>
  <si>
    <t>8.8.8</t>
  </si>
  <si>
    <t>Ventilation - Training and Manuals</t>
  </si>
  <si>
    <t>8.8.9</t>
  </si>
  <si>
    <t>DUCT TIGHTNESS</t>
  </si>
  <si>
    <t>8.9.1</t>
  </si>
  <si>
    <t>Duct Tightness - Notes for Drawings and Specifications</t>
  </si>
  <si>
    <t>8.9.2</t>
  </si>
  <si>
    <t>Duct Tightness - Compliance Statement</t>
  </si>
  <si>
    <t>8.9.3</t>
  </si>
  <si>
    <t>Duct Tightness - Roof Curbs</t>
  </si>
  <si>
    <t>8.9.4</t>
  </si>
  <si>
    <t>8.9.5</t>
  </si>
  <si>
    <t>Roof Curb (Central)</t>
  </si>
  <si>
    <t>8.9.6</t>
  </si>
  <si>
    <t>Transverse Joints (Central and Through Wall)</t>
  </si>
  <si>
    <t>8.9.7</t>
  </si>
  <si>
    <t>Transitions (Central and Through Wall)</t>
  </si>
  <si>
    <t>8.9.8</t>
  </si>
  <si>
    <t>Pinned Ducts  (Central and Through Wall)</t>
  </si>
  <si>
    <t>8.9.9</t>
  </si>
  <si>
    <t>Elbow Joints (Round Duct Work)</t>
  </si>
  <si>
    <t>8.9.10</t>
  </si>
  <si>
    <t>Exterior Wall Connection  (Through Wall)</t>
  </si>
  <si>
    <t>8.9.11</t>
  </si>
  <si>
    <t>METERS</t>
  </si>
  <si>
    <t>9.1.1</t>
  </si>
  <si>
    <t>Location - Residential</t>
  </si>
  <si>
    <t>9.1.2</t>
  </si>
  <si>
    <t>Location - Non Residential</t>
  </si>
  <si>
    <t>9.1.3</t>
  </si>
  <si>
    <t>Type</t>
  </si>
  <si>
    <t>9.1.4</t>
  </si>
  <si>
    <t>Configuration</t>
  </si>
  <si>
    <t>9.1.5</t>
  </si>
  <si>
    <t>Utility Release Forms</t>
  </si>
  <si>
    <t>9.1.6</t>
  </si>
  <si>
    <t>TOC</t>
  </si>
  <si>
    <t>MULTIFAMILY PERFORMANCE PROGRAM</t>
  </si>
  <si>
    <t>APPLIANCES - PROTOCOL 1.1</t>
  </si>
  <si>
    <t>Date:</t>
  </si>
  <si>
    <t>Field Verified By:</t>
  </si>
  <si>
    <t>MM/DD/YY</t>
  </si>
  <si>
    <t>Schedule:</t>
  </si>
  <si>
    <t xml:space="preserve">2) Minimum of one on-site inspection required, preferably immediately after installation so that corrective action can be taken if necessary.  Delivery tickets may be used to verify complete shipments but on-site inspections of a sample of installed appliances is required.
</t>
  </si>
  <si>
    <t>Equipment Needed</t>
  </si>
  <si>
    <t>1) Camera</t>
  </si>
  <si>
    <t>2) Installation Schedule</t>
  </si>
  <si>
    <t>3) Floor Plans</t>
  </si>
  <si>
    <t>Sampling Requirements:</t>
  </si>
  <si>
    <r>
      <t xml:space="preserve">1) For spaces containing appliances, follow the modified RESNET sampling protocol outlined in the </t>
    </r>
    <r>
      <rPr>
        <i/>
        <sz val="10"/>
        <rFont val="Arial"/>
        <family val="2"/>
      </rPr>
      <t>How to Use this Manual</t>
    </r>
    <r>
      <rPr>
        <sz val="11"/>
        <color theme="1"/>
        <rFont val="Calibri"/>
        <family val="2"/>
        <scheme val="minor"/>
      </rPr>
      <t xml:space="preserve"> section of the </t>
    </r>
    <r>
      <rPr>
        <i/>
        <sz val="10"/>
        <rFont val="Arial"/>
        <family val="2"/>
      </rPr>
      <t>Testing and Verification Protocols</t>
    </r>
    <r>
      <rPr>
        <sz val="11"/>
        <color theme="1"/>
        <rFont val="Calibri"/>
        <family val="2"/>
        <scheme val="minor"/>
      </rPr>
      <t>.</t>
    </r>
  </si>
  <si>
    <t xml:space="preserve">2) For buildings with common laundry rooms, RESNET sampling protocols are modified to require inspection of all the clothes washers in at least one (1) laundry room. </t>
  </si>
  <si>
    <t>3) *PHOTOS REQUIRED*</t>
  </si>
  <si>
    <t xml:space="preserve">- Photograph one (1) representative appliance faceplate of each type of appliance being inspected.  </t>
  </si>
  <si>
    <t>NOTES FOR DRAWINGS AND SPECIFICATIONS</t>
  </si>
  <si>
    <t>PATH REQUIREMENT</t>
  </si>
  <si>
    <t>PROPOSED 
ERM</t>
  </si>
  <si>
    <t>MFR</t>
  </si>
  <si>
    <t>MODEL #</t>
  </si>
  <si>
    <t>QUANTITY</t>
  </si>
  <si>
    <t>LOCATION</t>
  </si>
  <si>
    <r>
      <t xml:space="preserve">ENERGY STAR
</t>
    </r>
    <r>
      <rPr>
        <sz val="10"/>
        <rFont val="Arial"/>
        <family val="2"/>
      </rPr>
      <t>(Yes/No)</t>
    </r>
  </si>
  <si>
    <t>PLAN REVIEW COMMENTS</t>
  </si>
  <si>
    <r>
      <t xml:space="preserve">LOCATION
</t>
    </r>
    <r>
      <rPr>
        <sz val="10"/>
        <rFont val="Arial"/>
        <family val="2"/>
      </rPr>
      <t>(dwg/spec)</t>
    </r>
  </si>
  <si>
    <t>PLAN REVIEW</t>
  </si>
  <si>
    <t>INSPECTION</t>
  </si>
  <si>
    <r>
      <t xml:space="preserve">INSPECTION COMMENTS 
</t>
    </r>
    <r>
      <rPr>
        <sz val="10"/>
        <rFont val="Arial"/>
        <family val="2"/>
      </rPr>
      <t>(Problems, sample details/apt #s, etc.)</t>
    </r>
  </si>
  <si>
    <t>Clothes Washers</t>
  </si>
  <si>
    <t>PROTOCOL</t>
  </si>
  <si>
    <r>
      <rPr>
        <b/>
        <sz val="10"/>
        <rFont val="Arial"/>
        <family val="2"/>
      </rPr>
      <t xml:space="preserve">Dryers
</t>
    </r>
    <r>
      <rPr>
        <sz val="10"/>
        <rFont val="Arial"/>
        <family val="2"/>
      </rPr>
      <t>• E</t>
    </r>
    <r>
      <rPr>
        <sz val="10"/>
        <rFont val="Arial"/>
        <family val="2"/>
      </rPr>
      <t>lectric or Gas</t>
    </r>
  </si>
  <si>
    <r>
      <rPr>
        <b/>
        <sz val="10"/>
        <rFont val="Arial"/>
        <family val="2"/>
      </rPr>
      <t xml:space="preserve">Statement of Substantial Completion
</t>
    </r>
    <r>
      <rPr>
        <sz val="10"/>
        <rFont val="Arial"/>
        <family val="2"/>
      </rPr>
      <t xml:space="preserve">• A Statement of Substantial Completion or approved proxy may be used to establish completion of the work associated with this protocol. A Statement of Substantial Completion is to be completed by the installation contractor or other qualified representative on company letterhead, complete with all information, photographs, cut sheets, etc., required in this protocol and in the corresponding </t>
    </r>
    <r>
      <rPr>
        <i/>
        <sz val="10"/>
        <rFont val="Arial"/>
        <family val="2"/>
      </rPr>
      <t>T&amp;V Worksheet.</t>
    </r>
  </si>
  <si>
    <t>HVAC - DHW SYSTEMS - PROTOCOL 2.1, 2.2</t>
  </si>
  <si>
    <t>1) The quality assurance and verification procedures occur during the pre-construction, construction, and post-construction phases of system installation.  Refer to the appropriate standards (eg. NFPA) to determine exact timing of inspections.</t>
  </si>
  <si>
    <t>2) Commissioning of the system occurs during pre-construction and construction phases of installation. Inspection, testing, and final commissioning are conducted during the turn over/accpetance phase of the installation of the system.</t>
  </si>
  <si>
    <t xml:space="preserve">3) Training shall occur following installation of the system and completion of all quality assurance and verification procedures.  
</t>
  </si>
  <si>
    <t xml:space="preserve">5) Minimum of one (1) on-site inspection required, preferably immediately after installation so that corrective action can be taken if necessary.  Delivery tickets may be used to verify complete shipments but on-site inspections of a sample of installed plumbing fixtures is required.
</t>
  </si>
  <si>
    <t>1) Mechanical Schedule and Floor Plans</t>
  </si>
  <si>
    <t>2) Camera</t>
  </si>
  <si>
    <t xml:space="preserve">1)  100% of centralized primary equipment (i.e. DHW plants) shall be inspected in the quality assurance and verification process.  </t>
  </si>
  <si>
    <r>
      <t xml:space="preserve">2)  Individual spaces or apartments containing electric or fossil-fuel DHW systems shall be inspected and tested following the modified RESNET sampling protocol outlined in the </t>
    </r>
    <r>
      <rPr>
        <i/>
        <sz val="10"/>
        <rFont val="Arial"/>
        <family val="2"/>
      </rPr>
      <t>How to Use this Manual</t>
    </r>
    <r>
      <rPr>
        <sz val="10"/>
        <rFont val="Arial"/>
        <family val="2"/>
      </rPr>
      <t xml:space="preserve"> section on page 11 of the </t>
    </r>
    <r>
      <rPr>
        <i/>
        <sz val="10"/>
        <rFont val="Arial"/>
        <family val="2"/>
      </rPr>
      <t>T&amp;V Protocols</t>
    </r>
    <r>
      <rPr>
        <sz val="10"/>
        <rFont val="Arial"/>
        <family val="2"/>
      </rPr>
      <t xml:space="preserve">, including at least one of each unique type. </t>
    </r>
  </si>
  <si>
    <r>
      <t xml:space="preserve">3)  Spaces containing terminal devices (fan coils, PTHPS, unit heaters, VAV boxes) must be inspected following the modified RESNET sampling protocol outlined in the </t>
    </r>
    <r>
      <rPr>
        <i/>
        <sz val="10"/>
        <rFont val="Arial"/>
        <family val="2"/>
      </rPr>
      <t>How to Use this Manual</t>
    </r>
    <r>
      <rPr>
        <sz val="10"/>
        <rFont val="Arial"/>
        <family val="2"/>
      </rPr>
      <t xml:space="preserve"> section on page 11 of the </t>
    </r>
    <r>
      <rPr>
        <i/>
        <sz val="10"/>
        <rFont val="Arial"/>
        <family val="2"/>
      </rPr>
      <t>T&amp;V Protocols</t>
    </r>
    <r>
      <rPr>
        <sz val="10"/>
        <rFont val="Arial"/>
        <family val="2"/>
      </rPr>
      <t xml:space="preserve">, including at least one of each unique type. </t>
    </r>
  </si>
  <si>
    <t>-Provide photos of the domestic hot water system and faceplates to verify proper installation and compliance with proposed design.
-Photograph one (1) representative fixture of each type of plumbing fixture being inspected.</t>
  </si>
  <si>
    <t>ID</t>
  </si>
  <si>
    <t>DESCRIPTION</t>
  </si>
  <si>
    <r>
      <t xml:space="preserve">INPUT (BTU/H)
</t>
    </r>
    <r>
      <rPr>
        <b/>
        <i/>
        <sz val="10"/>
        <rFont val="Arial"/>
        <family val="2"/>
      </rPr>
      <t>(kW)</t>
    </r>
  </si>
  <si>
    <r>
      <t xml:space="preserve">OUTPUT (BTU/H)
</t>
    </r>
    <r>
      <rPr>
        <b/>
        <i/>
        <sz val="10"/>
        <rFont val="Arial"/>
        <family val="2"/>
      </rPr>
      <t>(kW)</t>
    </r>
  </si>
  <si>
    <t>EFFICIENCY</t>
  </si>
  <si>
    <r>
      <t>INSPECTION COMMENTS</t>
    </r>
    <r>
      <rPr>
        <sz val="11"/>
        <color theme="1"/>
        <rFont val="Calibri"/>
        <family val="2"/>
        <scheme val="minor"/>
      </rPr>
      <t xml:space="preserve"> 
Problems, sample details/apt #s, etc.</t>
    </r>
  </si>
  <si>
    <t>See below</t>
  </si>
  <si>
    <r>
      <t xml:space="preserve">DHW Central Plant - Boiler room location and venting
</t>
    </r>
    <r>
      <rPr>
        <sz val="10"/>
        <rFont val="Arial"/>
        <family val="2"/>
      </rPr>
      <t>• Verify location of domestic hot water systems (e.g., cellar or roof), combustion air venting configuration (e.g., combustion air piped to boilers, boiler room air used for combustion), and venting configuration (e.g., inducer fan specified and sequence of operation verified, if required).</t>
    </r>
  </si>
  <si>
    <r>
      <t>Statement of Substantial Completion - HVAC</t>
    </r>
    <r>
      <rPr>
        <sz val="10"/>
        <rFont val="Arial"/>
        <family val="2"/>
      </rPr>
      <t xml:space="preserve">
• A Statement of Substantial Completion or approved proxy may be used to establish completion of the work associated with this protocol. A Statement of Substantial Completion must be completed by a third-party qualified representative on company letter head, complete with all information, photographs, cut sheets, etc., required in this protocol and in the corresponding </t>
    </r>
    <r>
      <rPr>
        <i/>
        <sz val="10"/>
        <rFont val="Arial"/>
        <family val="2"/>
      </rPr>
      <t>T&amp;V Worksheet.</t>
    </r>
  </si>
  <si>
    <t>ENVELOPE - BELOW GRADE WALLS - PROTOCOL 3.1</t>
  </si>
  <si>
    <t>1) Inspections must take place during construction:  before pouring slab, before back-filling foundation walls, at framing (pre-insulation), post-insulation and pre-drywall, and post-completion.</t>
  </si>
  <si>
    <t>2) Inspections of interior and cavity insulation must take place during construction:  at framing pre-insulation, post-insulation and pre-drywall, and post-completion.</t>
  </si>
  <si>
    <t xml:space="preserve">3) Inspections of exterior insulation, air, vapor, and weather barrier systems must be completed prior to enclosure.
</t>
  </si>
  <si>
    <t>2) Measuring Tape or ruler</t>
  </si>
  <si>
    <t>Insulation Type</t>
  </si>
  <si>
    <t>Typical Thermal Resistance R-value per Inch</t>
  </si>
  <si>
    <t>Application</t>
  </si>
  <si>
    <t>3) Relevant Wall Sections and Details</t>
  </si>
  <si>
    <t>Extruded polystyrene (XPS)</t>
  </si>
  <si>
    <t>Walls, Roof, Slab</t>
  </si>
  <si>
    <t>4) Cellar Plan</t>
  </si>
  <si>
    <t>Extruded polystyrene Ultra (XPS Ultra)</t>
  </si>
  <si>
    <t>Walls</t>
  </si>
  <si>
    <t>Mineral Wool Batts</t>
  </si>
  <si>
    <t>Walls, Attic, Floor</t>
  </si>
  <si>
    <t>Fiberglass Batts</t>
  </si>
  <si>
    <r>
      <t xml:space="preserve">1) Each unique </t>
    </r>
    <r>
      <rPr>
        <sz val="10"/>
        <rFont val="Arial"/>
        <family val="2"/>
      </rPr>
      <t>assembly shall be inspected.  (For example:  If unique sections of the building are constructed differently, all distinct areas must be inspected independently; Also, if insulation specifications are different for living areas vs. common areas or other special use areas, each different specification shall be inspected independently.)</t>
    </r>
  </si>
  <si>
    <t>Low-Density Sprayed Polyurethane Foam; “½ pound foam” (e.g. Icynene)</t>
  </si>
  <si>
    <t>2) Sampling may be used to inspect wall assemblies that are consistent throughout large sections of the building.  Inspections done from the exterior shall sample at least 15% of each wall area.  For inspections done from interior spaces, follow the modified RESNET sampling protocol outlined in the How to Use this Manual section on page 11 of the T&amp;V Protocols, for each unique wall type.  In addition, the sample set must include, at a minimum, all unique assemblies.  If problems are found in the sample set, additional inspections must be conducted to determine the full extent of the problems and to ensure that repairs are completed in all areas of the building where they are needed.</t>
  </si>
  <si>
    <t>High-Density Sprayed Polyurethane Foam; “2 pound foam” (e.g. Corbond)</t>
  </si>
  <si>
    <t>5.0-7.0</t>
  </si>
  <si>
    <t>3) Documentation of post-repair conditions is required for correction of problems that represent large surface areas (greater than 50 square feet) and/or systemic problems (e.g. all corner units are insulated improperly).  On-site inspection to verify corrections is preferable, but if this is not possible/practical due to construction schedules, photographic documentation of repairs submitted to the responsible party by the GC are an acceptable alternative.</t>
  </si>
  <si>
    <t>Cellulose</t>
  </si>
  <si>
    <t>4) *PHOTOS REQUIRED*</t>
  </si>
  <si>
    <t>Polyisocyanurate (Polyiso)</t>
  </si>
  <si>
    <t xml:space="preserve">Walls, Roof </t>
  </si>
  <si>
    <t>- Photo clearly identifying type of insulation to be installed and thickness using measuring tape or ruler (can do each individual piece of insulation or entire assembly)
- Photo showing continuous insulation around sample corner and other challenging details
- Photo of pre-insulation showing application of water/vapor/air barrier
- Photo of post-installation</t>
  </si>
  <si>
    <t>Expanded Polystyrene (EPS)</t>
  </si>
  <si>
    <t>Walls, Roof</t>
  </si>
  <si>
    <r>
      <t xml:space="preserve">WALL TYPE:  </t>
    </r>
    <r>
      <rPr>
        <sz val="10"/>
        <rFont val="Arial"/>
        <family val="2"/>
      </rPr>
      <t>This section can be duplicated, copy and insert rows</t>
    </r>
  </si>
  <si>
    <r>
      <t xml:space="preserve">LOCATION
</t>
    </r>
    <r>
      <rPr>
        <sz val="10"/>
        <rFont val="Arial"/>
        <family val="2"/>
      </rPr>
      <t>dwg / spec</t>
    </r>
  </si>
  <si>
    <r>
      <t xml:space="preserve">INSPECTION COMMENTS 
</t>
    </r>
    <r>
      <rPr>
        <sz val="10"/>
        <rFont val="Arial"/>
        <family val="2"/>
      </rPr>
      <t>(P</t>
    </r>
    <r>
      <rPr>
        <sz val="10"/>
        <rFont val="Arial"/>
        <family val="2"/>
      </rPr>
      <t>roblems, sample details/apt #s, etc.)</t>
    </r>
  </si>
  <si>
    <t>BG WALL ASSEMBLY 1</t>
  </si>
  <si>
    <t>Layer 1</t>
  </si>
  <si>
    <t>Layer 2</t>
  </si>
  <si>
    <t>Layer 3</t>
  </si>
  <si>
    <t>Layer 4</t>
  </si>
  <si>
    <t>Layer 5</t>
  </si>
  <si>
    <t>BG ASSEMBLY 1 U-VALUE</t>
  </si>
  <si>
    <t>Overall U-value</t>
  </si>
  <si>
    <t>BG WALL ASSEMBLY 2</t>
  </si>
  <si>
    <t>PROPOSED
ERM</t>
  </si>
  <si>
    <t>Overall Below Grade Wall U-Value</t>
  </si>
  <si>
    <r>
      <rPr>
        <b/>
        <sz val="10"/>
        <rFont val="Arial"/>
        <family val="2"/>
      </rPr>
      <t xml:space="preserve">INSPECTION COMMENTS </t>
    </r>
    <r>
      <rPr>
        <sz val="10"/>
        <rFont val="Arial"/>
        <family val="2"/>
      </rPr>
      <t xml:space="preserve">
(Problems, sample details/apt #s, etc.)</t>
    </r>
  </si>
  <si>
    <r>
      <t xml:space="preserve">Below Grade Walls - Insulation and Initial Framing Inspection
</t>
    </r>
    <r>
      <rPr>
        <sz val="10"/>
        <rFont val="Arial"/>
        <family val="2"/>
      </rPr>
      <t>• Verify insulation type, thickness, location, coverage, and installation.  Improperly installed insulation must be derated*.
• Verify location and continuity of air and vapor barriers (if specified).
• Protection from air and moisture intrusion of interior and cavity insulation will also be verified.</t>
    </r>
  </si>
  <si>
    <r>
      <rPr>
        <b/>
        <sz val="10"/>
        <rFont val="Arial"/>
        <family val="2"/>
      </rPr>
      <t>Final Inspection</t>
    </r>
    <r>
      <rPr>
        <sz val="10"/>
        <rFont val="Arial"/>
        <family val="2"/>
      </rPr>
      <t xml:space="preserve">
• Verify proper enclosure of insulated cavities through visual inspection.</t>
    </r>
  </si>
  <si>
    <r>
      <rPr>
        <b/>
        <sz val="10"/>
        <rFont val="Arial"/>
        <family val="2"/>
      </rPr>
      <t>*</t>
    </r>
    <r>
      <rPr>
        <sz val="10"/>
        <rFont val="Arial"/>
        <family val="2"/>
      </rPr>
      <t xml:space="preserve">Estimated R-values for insulation that is improperly installed must be derated using the standards and procedures described in the </t>
    </r>
    <r>
      <rPr>
        <i/>
        <sz val="10"/>
        <rFont val="Arial"/>
        <family val="2"/>
      </rPr>
      <t xml:space="preserve">Mortgage Industry’s National Home Energy Rating Systems, Section 303.4.1.4.2 and Appendix A, “On-Site Inspection Procedures for Minimum Rated Features”.
</t>
    </r>
  </si>
  <si>
    <t>ENVELOPE - ABOVE GRADE WALLS - PROTOCOL 3.1</t>
  </si>
  <si>
    <t>A minimum of three (3) and as many as five (5) separate site visits are required for most multifamily high-rise buildings.</t>
  </si>
  <si>
    <t>1) Inspections of interior and cavity insulation must take place during construction:  at framing pre-insulation, post-insulation and pre-drywall, and post-completion.</t>
  </si>
  <si>
    <t xml:space="preserve">2) Inspections of exterior insulation, air, vapor, and weather barrier systems must be completed prior to enclosure.
</t>
  </si>
  <si>
    <t>4) Floor Plans</t>
  </si>
  <si>
    <t>1) Each unique wall assembly shall be inspected.  (For example:  if the basement walls are constructed differently from the upper floors, both areas must be inspected independently; also, if insulation specifications are different for living areas vs. common areas or other special use areas, each different specification shall be inspected independently.)</t>
  </si>
  <si>
    <r>
      <t xml:space="preserve">2) Sampling may be used to inspect wall assemblies that are consistent throughout large sections of the building.  Inspections done from the exterior shall sample at least 15% of each wall area.  For inspections done from interior spaces, follow the modified RESNET sampling protocol outlined in the How to Use this Manual section on page 11 of the </t>
    </r>
    <r>
      <rPr>
        <i/>
        <sz val="10"/>
        <rFont val="Arial"/>
        <family val="2"/>
      </rPr>
      <t>T&amp;V Protocols</t>
    </r>
    <r>
      <rPr>
        <sz val="10"/>
        <rFont val="Arial"/>
        <family val="2"/>
      </rPr>
      <t>, for each unique wall type.  In addition, the sample set must include, at a minimum, all unique assemblies.  If problems are found in the sample set, additional inspections must be conducted to determine the full extent of the problems and to ensure that repairs are completed in all areas of the building where they are needed.</t>
    </r>
  </si>
  <si>
    <r>
      <t>- Photo clearly identifying type of insulation to be installed and thickness using measuring tape or ruler (can do each individual piece of insulation or entire assembly)
- Photo showing continuous insulation around sample corner and other challenging details
- Photo of pre-insulation showing application of water/vapor/air barrier</t>
    </r>
    <r>
      <rPr>
        <sz val="10"/>
        <rFont val="Arial"/>
        <family val="2"/>
      </rPr>
      <t xml:space="preserve">
- Photo of pre-installation to verify framing construction
- Photo of post insulation indicating proper installation
- Photo of completion showing proper drywall installation
- Photo of Plank/Slab Edge and Rim Joist Insulation between ceiling/floor levels before cladding is installed
</t>
    </r>
  </si>
  <si>
    <r>
      <t xml:space="preserve">WALL TYPE </t>
    </r>
    <r>
      <rPr>
        <sz val="10"/>
        <rFont val="Arial"/>
        <family val="2"/>
      </rPr>
      <t>This section can be duplicated, copy and insert rows</t>
    </r>
  </si>
  <si>
    <r>
      <t>WALL ASSEMBLY  1</t>
    </r>
    <r>
      <rPr>
        <sz val="11"/>
        <color theme="1"/>
        <rFont val="Calibri"/>
        <family val="2"/>
        <scheme val="minor"/>
      </rPr>
      <t xml:space="preserve">
</t>
    </r>
  </si>
  <si>
    <t xml:space="preserve">Name: </t>
  </si>
  <si>
    <t xml:space="preserve">Location:  </t>
  </si>
  <si>
    <t>Layer 6</t>
  </si>
  <si>
    <r>
      <t>WALL ASSEMBLY  2</t>
    </r>
    <r>
      <rPr>
        <sz val="11"/>
        <color theme="1"/>
        <rFont val="Calibri"/>
        <family val="2"/>
        <scheme val="minor"/>
      </rPr>
      <t/>
    </r>
  </si>
  <si>
    <t>Overall Floor Edge Assembly U-Value</t>
  </si>
  <si>
    <r>
      <rPr>
        <b/>
        <sz val="10"/>
        <rFont val="Arial"/>
        <family val="2"/>
      </rPr>
      <t xml:space="preserve">Compliance Statement
</t>
    </r>
    <r>
      <rPr>
        <sz val="10"/>
        <rFont val="Arial"/>
        <family val="2"/>
      </rPr>
      <t>• All assemblies are compliant with the requirements of the</t>
    </r>
    <r>
      <rPr>
        <i/>
        <sz val="10"/>
        <rFont val="Arial"/>
        <family val="2"/>
      </rPr>
      <t xml:space="preserve"> Modified Prescriptive Path</t>
    </r>
    <r>
      <rPr>
        <sz val="10"/>
        <rFont val="Arial"/>
        <family val="2"/>
      </rPr>
      <t>, including framing factor assumptions.</t>
    </r>
  </si>
  <si>
    <r>
      <t xml:space="preserve">Above Grade Walls - Insulation and Initial Framing Inspection
</t>
    </r>
    <r>
      <rPr>
        <sz val="10"/>
        <rFont val="Arial"/>
        <family val="2"/>
      </rPr>
      <t>• Verify insulation type, thickness, location, coverage, and installation.  Improperly installed insulation must be derated*.</t>
    </r>
    <r>
      <rPr>
        <sz val="10"/>
        <rFont val="Arial"/>
        <family val="2"/>
      </rPr>
      <t xml:space="preserve">
• Verify location and continuity of air and vapor barriers (if specified).
• Protection from air and moisture intrusion of interior and cavity insulation will also be verified.</t>
    </r>
  </si>
  <si>
    <r>
      <t xml:space="preserve">Floor Perimeter/Plank Edge - Insulation and Framing Inspection
</t>
    </r>
    <r>
      <rPr>
        <sz val="10"/>
        <rFont val="Arial"/>
        <family val="2"/>
      </rPr>
      <t>• Verify insulation type, thickness, location, coverage, and installation.  Improperly installed insulation must be derated*.</t>
    </r>
    <r>
      <rPr>
        <sz val="10"/>
        <rFont val="Arial"/>
        <family val="2"/>
      </rPr>
      <t xml:space="preserve">
• Verify location and continuity of air and vapor barriers (if specified).
• Protection from air and moisture intrusion of interior and cavity insulation will also be verified.</t>
    </r>
  </si>
  <si>
    <t>ENVELOPE - ROOF - PROTOCOL 3.2</t>
  </si>
  <si>
    <t>1) Inspections must take place during construction:  pre-insulation, post-insulation and pre-drywall or prior to roof finish, and post-completion.</t>
  </si>
  <si>
    <t>3) Relevant Wall and Roof Sections and Details</t>
  </si>
  <si>
    <t>4) Roof Plan</t>
  </si>
  <si>
    <t>1) Each unique roof assembly shall be inspected.  (For example:  If there are exposed roofs on lower levels, that are constructed differently from the upper floors, both areas must be inspected independently; Also, if insulation specifications are different for living areas vs. common areas or other special use areas, each different specification shall be inspected independently.)</t>
  </si>
  <si>
    <r>
      <t xml:space="preserve">2) Sampling may be used to inspect roof assemblies that are consistent throughout large sections of the building.  Inspections done from the exterior shall sample at least 15% of each roof area.  For inspections done from interior spaces, follow the modified RESNET sampling protocol outlined in the </t>
    </r>
    <r>
      <rPr>
        <i/>
        <sz val="10"/>
        <rFont val="Arial"/>
        <family val="2"/>
      </rPr>
      <t>How to Use this Manual</t>
    </r>
    <r>
      <rPr>
        <sz val="10"/>
        <rFont val="Arial"/>
        <family val="2"/>
      </rPr>
      <t xml:space="preserve"> section on page 11 of the </t>
    </r>
    <r>
      <rPr>
        <i/>
        <sz val="10"/>
        <rFont val="Arial"/>
        <family val="2"/>
      </rPr>
      <t>T&amp;V Protocols</t>
    </r>
    <r>
      <rPr>
        <sz val="10"/>
        <rFont val="Arial"/>
        <family val="2"/>
      </rPr>
      <t>, for each unique roof type.  In addition, the sample set must include, at a minimum, all unique assemblies.  If problems are found in the sample set, additional inspections must be conducted to determine the full extent of the problems and to ensure that repairs are completed in all areas of the building where they are needed.</t>
    </r>
  </si>
  <si>
    <t>3) To verify the predicted overall R-value, 100% of locations where roof insulation achieves the minimum thickness are to be inspected.  Insulation thickness at roof perimeters shall be inspected at one (1) location per 70 feet of roof perimeter. This shall include, at a minimum, two (2) instances where the roof insulation achieves its maximum thickness.  Each location inspected cannot be within 70 feet of each other along the roof perimeter.</t>
  </si>
  <si>
    <t>4) Documentation of post-repair conditions is required for correction of problems that represent large surface areas (greater than 50 square feet) and/or systemic problems (e.g. all corner units are insulated improperly).  On-site inspection to verify corrections is preferable, but if this is not possible/practical due to construction schedules, photographic documentation of repairs submitted to the responsible party by the GC are an acceptable alternative.</t>
  </si>
  <si>
    <t>5) *PHOTOS REQUIRED*</t>
  </si>
  <si>
    <t>- Photo clearly identifying type of insulation to be installed and thickness using measuring tape or ruler (can do each individual piece of insulation or entire assembly)
- Photo showing continuous insulation around sample corner and other challenging details
- Post insulation photo (pre-drywall for cavity insulation, prior to roof finish for exterior rigid insulation) showing complete and even distribution of insulation
- Photo of proper enclosure of insulated cavities (if applicable)</t>
  </si>
  <si>
    <r>
      <t xml:space="preserve">ROOF TYPE:  </t>
    </r>
    <r>
      <rPr>
        <sz val="10"/>
        <rFont val="Arial"/>
        <family val="2"/>
      </rPr>
      <t>This section can be duplicated, copy and insert rows</t>
    </r>
    <r>
      <rPr>
        <b/>
        <sz val="10"/>
        <rFont val="Arial"/>
        <family val="2"/>
      </rPr>
      <t xml:space="preserve">
</t>
    </r>
    <r>
      <rPr>
        <sz val="10"/>
        <rFont val="Arial"/>
        <family val="2"/>
      </rPr>
      <t>(assembly name or number)</t>
    </r>
  </si>
  <si>
    <t>ROOF ASSEMBLY 1</t>
  </si>
  <si>
    <r>
      <t>PITCH (</t>
    </r>
    <r>
      <rPr>
        <i/>
        <sz val="10"/>
        <rFont val="Arial"/>
        <family val="2"/>
      </rPr>
      <t>Pitched Plank, Built Up Roof)</t>
    </r>
  </si>
  <si>
    <t>ROOF ASSEMBLY 1 U-VALUE</t>
  </si>
  <si>
    <t>ROOF ASSEMBLY 2</t>
  </si>
  <si>
    <t>ROOF ASSEMBLY 2 U-VALUE</t>
  </si>
  <si>
    <t>Overall Roof U-Value</t>
  </si>
  <si>
    <r>
      <rPr>
        <b/>
        <sz val="10"/>
        <rFont val="Arial"/>
        <family val="2"/>
      </rPr>
      <t xml:space="preserve">Compliance Statement
</t>
    </r>
    <r>
      <rPr>
        <sz val="10"/>
        <rFont val="Arial"/>
        <family val="2"/>
      </rPr>
      <t xml:space="preserve">• All assemblies are compliant with the requirements of the </t>
    </r>
    <r>
      <rPr>
        <i/>
        <sz val="10"/>
        <rFont val="Arial"/>
        <family val="2"/>
      </rPr>
      <t>Modified Prescriptive Path</t>
    </r>
    <r>
      <rPr>
        <sz val="10"/>
        <rFont val="Arial"/>
        <family val="2"/>
      </rPr>
      <t>, including framing factor assumptions.</t>
    </r>
  </si>
  <si>
    <r>
      <rPr>
        <b/>
        <sz val="10"/>
        <rFont val="Arial"/>
        <family val="2"/>
      </rPr>
      <t xml:space="preserve">Roof - Insulation and Initial Framing Inspection
</t>
    </r>
    <r>
      <rPr>
        <sz val="10"/>
        <rFont val="Arial"/>
        <family val="2"/>
      </rPr>
      <t>• Verify insulation type, thickness, location, coverage, and installation.  Improperly installed insulation must be derated*.</t>
    </r>
    <r>
      <rPr>
        <sz val="10"/>
        <rFont val="Arial"/>
        <family val="2"/>
      </rPr>
      <t xml:space="preserve">
• Verify location and continuity of air and vapor barriers (if specified).
• Protection from air and moisture intrusion of interior and cavity insulation will also be verified.</t>
    </r>
  </si>
  <si>
    <t>ENVELOPE - FLOORS ABOVE UNCONDITIONED SPACES - PROTOCOL 3.3</t>
  </si>
  <si>
    <t>3) Relevant Floor Plan Sections and Details</t>
  </si>
  <si>
    <t>1) Each unique floor assembly shall be inspected.  (For example:  If unique sections of the building are constructed differently, all distinct areas must be inspected independently; Also, if insulation specifications are different for living areas vs. common areas or other special use areas, each different specification shall be inspected independently.)</t>
  </si>
  <si>
    <t>2) Sampling may be used to inspect floor assemblies that are consistent throughout large sections of the building.  At each stage of the inspection process, a minimum of 15% of total floor area must be inspected for each unique floor type.  If problems are found in the sample set, additional inspections must be conducted to determine the full extent of the problems and to ensure that repairs are completed in all areas of the building where they are needed.</t>
  </si>
  <si>
    <t xml:space="preserve">- Photo clearly identifying type of insulation installed and thickness using measuring tape or ruler (can do each individual piece of insulation or entire assembly)
- Photo showing continuous insulation around sample corner and/or trouble area
- Sub Slab insulation – Photo of insulation before pouring of concrete or backfill of foundation
- If moisture or insect protection is required, photo of proper installation is required
- Framed floors – Photo of post-insulation to show proper installation showing no signs of compromised R-Value
</t>
  </si>
  <si>
    <r>
      <t xml:space="preserve">FLOOR TYPE: </t>
    </r>
    <r>
      <rPr>
        <sz val="10"/>
        <rFont val="Arial"/>
        <family val="2"/>
      </rPr>
      <t>This section can be duplicated, copy and insert rows</t>
    </r>
    <r>
      <rPr>
        <b/>
        <sz val="10"/>
        <rFont val="Arial"/>
        <family val="2"/>
      </rPr>
      <t xml:space="preserve"> </t>
    </r>
  </si>
  <si>
    <t>FLOOR OVER UNCONDITIONED SPACE ASSEMBLY 1</t>
  </si>
  <si>
    <t>Overall Floor Over Unconditioned Space U-Value</t>
  </si>
  <si>
    <t>BG SLAB FLOOR ASSEMBLY 1 U-VALUE</t>
  </si>
  <si>
    <t>Overall Below Grade Slab Floor  U-Value</t>
  </si>
  <si>
    <t>SLAB-ON-GRADE (unheated) ASSEMBLY 1</t>
  </si>
  <si>
    <t>SLAB-ON-GRADE (unheated) ASSEMBLY 1 U-VALUE</t>
  </si>
  <si>
    <t>PLAN REVIEW 
COMMENTS</t>
  </si>
  <si>
    <r>
      <rPr>
        <b/>
        <sz val="10"/>
        <rFont val="Arial"/>
        <family val="2"/>
      </rPr>
      <t>INSPECTION COMMENTS</t>
    </r>
    <r>
      <rPr>
        <sz val="10"/>
        <rFont val="Arial"/>
        <family val="2"/>
      </rPr>
      <t xml:space="preserve"> 
(Problems, sample details/apt #s, etc.)</t>
    </r>
  </si>
  <si>
    <r>
      <t xml:space="preserve">Floor Insulation Above Unconditioned Space - Insulation and Initial Framing Inspection
</t>
    </r>
    <r>
      <rPr>
        <sz val="10"/>
        <rFont val="Arial"/>
        <family val="2"/>
      </rPr>
      <t>• Verify insulation type, thickness, location, coverage, and installation.  Improperly installed insulation must be derated*.</t>
    </r>
    <r>
      <rPr>
        <sz val="10"/>
        <rFont val="Arial"/>
        <family val="2"/>
      </rPr>
      <t xml:space="preserve">
• Verify location and continuity of air and vapor barriers (if specified).
• Protection from air and moisture intrusion of interior and cavity insulation will also be verified.</t>
    </r>
  </si>
  <si>
    <r>
      <t xml:space="preserve">Below Grade Slab Floor- Insulation Inspection
</t>
    </r>
    <r>
      <rPr>
        <sz val="10"/>
        <rFont val="Arial"/>
        <family val="2"/>
      </rPr>
      <t>• Verify insulation type, thickness, location, coverage, and installation.  Improperly installed insulation must be derated*.</t>
    </r>
    <r>
      <rPr>
        <sz val="10"/>
        <rFont val="Arial"/>
        <family val="2"/>
      </rPr>
      <t xml:space="preserve">
• Verify location and continuity of air and vapor barriers (if specified).
• Protection from air and moisture intrusion of interior and cavity insulation will also be verified.</t>
    </r>
  </si>
  <si>
    <t>ENVELOPE - WINDOWS - PROTOCOL 3.4</t>
  </si>
  <si>
    <t>1) If the developer has elected, the initial sample installation shall be inspected upon completion.  If problems are identified with the sample installation, a return site visit may be necessary to verify that the problems were properly addressed and corrected before proceeding with the installation of windows building-wide.</t>
  </si>
  <si>
    <t>2) All other window inspections will take place on an ongoing basis during construction at the same time that other building envelope components are inspected to ensure specifications are being met throughout the construction process.</t>
  </si>
  <si>
    <t>3) Window Schedule and Relevant Details</t>
  </si>
  <si>
    <r>
      <t xml:space="preserve">1)  For spaces containing windows, follow the modified RESNET sampling protocol outlined in the </t>
    </r>
    <r>
      <rPr>
        <i/>
        <sz val="10"/>
        <rFont val="Arial"/>
        <family val="2"/>
      </rPr>
      <t>How to Use this Manual</t>
    </r>
    <r>
      <rPr>
        <sz val="11"/>
        <color theme="1"/>
        <rFont val="Calibri"/>
        <family val="2"/>
        <scheme val="minor"/>
      </rPr>
      <t xml:space="preserve"> section on page 11 of the </t>
    </r>
    <r>
      <rPr>
        <i/>
        <sz val="10"/>
        <rFont val="Arial"/>
        <family val="2"/>
      </rPr>
      <t>T&amp;V Protocols</t>
    </r>
    <r>
      <rPr>
        <sz val="11"/>
        <color theme="1"/>
        <rFont val="Calibri"/>
        <family val="2"/>
        <scheme val="minor"/>
      </rPr>
      <t>, which shall include, at a minimum, one of each different type of window installation based on different window types (fixed, double hung, etc.) and different energy performance specifications (e.g. if low e glass is specified on part of the building but not all of it).</t>
    </r>
  </si>
  <si>
    <t>3)  If problems are identified, additional windows must be inspected to determine if problems are systemic.  Problems found will be reported to the GC for correction and re-inspection on an ongoing basis throughout construction.</t>
  </si>
  <si>
    <r>
      <t xml:space="preserve">WINDOW TYPE
</t>
    </r>
    <r>
      <rPr>
        <i/>
        <sz val="10"/>
        <rFont val="Arial"/>
        <family val="2"/>
      </rPr>
      <t>(Double hung, awning, casement, fixed)</t>
    </r>
  </si>
  <si>
    <t>MFR/MODEL</t>
  </si>
  <si>
    <r>
      <t xml:space="preserve">WINDOW FRAME 
</t>
    </r>
    <r>
      <rPr>
        <i/>
        <sz val="10"/>
        <rFont val="Arial"/>
        <family val="2"/>
      </rPr>
      <t>(Alum, Fiberglass)</t>
    </r>
  </si>
  <si>
    <r>
      <t xml:space="preserve">GAS FILL
</t>
    </r>
    <r>
      <rPr>
        <i/>
        <sz val="10"/>
        <rFont val="Arial"/>
        <family val="2"/>
      </rPr>
      <t>(Air / Argon)</t>
    </r>
  </si>
  <si>
    <t>ASSEMBLY U-VALUE</t>
  </si>
  <si>
    <t xml:space="preserve">SHGC </t>
  </si>
  <si>
    <r>
      <t xml:space="preserve">LOW-E
</t>
    </r>
    <r>
      <rPr>
        <sz val="10"/>
        <rFont val="Arial"/>
        <family val="2"/>
      </rPr>
      <t>(Yes/No)</t>
    </r>
  </si>
  <si>
    <r>
      <t xml:space="preserve">INSPECTION COMMENTS
</t>
    </r>
    <r>
      <rPr>
        <sz val="10"/>
        <rFont val="Arial"/>
        <family val="2"/>
      </rPr>
      <t>(Window has proper orientation, fit, and is easily opened)</t>
    </r>
  </si>
  <si>
    <r>
      <rPr>
        <b/>
        <sz val="10"/>
        <rFont val="Arial"/>
        <family val="2"/>
      </rPr>
      <t>Window-to-Wall Ratio</t>
    </r>
    <r>
      <rPr>
        <sz val="10"/>
        <rFont val="Arial"/>
        <family val="2"/>
      </rPr>
      <t xml:space="preserve">
• Window-to-Wall ratio is taken as the sum of all window area divided by the total exterior above-grade wall area. All decorative glass and skylight window area contribute to the total window area to above-grade wall ratio (WWR). In addition, non-vision glazing areas must be treated as opaque walls (not fenestration) when calculating window-to-wall ratios. Maximum allowable glazing area for </t>
    </r>
    <r>
      <rPr>
        <i/>
        <sz val="10"/>
        <rFont val="Arial"/>
        <family val="2"/>
      </rPr>
      <t>Modified Prescriptive Path</t>
    </r>
    <r>
      <rPr>
        <sz val="10"/>
        <rFont val="Arial"/>
        <family val="2"/>
      </rPr>
      <t xml:space="preserve">: 40% WWR
</t>
    </r>
  </si>
  <si>
    <r>
      <rPr>
        <b/>
        <sz val="10"/>
        <rFont val="Arial"/>
        <family val="2"/>
      </rPr>
      <t>Rough Openings</t>
    </r>
    <r>
      <rPr>
        <sz val="10"/>
        <rFont val="Arial"/>
        <family val="2"/>
      </rPr>
      <t xml:space="preserve">
• The installation subcontractor is responsible for verifying that rough openings are properly constructed including: structural soundness of sill, header, and jambs; opening shall be square, level, and plumb; and building materials should be protected from moisture damage prior to window installation.  Construction deficiencies should be reported to the developer or GC and corrected prior to installation of windows.</t>
    </r>
  </si>
  <si>
    <r>
      <rPr>
        <b/>
        <sz val="10"/>
        <rFont val="Arial"/>
        <family val="2"/>
      </rPr>
      <t xml:space="preserve">Window/Wall Mock Up
</t>
    </r>
    <r>
      <rPr>
        <sz val="10"/>
        <rFont val="Arial"/>
        <family val="2"/>
      </rPr>
      <t>• If approved by the developer, the responsible party shall inspect a sample installation of the window prior to the installation of windows building-wide.  The manufacturer’s data shall be inspected to verify energy performance specifications (window type, frame, U-value factor, gas fill, SHGC).  In addition, the installed window must be inspected for proper fit and operation and effective connections to the building envelope weather barrier and air barrier.  Low-e glass must be verified using a low-e meter.</t>
    </r>
  </si>
  <si>
    <r>
      <rPr>
        <b/>
        <sz val="10"/>
        <rFont val="Arial"/>
        <family val="2"/>
      </rPr>
      <t>Air Tightness</t>
    </r>
    <r>
      <rPr>
        <sz val="10"/>
        <rFont val="Arial"/>
        <family val="2"/>
      </rPr>
      <t xml:space="preserve">
• Visually confirm all joints between window frame and rough opening have been sealed.  Optional: To verify air tightness of the weather stripping and window installation, use a smoke pencil around the window, casing, and frame.</t>
    </r>
  </si>
  <si>
    <r>
      <rPr>
        <b/>
        <sz val="10"/>
        <rFont val="Arial"/>
        <family val="2"/>
      </rPr>
      <t xml:space="preserve">Statement of Substantial Completion
</t>
    </r>
    <r>
      <rPr>
        <sz val="10"/>
        <rFont val="Arial"/>
        <family val="2"/>
      </rPr>
      <t xml:space="preserve">• A Statement of Substantial Completion or approved proxy may be used to establish completion of the work associated with this protocol. A Statement of Substantial Completion is to be completed by the installation contractor or other qualified representative on company letterhead, complete with all information, photographs, cut sheets, etc., required in this protocol and in the corresponding </t>
    </r>
    <r>
      <rPr>
        <i/>
        <sz val="10"/>
        <rFont val="Arial"/>
        <family val="2"/>
      </rPr>
      <t>T&amp;V Worksheet</t>
    </r>
    <r>
      <rPr>
        <sz val="10"/>
        <rFont val="Arial"/>
        <family val="2"/>
      </rPr>
      <t>.</t>
    </r>
  </si>
  <si>
    <t>ENVELOPE - EXTERIOR DOORS - PROTOCOL 3.5</t>
  </si>
  <si>
    <t>1)  Final inspection may occur anytime following completion of installations .</t>
  </si>
  <si>
    <t>4) Door Manufacturer's Specifications</t>
  </si>
  <si>
    <t>5) As-built Door Schedule provided by the developer</t>
  </si>
  <si>
    <t>6) Smoke Pencil (Optional)</t>
  </si>
  <si>
    <t>1)  100% of entryways and designed vestibule areas shall be inspected.</t>
  </si>
  <si>
    <r>
      <t xml:space="preserve">2)  Visually verify proper installation of at least 50% of all common area exterior doors and check the manufacturer and model of all doors using the As-Built building door schedule provided by the developer.  For garden-style apartments with doors to the exterior, follow the modified RESNET sampling protocol outlined in the </t>
    </r>
    <r>
      <rPr>
        <i/>
        <sz val="10"/>
        <rFont val="Arial"/>
        <family val="2"/>
      </rPr>
      <t>How to Use this Manual</t>
    </r>
    <r>
      <rPr>
        <sz val="10"/>
        <rFont val="Arial"/>
        <family val="2"/>
      </rPr>
      <t xml:space="preserve"> section on page 11 of the </t>
    </r>
    <r>
      <rPr>
        <i/>
        <sz val="10"/>
        <rFont val="Arial"/>
        <family val="2"/>
      </rPr>
      <t>MFHR Testing and Verification Protocol</t>
    </r>
    <r>
      <rPr>
        <sz val="10"/>
        <rFont val="Arial"/>
        <family val="2"/>
      </rPr>
      <t>.</t>
    </r>
  </si>
  <si>
    <t>FLOOR / LOCATION</t>
  </si>
  <si>
    <r>
      <t xml:space="preserve">ENERGY STAR </t>
    </r>
    <r>
      <rPr>
        <sz val="10"/>
        <rFont val="Arial"/>
        <family val="2"/>
      </rPr>
      <t>(Yes/No)</t>
    </r>
  </si>
  <si>
    <t>U-VALUE</t>
  </si>
  <si>
    <r>
      <t xml:space="preserve">SELF CLOSING DEVICE
</t>
    </r>
    <r>
      <rPr>
        <sz val="10"/>
        <rFont val="Arial"/>
        <family val="2"/>
      </rPr>
      <t>(Yes/No)</t>
    </r>
  </si>
  <si>
    <r>
      <t xml:space="preserve">VESTIBULE
</t>
    </r>
    <r>
      <rPr>
        <sz val="10"/>
        <rFont val="Arial"/>
        <family val="2"/>
      </rPr>
      <t>(Yes/No)</t>
    </r>
  </si>
  <si>
    <r>
      <t xml:space="preserve">INSPECTION COMMENTS
</t>
    </r>
    <r>
      <rPr>
        <sz val="10"/>
        <rFont val="Arial"/>
        <family val="2"/>
      </rPr>
      <t>(Door has proper orientation, fit, and weather-stripping)</t>
    </r>
  </si>
  <si>
    <r>
      <rPr>
        <b/>
        <sz val="10"/>
        <rFont val="Arial"/>
        <family val="2"/>
      </rPr>
      <t xml:space="preserve">Vestibules and Entryways
</t>
    </r>
    <r>
      <rPr>
        <sz val="10"/>
        <rFont val="Arial"/>
        <family val="2"/>
      </rPr>
      <t xml:space="preserve">• Inspect vestibule and entryway areas to verify construction is consistent with design specifications. </t>
    </r>
  </si>
  <si>
    <r>
      <rPr>
        <b/>
        <sz val="10"/>
        <rFont val="Arial"/>
        <family val="2"/>
      </rPr>
      <t>Operation and Fit</t>
    </r>
    <r>
      <rPr>
        <sz val="10"/>
        <rFont val="Arial"/>
        <family val="2"/>
      </rPr>
      <t xml:space="preserve">
• Inspect exterior doors for proper operation, fit, and weather stripping.</t>
    </r>
  </si>
  <si>
    <r>
      <rPr>
        <b/>
        <sz val="10"/>
        <rFont val="Arial"/>
        <family val="2"/>
      </rPr>
      <t xml:space="preserve">Smoke Testing
</t>
    </r>
    <r>
      <rPr>
        <sz val="10"/>
        <rFont val="Arial"/>
        <family val="2"/>
      </rPr>
      <t>• Option:  Use a smoke pencil with the building under pressurization (or depressurization) from the ventilation system to verify air tightness of components.</t>
    </r>
  </si>
  <si>
    <t>GARAGES - HEATING &amp; COMPARTMENTALIZATION - PROTOCOL 4.1</t>
  </si>
  <si>
    <t xml:space="preserve">1) Inspect air sealing details at framing before insulation is installed.
</t>
  </si>
  <si>
    <t>2) Inspect insulation after installation and prior to enclosure with finish materials.</t>
  </si>
  <si>
    <t xml:space="preserve">3) Final inspection may occur anytime following completion of installations.
</t>
  </si>
  <si>
    <t>1) Relevant floor plans and wall sections</t>
  </si>
  <si>
    <t>1) Inspect 100% of the connections between the garage and the conditioned space of the building for air sealing.</t>
  </si>
  <si>
    <t>2) Inspect 100% of heating elements and controls.</t>
  </si>
  <si>
    <r>
      <t xml:space="preserve">INSPECTION COMMENTS 
</t>
    </r>
    <r>
      <rPr>
        <sz val="10"/>
        <rFont val="Arial"/>
        <family val="2"/>
      </rPr>
      <t>(Problems, sample details/floor #s, etc.)</t>
    </r>
  </si>
  <si>
    <r>
      <rPr>
        <b/>
        <sz val="10"/>
        <rFont val="Arial"/>
        <family val="2"/>
      </rPr>
      <t xml:space="preserve">Compartmentalization
</t>
    </r>
    <r>
      <rPr>
        <sz val="10"/>
        <rFont val="Arial"/>
        <family val="2"/>
      </rPr>
      <t>• Attached garages shall be fully compartmentalized from the rest of the building through air sealing.  All pipe and conduit penetrations shall be sealed with material compatible with the surface and resilient to temperature fluctuations.</t>
    </r>
  </si>
  <si>
    <r>
      <rPr>
        <b/>
        <sz val="10"/>
        <rFont val="Arial"/>
        <family val="2"/>
      </rPr>
      <t xml:space="preserve">Doors Between Garage and Building
</t>
    </r>
    <r>
      <rPr>
        <sz val="10"/>
        <rFont val="Arial"/>
        <family val="2"/>
      </rPr>
      <t>• Inspect the door(s) leading into the building from the garage for proper operation, fit, and weather stripping.  Optional: Use a smoke pencil around the door, casing, and frame with the garage ventilation system running.</t>
    </r>
  </si>
  <si>
    <t>HVAC - HEATING SYSTEMS - PROTOCOL 5.1, 5.3</t>
  </si>
  <si>
    <t xml:space="preserve">1)  100% of centralized primary equipment (i.e. heating plants) shall be inspected in the quality assurance and verification process.  </t>
  </si>
  <si>
    <r>
      <t xml:space="preserve">2)  Individual spaces or apartments containing electric or fossil-fuel heating systems shall be inspected and tested following the modified RESNET sampling protocol outlined in the </t>
    </r>
    <r>
      <rPr>
        <i/>
        <sz val="10"/>
        <rFont val="Arial"/>
        <family val="2"/>
      </rPr>
      <t>How to Use this Manual</t>
    </r>
    <r>
      <rPr>
        <sz val="10"/>
        <rFont val="Arial"/>
        <family val="2"/>
      </rPr>
      <t xml:space="preserve"> section on page 11 of the </t>
    </r>
    <r>
      <rPr>
        <i/>
        <sz val="10"/>
        <rFont val="Arial"/>
        <family val="2"/>
      </rPr>
      <t>T&amp;V Protocols</t>
    </r>
    <r>
      <rPr>
        <sz val="10"/>
        <rFont val="Arial"/>
        <family val="2"/>
      </rPr>
      <t xml:space="preserve">, including at least one of each unique type. </t>
    </r>
  </si>
  <si>
    <r>
      <t xml:space="preserve">4) </t>
    </r>
    <r>
      <rPr>
        <b/>
        <sz val="10"/>
        <rFont val="Arial"/>
        <family val="2"/>
      </rPr>
      <t>*PHOTOS REQUIRED*</t>
    </r>
    <r>
      <rPr>
        <sz val="10"/>
        <rFont val="Arial"/>
        <family val="2"/>
      </rPr>
      <t xml:space="preserve"> </t>
    </r>
  </si>
  <si>
    <r>
      <t xml:space="preserve">Space Heating - Sizing
</t>
    </r>
    <r>
      <rPr>
        <sz val="10"/>
        <rFont val="Arial"/>
        <family val="2"/>
      </rPr>
      <t xml:space="preserve">• Heating loads shall be calculated, equipment capacity shall be selected, and duct systems shall be sized according to the latest editions of </t>
    </r>
    <r>
      <rPr>
        <i/>
        <sz val="10"/>
        <rFont val="Arial"/>
        <family val="2"/>
      </rPr>
      <t xml:space="preserve">Air-Conditioning Contractors Association (ACCA) Manual J, S, &amp; D </t>
    </r>
    <r>
      <rPr>
        <sz val="10"/>
        <rFont val="Arial"/>
        <family val="2"/>
      </rPr>
      <t>respectively, ASHRAE 2009 Handbook of Fundamentals, or a substantively equivalent procedure, and provided by the design engineer to the responsible party. Indoor temperatures shall be 70°F for heating, outdoor temperatures shall be the 99.0% design temperatures as published by the ASHRAE Handbook of Fundamentals. Installed capacity cannot exceed design by more than 20%, except when smaller sizes are not available.  For condensing boilers, plans must specify return water temperature at design conditions.</t>
    </r>
  </si>
  <si>
    <r>
      <t xml:space="preserve">Space Heating - Design Temperatures
</t>
    </r>
    <r>
      <rPr>
        <sz val="10"/>
        <rFont val="Arial"/>
        <family val="2"/>
      </rPr>
      <t xml:space="preserve">• Plans must specify supply and return water temperature at design conditions.  
</t>
    </r>
    <r>
      <rPr>
        <sz val="10"/>
        <rFont val="Arial"/>
        <family val="2"/>
      </rPr>
      <t>• Verify installation of temperature gauges and temperature readings during inspection</t>
    </r>
    <r>
      <rPr>
        <sz val="10"/>
        <color indexed="10"/>
        <rFont val="Arial"/>
        <family val="2"/>
      </rPr>
      <t xml:space="preserve">.
</t>
    </r>
    <r>
      <rPr>
        <sz val="10"/>
        <rFont val="Arial"/>
        <family val="2"/>
      </rPr>
      <t>• Verify return water temperature meets design for condensing boiler systems.</t>
    </r>
  </si>
  <si>
    <r>
      <t xml:space="preserve">Space Heating Central Plant - Boiler room location and venting
</t>
    </r>
    <r>
      <rPr>
        <sz val="10"/>
        <rFont val="Arial"/>
        <family val="2"/>
      </rPr>
      <t>• Verify location of heating system (e.g., cellar or roof), combustion air venting configuration (e.g., combustion air piped to boilers, boiler room air used for combustion), and venting configuration (e.g., inducer fan specified and sequence of operation verified, if required).</t>
    </r>
  </si>
  <si>
    <r>
      <t xml:space="preserve">Heating Distribution - Pump Sizing
</t>
    </r>
    <r>
      <rPr>
        <sz val="10"/>
        <rFont val="Arial"/>
        <family val="2"/>
      </rPr>
      <t>• Calculations and assumptions for sizing circulating pumps must meet Chapter 43 of the ASHRAE Handbook, HVAC Systems and Equipment or equivalent industry accepted standard and keep with the building file.</t>
    </r>
  </si>
  <si>
    <r>
      <t xml:space="preserve">Heating Distribution - Pressure Control Set-points
</t>
    </r>
    <r>
      <rPr>
        <sz val="10"/>
        <rFont val="Arial"/>
        <family val="2"/>
      </rPr>
      <t>• Although not required, EPA recommends adding a Note requiring heating circulator pressure controls to be adjusted to ensure that: (1) at terminal units furthest from the pump, sufficient GPM is achieved and (2) at terminal units closest to the pump, differential pressure across terminal unit zone valves when closed does not exceed valve manufacturer guidelines.</t>
    </r>
  </si>
  <si>
    <r>
      <t xml:space="preserve">Heating Terminal Units - Thermostatic Controls
</t>
    </r>
    <r>
      <rPr>
        <sz val="10"/>
        <rFont val="Arial"/>
        <family val="2"/>
      </rPr>
      <t>• All terminal heating distribution equipment must be separated from the riser or distribution loop by a control valve or terminal distribution pump, so that heated fluid is not delivered to the apartment distribution equipment when there is no call for heat from the apartment thermostats.</t>
    </r>
  </si>
  <si>
    <t>ALL FORCED AIR HEATING SYSTEMS (Including Heat Pumps)</t>
  </si>
  <si>
    <r>
      <t xml:space="preserve">Heating Distribution - Outdoor Air Damper
</t>
    </r>
    <r>
      <rPr>
        <sz val="10"/>
        <rFont val="Arial"/>
        <family val="2"/>
      </rPr>
      <t xml:space="preserve">• </t>
    </r>
    <r>
      <rPr>
        <sz val="11"/>
        <color theme="1"/>
        <rFont val="Calibri"/>
        <family val="2"/>
        <scheme val="minor"/>
      </rPr>
      <t>For systems designed with outdoor-air supplied to the heating distribution system, provide motorized dampers that will automatically shut when systems or spaces are not in use. Continuously running ventilation would not be subject to either damper, as they are always in use.</t>
    </r>
  </si>
  <si>
    <r>
      <t xml:space="preserve">Heating Distribution - Duct Sealing Details
</t>
    </r>
    <r>
      <rPr>
        <sz val="10"/>
        <rFont val="Arial"/>
        <family val="2"/>
      </rPr>
      <t xml:space="preserve">• </t>
    </r>
    <r>
      <rPr>
        <sz val="11"/>
        <color theme="1"/>
        <rFont val="Calibri"/>
        <family val="2"/>
        <scheme val="minor"/>
      </rPr>
      <t xml:space="preserve">Call out a preliminary list of duct sealing details to be integrated into the construction documents and inspected must include the following at a minimum.  This criteria also applies to heat pump units:
a  Roof curb penetration has been sealed  
b. Mastic or other UL-181 compliant material has been applied within temperature range and according to all other manufacturer's requirements at ALL transverse joints and take offs.
c. All duct transitional junctions have been sealed with mastic or other UL-181 compliant material.
d. Gap between take off duct and gypsum board has been effectively sealed.
</t>
    </r>
  </si>
  <si>
    <r>
      <t xml:space="preserve">Heating System - Refrigerant Charge, Airflow and Nameplate Data
</t>
    </r>
    <r>
      <rPr>
        <sz val="10"/>
        <rFont val="Arial"/>
        <family val="2"/>
      </rPr>
      <t>• Obtain and keep documentation on file showing correct field measured refrigerant charge, field measured airflow over condenser coil, field measured airflow over heat exchanger, nameplate efficiency, and nameplate heat exchange capacity consistent with manufacturer’s specifications.</t>
    </r>
  </si>
  <si>
    <r>
      <t xml:space="preserve">Heating Distribution - In-Unit Duct Sizing
</t>
    </r>
    <r>
      <rPr>
        <sz val="10"/>
        <rFont val="Arial"/>
        <family val="2"/>
      </rPr>
      <t xml:space="preserve">• In-unit duct systems shall be designed and installed to effectively meet the heating loads for the spaces served using the </t>
    </r>
    <r>
      <rPr>
        <i/>
        <sz val="10"/>
        <rFont val="Arial"/>
        <family val="2"/>
      </rPr>
      <t>Air Conditioning Contractors Association (ACCA) Manuals J, and D ASHRAE 2009 Handbook of Fundamentals</t>
    </r>
    <r>
      <rPr>
        <sz val="10"/>
        <rFont val="Arial"/>
        <family val="2"/>
      </rPr>
      <t>, or a substantively equivalent procedure, and provided by the design engineer to the responsible party.</t>
    </r>
  </si>
  <si>
    <r>
      <t xml:space="preserve">Heating Distribution - In-Unit Pressure Balancing
</t>
    </r>
    <r>
      <rPr>
        <sz val="10"/>
        <rFont val="Arial"/>
        <family val="2"/>
      </rPr>
      <t>• Verify that bedrooms have been provided with any combination of transfer grills, jump ducts, dedicated return ducts, and/or undercut doors to provide pressure-balancing.</t>
    </r>
  </si>
  <si>
    <r>
      <t xml:space="preserve">Heating Distribution - Thermostat
</t>
    </r>
    <r>
      <rPr>
        <sz val="10"/>
        <rFont val="Arial"/>
        <family val="2"/>
      </rPr>
      <t>• Verify all terminal heating distribution equipment serving an apartment shall be controlled by a thermostat(s) within the same apartment.</t>
    </r>
  </si>
  <si>
    <t>Apartment #</t>
  </si>
  <si>
    <t>Floor #</t>
  </si>
  <si>
    <t>Unit Type 
(e.g. A, B, C)</t>
  </si>
  <si>
    <t># of Bedrooms</t>
  </si>
  <si>
    <t>Floor Area</t>
  </si>
  <si>
    <t>Design CFM</t>
  </si>
  <si>
    <t>% Leakage of Design CFM</t>
  </si>
  <si>
    <t>HVAC - COOLING - PROTOCOL 5.2, 5.4</t>
  </si>
  <si>
    <t xml:space="preserve">2) Commissioning of the system occurs during pre-construction and construction phases of installation. Inspection, testing, and commissioning are conducted during the turn of over/acceptance phase of the installation system. </t>
  </si>
  <si>
    <t>1) Mechanical Schedule, relevant floor plans and details</t>
  </si>
  <si>
    <t xml:space="preserve">1)  100% of centralized primary equipment (i.e. cooling plants) shall be inspected in the quality assurance and verification process.  </t>
  </si>
  <si>
    <r>
      <t xml:space="preserve">2)  Spaces containing terminal devices (fan coils, PTHPS, VAV boxes) must be inspected following the modified RESNET sampling protocol outlined in the </t>
    </r>
    <r>
      <rPr>
        <i/>
        <sz val="10"/>
        <rFont val="Arial"/>
        <family val="2"/>
      </rPr>
      <t>How to Use this Manual</t>
    </r>
    <r>
      <rPr>
        <sz val="10"/>
        <rFont val="Arial"/>
        <family val="2"/>
      </rPr>
      <t xml:space="preserve"> section on page 11 of the </t>
    </r>
    <r>
      <rPr>
        <i/>
        <sz val="10"/>
        <rFont val="Arial"/>
        <family val="2"/>
      </rPr>
      <t>T&amp;V Protocols</t>
    </r>
    <r>
      <rPr>
        <sz val="10"/>
        <rFont val="Arial"/>
        <family val="2"/>
      </rPr>
      <t xml:space="preserve">, including at least one of each unique type. </t>
    </r>
  </si>
  <si>
    <r>
      <t xml:space="preserve">3) </t>
    </r>
    <r>
      <rPr>
        <b/>
        <sz val="10"/>
        <rFont val="Arial"/>
        <family val="2"/>
      </rPr>
      <t>*PHOTOS REQUIRED*</t>
    </r>
  </si>
  <si>
    <t>-Photos of cooling system equipment and faceplates to verify proper installation and compliance with Proposed Design.</t>
  </si>
  <si>
    <t>AHRI CERT#</t>
  </si>
  <si>
    <t>OUTPUT (BTU/H)</t>
  </si>
  <si>
    <t>HORSEPOWER (HP)
/Watts</t>
  </si>
  <si>
    <r>
      <t>INSPECTION COMMENTS</t>
    </r>
    <r>
      <rPr>
        <sz val="11"/>
        <color theme="1"/>
        <rFont val="Calibri"/>
        <family val="2"/>
        <scheme val="minor"/>
      </rPr>
      <t xml:space="preserve"> 
(Problems, sample details/apt #s, etc.)</t>
    </r>
  </si>
  <si>
    <r>
      <rPr>
        <b/>
        <sz val="10"/>
        <rFont val="Arial"/>
        <family val="2"/>
      </rPr>
      <t xml:space="preserve">Compliance Statement
</t>
    </r>
    <r>
      <rPr>
        <sz val="10"/>
        <rFont val="Arial"/>
        <family val="2"/>
      </rPr>
      <t xml:space="preserve">• All cooling systems meet or exceed the requirements listed in the </t>
    </r>
    <r>
      <rPr>
        <i/>
        <sz val="10"/>
        <rFont val="Arial"/>
        <family val="2"/>
      </rPr>
      <t xml:space="preserve">Modified Prescriptive Path.
</t>
    </r>
  </si>
  <si>
    <t>see below</t>
  </si>
  <si>
    <r>
      <t xml:space="preserve">Space Cooling - Sizing
</t>
    </r>
    <r>
      <rPr>
        <sz val="10"/>
        <rFont val="Arial"/>
        <family val="2"/>
      </rPr>
      <t xml:space="preserve">• Cooling loads shall be calculated, equipment capacity shall be selected, and duct systems shall be sized according to the latest editions of </t>
    </r>
    <r>
      <rPr>
        <i/>
        <sz val="10"/>
        <rFont val="Arial"/>
        <family val="2"/>
      </rPr>
      <t>Air-Conditioning Contractors Association (ACCA) Manual J, S, &amp; D</t>
    </r>
    <r>
      <rPr>
        <sz val="10"/>
        <rFont val="Arial"/>
        <family val="2"/>
      </rPr>
      <t xml:space="preserve"> respectively, ASHRAE 2009 Handbook of Fundamentals, or a substantively equivalent procedure, and provided by the design engineer to the responsible party. Indoor temperatures shall be 75°F for cooling, outdoor temperatures shall be the 1.0% design temperatures as published by the ASHRAE Handbook of Fundamentals. Installed capacity cannot exceed design by more than 20%, except when smaller sizes are not available.  </t>
    </r>
  </si>
  <si>
    <r>
      <t xml:space="preserve">Space Cooling  - Controls
</t>
    </r>
    <r>
      <rPr>
        <sz val="10"/>
        <rFont val="Arial"/>
        <family val="2"/>
      </rPr>
      <t xml:space="preserve">• System controls and settings shall meet or exceed the requirements listed in the </t>
    </r>
    <r>
      <rPr>
        <i/>
        <sz val="10"/>
        <rFont val="Arial"/>
        <family val="2"/>
      </rPr>
      <t>Modified Prescriptive Path</t>
    </r>
    <r>
      <rPr>
        <sz val="10"/>
        <rFont val="Arial"/>
        <family val="2"/>
      </rPr>
      <t>.</t>
    </r>
  </si>
  <si>
    <r>
      <t xml:space="preserve">Cooling Distribution - Pump Sizing
</t>
    </r>
    <r>
      <rPr>
        <sz val="10"/>
        <rFont val="Arial"/>
        <family val="2"/>
      </rPr>
      <t>• Calculations and assumptions for sizing circulating pumps must meet Chapter 43 of the ASHRAE Handbook, HVAC Systems and Equipment or equivalent industry accepted standard and keep with the building file.</t>
    </r>
  </si>
  <si>
    <r>
      <t xml:space="preserve">Cooling Distribution - Pressure Control Set-points
</t>
    </r>
    <r>
      <rPr>
        <sz val="10"/>
        <rFont val="Arial"/>
        <family val="2"/>
      </rPr>
      <t>• Although not required, EPA recommends adding a Note requiring cooling circulator pressure controls to be adjusted to ensure that: (1) at terminal units furthest from the pump, sufficient GPM is achieved and (2) at terminal units closest to the pump, differential pressure across terminal unit zone valves when closed does not exceed valve manufacturer guidelines.</t>
    </r>
  </si>
  <si>
    <r>
      <t xml:space="preserve">Cooling Terminal Units - Thermostatic Controls
</t>
    </r>
    <r>
      <rPr>
        <sz val="10"/>
        <rFont val="Arial"/>
        <family val="2"/>
      </rPr>
      <t>• Verify all terminal cooling distribution equipment must be separated from the riser or distribution loop by a control valve or terminal distribution pump, so that cooled fluid is not delivered to the apartment distribution equipment when there is no call for cooling from the apartment thermostats.</t>
    </r>
  </si>
  <si>
    <r>
      <t xml:space="preserve">Cooling Distribution - Airflow and Nameplate Data
</t>
    </r>
    <r>
      <rPr>
        <sz val="10"/>
        <rFont val="Arial"/>
        <family val="2"/>
      </rPr>
      <t>• Obtain and keep documentation on file showing correct field measured airflow over evaporator coil, nameplate efficiency, and nameplate heat exchange capacity consistent with manufacturer’s specifications.</t>
    </r>
  </si>
  <si>
    <t>ALL FORCED AIR COOLING SYSTEMS (Including heat pumps, split system ACs, PTACs and room ACs)</t>
  </si>
  <si>
    <r>
      <t xml:space="preserve">Cooling Distribution System - In-Unit Duct Sizing
</t>
    </r>
    <r>
      <rPr>
        <sz val="10"/>
        <rFont val="Arial"/>
        <family val="2"/>
      </rPr>
      <t xml:space="preserve">• In-unit duct systems shall be designed and installed to effectively meet the cooling loads for the spaces served using the </t>
    </r>
    <r>
      <rPr>
        <i/>
        <sz val="10"/>
        <rFont val="Arial"/>
        <family val="2"/>
      </rPr>
      <t>Air Conditioning Contractors Association (ACCA) Manuals J and D ASHRAE 2009 Handbook of Fundamentals</t>
    </r>
    <r>
      <rPr>
        <sz val="10"/>
        <rFont val="Arial"/>
        <family val="2"/>
      </rPr>
      <t>, or a substantively equivalent procedure, and provided by the design engineer to the responsible party.</t>
    </r>
  </si>
  <si>
    <r>
      <t xml:space="preserve">Cooling Distribution System - In-Unit Pressure Balancing
</t>
    </r>
    <r>
      <rPr>
        <sz val="10"/>
        <rFont val="Arial"/>
        <family val="2"/>
      </rPr>
      <t>• Verify that bedrooms have been provided with any combination of transfer grills, jump ducts, dedicated return ducts, and/or undercut doors to provide pressure-balancing.</t>
    </r>
  </si>
  <si>
    <r>
      <t xml:space="preserve">Cooling System - Outdoor Air Damper
</t>
    </r>
    <r>
      <rPr>
        <sz val="10"/>
        <rFont val="Arial"/>
        <family val="2"/>
      </rPr>
      <t>• For systems designed with outdoor-air supplied to the cooling distribution system, provide motorized dampers that will automatically shut when systems or spaces are not in use.  Continuously running ventilation would not be subject to either damper, as they are always in use.</t>
    </r>
  </si>
  <si>
    <r>
      <t xml:space="preserve">Cooling Distribution - Flex Duct Installation
</t>
    </r>
    <r>
      <rPr>
        <sz val="10"/>
        <rFont val="Arial"/>
        <family val="2"/>
      </rPr>
      <t xml:space="preserve">• Verify that all cooling ductwork that has been specified as flex duct meets the Sheet Metal Air Conditioning Contractors National Association (SMACNA) installation standards (see </t>
    </r>
    <r>
      <rPr>
        <i/>
        <sz val="10"/>
        <rFont val="Arial"/>
        <family val="2"/>
      </rPr>
      <t xml:space="preserve">Appendix A </t>
    </r>
    <r>
      <rPr>
        <sz val="10"/>
        <rFont val="Arial"/>
        <family val="2"/>
      </rPr>
      <t xml:space="preserve">of the </t>
    </r>
    <r>
      <rPr>
        <i/>
        <sz val="10"/>
        <rFont val="Arial"/>
        <family val="2"/>
      </rPr>
      <t>Modified Prescriptive Path</t>
    </r>
    <r>
      <rPr>
        <sz val="10"/>
        <rFont val="Arial"/>
        <family val="2"/>
      </rPr>
      <t>).</t>
    </r>
  </si>
  <si>
    <t xml:space="preserve">  </t>
  </si>
  <si>
    <r>
      <t xml:space="preserve">Cooling System - Refrigerant Charge, Airflow and Nameplate Data
</t>
    </r>
    <r>
      <rPr>
        <sz val="10"/>
        <rFont val="Arial"/>
        <family val="2"/>
      </rPr>
      <t>• Obtain and keep documentation on file showing correct field measured refrigerant charge, field measured airflow over evaporator coil, nameplate efficiency, and nameplate heat exchange capacity consistent with manufacturer’s specifications.</t>
    </r>
  </si>
  <si>
    <r>
      <t xml:space="preserve">Cooling Distribution - Thermostat
</t>
    </r>
    <r>
      <rPr>
        <sz val="10"/>
        <rFont val="Arial"/>
        <family val="2"/>
      </rPr>
      <t xml:space="preserve">• Verify all </t>
    </r>
    <r>
      <rPr>
        <sz val="11"/>
        <color theme="1"/>
        <rFont val="Calibri"/>
        <family val="2"/>
        <scheme val="minor"/>
      </rPr>
      <t>terminal cooling distribution equipment serving an apartment shall be controlled by a thermostat(s) within the same apartment.</t>
    </r>
  </si>
  <si>
    <r>
      <t>Statement of Substantial Completion - HVAC</t>
    </r>
    <r>
      <rPr>
        <sz val="10"/>
        <rFont val="Arial"/>
        <family val="2"/>
      </rPr>
      <t xml:space="preserve">
• A Statement of Substantial Completion or approved proxy may be used to establish completion of the work associated with this protocol. For HVAC protocols, a Statement of Substantial Completion must be completed by a third-party qualified representative on company letter head, complete with all information, photographs, cut sheets, etc., required in this protocol and in the corresponding </t>
    </r>
    <r>
      <rPr>
        <i/>
        <sz val="10"/>
        <rFont val="Arial"/>
        <family val="2"/>
      </rPr>
      <t>T&amp;V Worksheet.</t>
    </r>
  </si>
  <si>
    <t>LIGHTING - COMMON AREA, IN-UNIT, OUTDOOR &amp; EMERGENCY LIGHTING - PROTOCOL 6.1-6.3</t>
  </si>
  <si>
    <t>2) If possible, ask to have a sample installation completed for verification and testing before the electrician proceeds with all installations.</t>
  </si>
  <si>
    <t>1) Lighting Schedule (with fixture type and lamp wattage)</t>
  </si>
  <si>
    <t>2) Modeler's Lighting Schedule from Performance Path Calculator</t>
  </si>
  <si>
    <t>3) Floor Plans (with fixture locations)</t>
  </si>
  <si>
    <t>4) Contractor Submittals</t>
  </si>
  <si>
    <t>6) Camera</t>
  </si>
  <si>
    <r>
      <t xml:space="preserve">1)  Inspect 100% of unique common areas (basements, lobbies) with 24/7 lighting and follow the modified RESNET sampling protocol outlined in the </t>
    </r>
    <r>
      <rPr>
        <i/>
        <sz val="10"/>
        <rFont val="Arial"/>
        <family val="2"/>
      </rPr>
      <t>How to Use this Manual</t>
    </r>
    <r>
      <rPr>
        <sz val="10"/>
        <rFont val="Arial"/>
        <family val="2"/>
      </rPr>
      <t xml:space="preserve"> section on page 11 of the </t>
    </r>
    <r>
      <rPr>
        <i/>
        <sz val="10"/>
        <rFont val="Arial"/>
        <family val="2"/>
      </rPr>
      <t>T&amp;V Protocols</t>
    </r>
    <r>
      <rPr>
        <sz val="10"/>
        <rFont val="Arial"/>
        <family val="2"/>
      </rPr>
      <t xml:space="preserve"> for similar, or repetitive spaces (stairwells, corridors, trash chute rooms, etc.).</t>
    </r>
  </si>
  <si>
    <r>
      <t xml:space="preserve">2)  For all other spaces with non-24/7 lighting (apartments, storage rooms, mechanical rooms, etc.) follow the modified RESNET sampling protocol outlined in the </t>
    </r>
    <r>
      <rPr>
        <i/>
        <sz val="10"/>
        <rFont val="Arial"/>
        <family val="2"/>
      </rPr>
      <t>How to Use this Manual</t>
    </r>
    <r>
      <rPr>
        <sz val="10"/>
        <rFont val="Arial"/>
        <family val="2"/>
      </rPr>
      <t xml:space="preserve"> section on page 11 of the </t>
    </r>
    <r>
      <rPr>
        <i/>
        <sz val="10"/>
        <rFont val="Arial"/>
        <family val="2"/>
      </rPr>
      <t>T&amp;V Protocols</t>
    </r>
    <r>
      <rPr>
        <sz val="10"/>
        <rFont val="Arial"/>
        <family val="2"/>
      </rPr>
      <t>. This shall include, at a minimum, one representative apartment from each floor.</t>
    </r>
  </si>
  <si>
    <t>3)  *PHOTOS REQUIRED*</t>
  </si>
  <si>
    <t>FIXTURE CODE</t>
  </si>
  <si>
    <t>FIXTURE TYPE</t>
  </si>
  <si>
    <t>GENERAL LOCATION</t>
  </si>
  <si>
    <t>24/7?</t>
  </si>
  <si>
    <r>
      <t xml:space="preserve">INSPECTION COMMENTS </t>
    </r>
    <r>
      <rPr>
        <sz val="11"/>
        <color theme="1"/>
        <rFont val="Calibri"/>
        <family val="2"/>
        <scheme val="minor"/>
      </rPr>
      <t xml:space="preserve">
(Problems, sample details/apt #s, etc.)</t>
    </r>
  </si>
  <si>
    <t>COMMON AREA:</t>
  </si>
  <si>
    <t>FLOOR</t>
  </si>
  <si>
    <t>SQUARE FOOTAGE</t>
  </si>
  <si>
    <t>ROOM NAME</t>
  </si>
  <si>
    <t>ASHRAE SPACE TYPE</t>
  </si>
  <si>
    <t>INSTALLED QUANTITY</t>
  </si>
  <si>
    <t>FIXTURE INSTALLED WATTAGE</t>
  </si>
  <si>
    <t>FLOOR MULTIPLIER</t>
  </si>
  <si>
    <t>TOTAL INSTALLED WATTAGE</t>
  </si>
  <si>
    <t>APARTMENTS:</t>
  </si>
  <si>
    <r>
      <t>Emergency Lighting - Exit Signs</t>
    </r>
    <r>
      <rPr>
        <sz val="11"/>
        <color theme="1"/>
        <rFont val="Calibri"/>
        <family val="2"/>
        <scheme val="minor"/>
      </rPr>
      <t xml:space="preserve">
• All exit signs shall be specified as LED (not to exceed 5W per face) or photo-luminescent and shall conform to local building code. 
• Fixtures located above stairwell doors and other forms of egress shall contain a battery back-up feature.
</t>
    </r>
  </si>
  <si>
    <r>
      <rPr>
        <b/>
        <sz val="10"/>
        <rFont val="Arial"/>
        <family val="2"/>
      </rPr>
      <t xml:space="preserve">Lighting - Ballasts
</t>
    </r>
    <r>
      <rPr>
        <sz val="10"/>
        <rFont val="Arial"/>
        <family val="2"/>
      </rPr>
      <t>• Fixtures specified with electronic ballasts must be confirmed in the field using an electronic ballast tester.</t>
    </r>
  </si>
  <si>
    <r>
      <rPr>
        <b/>
        <sz val="10"/>
        <rFont val="Arial"/>
        <family val="2"/>
      </rPr>
      <t>Lighting - Statement of Substantial Completion - Non 24/7 Spaces</t>
    </r>
    <r>
      <rPr>
        <sz val="10"/>
        <rFont val="Arial"/>
        <family val="2"/>
      </rPr>
      <t xml:space="preserve">
• A Statement of Substantial Completion or approved proxy must be used to establish completion of the work associated in all spaces with lighting not operating 24/7 associated with this protocol. A Statement of Substantial Completion is to be completed by the installation contractor or other qualified representative on company letterhead, complete with all information, photographs, cut sheets, etc., required in this protocol and in the corresponding </t>
    </r>
    <r>
      <rPr>
        <i/>
        <sz val="10"/>
        <rFont val="Arial"/>
        <family val="2"/>
      </rPr>
      <t>T&amp;V Worksheet.</t>
    </r>
  </si>
  <si>
    <r>
      <rPr>
        <b/>
        <sz val="10"/>
        <rFont val="Arial"/>
        <family val="2"/>
      </rPr>
      <t>Lighting - Statement of Substantial Completion - 24/7 Spaces</t>
    </r>
    <r>
      <rPr>
        <sz val="10"/>
        <rFont val="Arial"/>
        <family val="2"/>
      </rPr>
      <t xml:space="preserve">
• A Statement of Substantial Completion or approved proxy may be used to establish completion of all other work associated with this protocol. A Statement of Substantial Completion is to be completed by the installation contractor or other qualified representative on company letterhead, complete with all information, photographs, cut sheets, etc., required in this protocol and in the corresponding </t>
    </r>
    <r>
      <rPr>
        <i/>
        <sz val="10"/>
        <rFont val="Arial"/>
        <family val="2"/>
      </rPr>
      <t>T&amp;V Worksheet.</t>
    </r>
  </si>
  <si>
    <t>HVAC - MOTORS - PROTOCOL 7.1</t>
  </si>
  <si>
    <t>1) The developer or GC shall ensure that deliveries are inspected prior to accepting them to verify that product substitutions by the distributor or manufacturer have not resulted in motors with lower efficiencies than those in the Proposed Design.</t>
  </si>
  <si>
    <t>2) Minimum of one on-site inspection required, preferably immediately after installation so that corrective action can be taken if necessary.  Delivery tickets may be used to verify complete shipments but on-site inspections of a sample of installed motors is required.</t>
  </si>
  <si>
    <t>3) Commissioning is conducted upon completion of the installation of the system.</t>
  </si>
  <si>
    <t>4) Training shall occur following installation of the system and completion of all quality assurance and verification procedures.</t>
  </si>
  <si>
    <t>1) Commissioning Report</t>
  </si>
  <si>
    <t>2) Mechanical Schedule and Floor Plans</t>
  </si>
  <si>
    <t>3) Camera</t>
  </si>
  <si>
    <t>1)  100% of motors over 1 HP and all those servicing primary HVAC equipment (e.g. heating/cooling plants, domestic water heating systems, etc.) shall be inspected in the quality assurance and verification process.</t>
  </si>
  <si>
    <r>
      <t xml:space="preserve">2) </t>
    </r>
    <r>
      <rPr>
        <b/>
        <sz val="10"/>
        <rFont val="Arial"/>
        <family val="2"/>
      </rPr>
      <t>*PHOTOS REQUIRED*</t>
    </r>
    <r>
      <rPr>
        <sz val="10"/>
        <rFont val="Arial"/>
        <family val="2"/>
      </rPr>
      <t xml:space="preserve"> </t>
    </r>
  </si>
  <si>
    <t>- Photograph faceplate; and NEMA Premium label (if applicable) of one representative motor of each size. Given the number of motors and pumps in any given building make sure to clearly identify location and use of each motor represented.</t>
  </si>
  <si>
    <r>
      <rPr>
        <b/>
        <sz val="10"/>
        <rFont val="Arial"/>
        <family val="2"/>
      </rPr>
      <t xml:space="preserve">Motor Schedule: </t>
    </r>
    <r>
      <rPr>
        <sz val="10"/>
        <rFont val="Arial"/>
        <family val="2"/>
      </rPr>
      <t xml:space="preserve">
Record manufacturer and model number of all non-ventilation motors over 1 HP (ventilation motors are covered in the ventilation section, </t>
    </r>
    <r>
      <rPr>
        <i/>
        <sz val="10"/>
        <rFont val="Arial"/>
        <family val="2"/>
      </rPr>
      <t>Protocol 8.2 - Common Area and In-Unit Ventilation (CFM), Intake Source, and Intake/Exhaust Fan Efficiency).</t>
    </r>
  </si>
  <si>
    <t>ENERGY STAR / NEMA PREMIUM</t>
  </si>
  <si>
    <r>
      <t xml:space="preserve">Heating Distribution - Motors
</t>
    </r>
    <r>
      <rPr>
        <sz val="10"/>
        <rFont val="Arial"/>
        <family val="2"/>
      </rPr>
      <t xml:space="preserve">• Confirm manufacturer and model number is </t>
    </r>
    <r>
      <rPr>
        <b/>
        <sz val="10"/>
        <rFont val="Arial"/>
        <family val="2"/>
      </rPr>
      <t xml:space="preserve">NEMA </t>
    </r>
    <r>
      <rPr>
        <b/>
        <u/>
        <sz val="10"/>
        <rFont val="Arial"/>
        <family val="2"/>
      </rPr>
      <t>Premium</t>
    </r>
    <r>
      <rPr>
        <b/>
        <sz val="10"/>
        <rFont val="Arial"/>
        <family val="2"/>
      </rPr>
      <t>*</t>
    </r>
    <r>
      <rPr>
        <sz val="10"/>
        <rFont val="Arial"/>
        <family val="2"/>
      </rPr>
      <t xml:space="preserve"> labeled and/or complies with minimum performance criteria established by that program.</t>
    </r>
  </si>
  <si>
    <r>
      <t xml:space="preserve">Cooling Distribution - Motors
</t>
    </r>
    <r>
      <rPr>
        <sz val="10"/>
        <rFont val="Arial"/>
        <family val="2"/>
      </rPr>
      <t xml:space="preserve">• Confirm manufacturer and model number is </t>
    </r>
    <r>
      <rPr>
        <b/>
        <sz val="10"/>
        <rFont val="Arial"/>
        <family val="2"/>
      </rPr>
      <t xml:space="preserve">NEMA </t>
    </r>
    <r>
      <rPr>
        <b/>
        <u/>
        <sz val="10"/>
        <rFont val="Arial"/>
        <family val="2"/>
      </rPr>
      <t>Premium</t>
    </r>
    <r>
      <rPr>
        <b/>
        <sz val="10"/>
        <rFont val="Arial"/>
        <family val="2"/>
      </rPr>
      <t>*</t>
    </r>
    <r>
      <rPr>
        <sz val="10"/>
        <rFont val="Arial"/>
        <family val="2"/>
      </rPr>
      <t xml:space="preserve"> labeled and/or complies with minimum performance criteria established by that program.</t>
    </r>
  </si>
  <si>
    <r>
      <t xml:space="preserve">DHW Distribution - Motors
</t>
    </r>
    <r>
      <rPr>
        <sz val="10"/>
        <rFont val="Arial"/>
        <family val="2"/>
      </rPr>
      <t xml:space="preserve">• Confirm manufacturer and model number is </t>
    </r>
    <r>
      <rPr>
        <b/>
        <sz val="10"/>
        <rFont val="Arial"/>
        <family val="2"/>
      </rPr>
      <t xml:space="preserve">NEMA </t>
    </r>
    <r>
      <rPr>
        <b/>
        <u/>
        <sz val="10"/>
        <rFont val="Arial"/>
        <family val="2"/>
      </rPr>
      <t>Premium</t>
    </r>
    <r>
      <rPr>
        <sz val="10"/>
        <rFont val="Arial"/>
        <family val="2"/>
      </rPr>
      <t>* labeled and/or complies with minimum performance criteria established by that program.</t>
    </r>
  </si>
  <si>
    <r>
      <t xml:space="preserve">Motors- Manufacturer's Product Data
</t>
    </r>
    <r>
      <rPr>
        <sz val="10"/>
        <rFont val="Arial"/>
        <family val="2"/>
      </rPr>
      <t xml:space="preserve">• </t>
    </r>
    <r>
      <rPr>
        <sz val="11"/>
        <color theme="1"/>
        <rFont val="Calibri"/>
        <family val="2"/>
        <scheme val="minor"/>
      </rPr>
      <t>Review manufacturer’s cut sheets or invoice verifying  motor size and efficiency.</t>
    </r>
  </si>
  <si>
    <t>ENVELOPE - EXTERIOR AIR BARRIER - PROTOCOL 3.1 &amp; 8.1</t>
  </si>
  <si>
    <t xml:space="preserve">This process begins with the construction documentation.  A minimum of 3-5 site visits are recommended to properly inspect air sealing details. Each exterior, common area and in-unit element on the air sealing checklists must be inspected at each of the following stages to ensure use of proper materials and complete seals exist for each juncture or penetration:
</t>
  </si>
  <si>
    <t>1) Window/Wall Mock Up Inspection (If applicable)</t>
  </si>
  <si>
    <t>2) Load-bearing wall and slab-edge/rim-joist inspection:  air/vapor/weather barrier prior to enclosure</t>
  </si>
  <si>
    <t>3) Pre-drywall visual inspection of penetrations</t>
  </si>
  <si>
    <t xml:space="preserve">4) Sample apartment inspection and blower door test </t>
  </si>
  <si>
    <t>5) Post-correction testing of sample apartment</t>
  </si>
  <si>
    <t xml:space="preserve">6) Final inspection and testing of apartments post completion
</t>
  </si>
  <si>
    <t xml:space="preserve">
</t>
  </si>
  <si>
    <t>4) Relevant Wall and Window Sections and Details</t>
  </si>
  <si>
    <r>
      <t xml:space="preserve">2) Sampling may be used to inspect wall assemblies that are consistent throughout large sections of the building.  Inspections done from the exterior shall sample at least 15% of each wall area.  For inspections done from interior spaces, follow the modified RESNET sampling protocol outlined in the </t>
    </r>
    <r>
      <rPr>
        <i/>
        <sz val="10"/>
        <rFont val="Arial"/>
        <family val="2"/>
      </rPr>
      <t>How to Use this Manual</t>
    </r>
    <r>
      <rPr>
        <sz val="10"/>
        <rFont val="Arial"/>
        <family val="2"/>
      </rPr>
      <t xml:space="preserve"> section on page 11 of the </t>
    </r>
    <r>
      <rPr>
        <i/>
        <sz val="10"/>
        <rFont val="Arial"/>
        <family val="2"/>
      </rPr>
      <t>T&amp;V Protocols</t>
    </r>
    <r>
      <rPr>
        <sz val="10"/>
        <rFont val="Arial"/>
        <family val="2"/>
      </rPr>
      <t>, for each unique wall type.  In addition, the sample set must include, at a minimum, all unique assemblies.  If problems are found in the sample set, additional inspections must be conducted to determine the full extent of the problems and to ensure that repairs are completed in all areas of the building where they are needed.</t>
    </r>
  </si>
  <si>
    <t>3)  For elements that provide central services to the building (i.e. entry doors, central duct chases, utility service penetrations, etc.) a minimum 50% sample shall be inspected.  For elements that are repeated throughout the building or occur in every living unit (i.e. windows, wall/floor connections, air conditioner sleeves, etc.) follow RESNET sampling protocol.  If problems are identified, additional units must be inspected to determine if the problems are systemic so an appropriate repair order can be issued.</t>
  </si>
  <si>
    <t>Provide one representative photograph of continuous air barrier at all types of typical joints, junctions, and general coverage areas to include the following at a minimum:</t>
  </si>
  <si>
    <t>5a) Inspected from the exterior: Areas with liquid-applied membranes showing appropriate thickness; AC openings; Windows, Door openings, and Door frame; Transition between wall and roof barrier; Transition between wall and foundation barrier; Plank/Slab Edge (Masonry and Steel Construction) or Rim Joist (Wood Framed Construction)
5b)  Inspected from the interior: Rough openings to windows and doors, AC openings</t>
  </si>
  <si>
    <r>
      <rPr>
        <b/>
        <sz val="10"/>
        <rFont val="Arial"/>
        <family val="2"/>
      </rPr>
      <t xml:space="preserve">General Exterior Enclosure: </t>
    </r>
    <r>
      <rPr>
        <sz val="10"/>
        <rFont val="Arial"/>
        <family val="2"/>
      </rPr>
      <t xml:space="preserve">
• The construction drawings and specifications must clearly identify systems that manage the flow of rainwater (e.g. cladding, air gap and weather resistant barrier), heat (insulation) and air (air barriers) through the exterior enclosure.  Continuity of these three systems must be shown in section, plan and details.  Typical sections must show continuity from the center of the roof assembly, down the walls and fenestration, to the center of the foundation floor.  Submittal of shop drawings detailing continuity of these systems and installer qualifications must be required in the specifications.
• Exterior enclosure assemblies must be designed and constructed to prevent condensation within the assemblies during heating mode, cooling mode or both as the climate dictates.  Assemblies may be drawn from published guidance documents that include hygro-thermal performance analysis.  Alternatively assemblies should pass year – long, hourly hygro-thermal simulations conducted in accordance with ASHRAE 160P.</t>
    </r>
  </si>
  <si>
    <r>
      <t xml:space="preserve">INSPECTION COMMENTS 
</t>
    </r>
    <r>
      <rPr>
        <sz val="10"/>
        <rFont val="Arial"/>
        <family val="2"/>
      </rPr>
      <t>(Problems, sample details/apt #s, etc)</t>
    </r>
  </si>
  <si>
    <t>Air Barrier Component</t>
  </si>
  <si>
    <t>Fluid applied air barrier membrane</t>
  </si>
  <si>
    <t>Self-adhering air barrier membrane</t>
  </si>
  <si>
    <t>Mechanically attached air barrier membrane</t>
  </si>
  <si>
    <t>Board stock air barrier</t>
  </si>
  <si>
    <t>Spray applied polyurethane insulation</t>
  </si>
  <si>
    <t>Gypsum board, CMU or foam board substrate</t>
  </si>
  <si>
    <t>Sealants</t>
  </si>
  <si>
    <t>Primer</t>
  </si>
  <si>
    <t>Mastic</t>
  </si>
  <si>
    <t>Transition membrane</t>
  </si>
  <si>
    <t>Tapes</t>
  </si>
  <si>
    <r>
      <t>Masonry Wall Preparation</t>
    </r>
    <r>
      <rPr>
        <sz val="11"/>
        <color theme="1"/>
        <rFont val="Calibri"/>
        <family val="2"/>
        <scheme val="minor"/>
      </rPr>
      <t xml:space="preserve">
</t>
    </r>
    <r>
      <rPr>
        <sz val="10"/>
        <rFont val="Arial"/>
        <family val="2"/>
      </rPr>
      <t xml:space="preserve">• </t>
    </r>
    <r>
      <rPr>
        <sz val="11"/>
        <color theme="1"/>
        <rFont val="Calibri"/>
        <family val="2"/>
        <scheme val="minor"/>
      </rPr>
      <t>Gaps are filled, Joints struck, CMU is dry, all snags are gone.</t>
    </r>
  </si>
  <si>
    <r>
      <t>Gypsum Board Sheathing Wall Preperation</t>
    </r>
    <r>
      <rPr>
        <sz val="11"/>
        <color theme="1"/>
        <rFont val="Calibri"/>
        <family val="2"/>
        <scheme val="minor"/>
      </rPr>
      <t xml:space="preserve">
• Gaps and joints primed and sealed with appropriate transition membrane or tape that is rated to withstand the thermal and structural deflection calculated for the joint in question
• Edges of transition membrane or tape (termination seams) sealed with compatible sealant where not sealed by liquid membrane
• Air barrier applied in accordance with manufacturer’s instructions.</t>
    </r>
  </si>
  <si>
    <r>
      <t>General Coverage - Liquid Membrane</t>
    </r>
    <r>
      <rPr>
        <sz val="11"/>
        <color theme="1"/>
        <rFont val="Calibri"/>
        <family val="2"/>
        <scheme val="minor"/>
      </rPr>
      <t xml:space="preserve">
</t>
    </r>
    <r>
      <rPr>
        <sz val="10"/>
        <rFont val="Arial"/>
        <family val="2"/>
      </rPr>
      <t xml:space="preserve">• </t>
    </r>
    <r>
      <rPr>
        <sz val="11"/>
        <color theme="1"/>
        <rFont val="Calibri"/>
        <family val="2"/>
        <scheme val="minor"/>
      </rPr>
      <t>Verify proper thickness of liquid-applied membranes using a wet mil gauge; at a minimum, substrate must not be visible.</t>
    </r>
  </si>
  <si>
    <r>
      <t>General Coverage at Adjacent Building Conditions - Liquid Membrane</t>
    </r>
    <r>
      <rPr>
        <sz val="11"/>
        <color theme="1"/>
        <rFont val="Calibri"/>
        <family val="2"/>
        <scheme val="minor"/>
      </rPr>
      <t xml:space="preserve">
• Where unable to install air barrier on the exterior of the building, a low VOC product shall be installed on the interior at full height (top of plank to bottom of plank at each floor). This shall happen before any interior framing is installed.</t>
    </r>
  </si>
  <si>
    <r>
      <t xml:space="preserve">General Coverage / Transition Membrane - Seams
</t>
    </r>
    <r>
      <rPr>
        <sz val="10"/>
        <rFont val="Arial"/>
        <family val="2"/>
      </rPr>
      <t>• All transition membranes should be installed and sealed before insulation is installed on top. Seams shall be sealed per manufacturer’s instructions.</t>
    </r>
  </si>
  <si>
    <r>
      <t xml:space="preserve">Air Barrier Penetrations
</t>
    </r>
    <r>
      <rPr>
        <sz val="10"/>
        <rFont val="Arial"/>
        <family val="2"/>
      </rPr>
      <t>• Post air barrier penetrations shall be sealed per air barrier manufacturer’s requirement.  Transition membranes shall be used to patch as necessary with seams sealed appropriately.</t>
    </r>
  </si>
  <si>
    <r>
      <t xml:space="preserve">Rough Openings (Concrete Masonry Construction) - Windows and Doors
</t>
    </r>
    <r>
      <rPr>
        <sz val="10"/>
        <rFont val="Arial"/>
        <family val="2"/>
      </rPr>
      <t xml:space="preserve">• </t>
    </r>
    <r>
      <rPr>
        <sz val="11"/>
        <color theme="1"/>
        <rFont val="Calibri"/>
        <family val="2"/>
        <scheme val="minor"/>
      </rPr>
      <t xml:space="preserve">Liquid air barrier shall wrap in at masonry rough openings to be flush with inside edge of window or door frame.
• Sheet membrane or metal panel enclosure can be used as alternative as long as it is clear the air barrier is continuous and any gaps are sealed per manufacturer’s instructions with backer rod as necessary.
</t>
    </r>
  </si>
  <si>
    <r>
      <t>Rough Openings (Steel Stud Construction) - Windows and Doors</t>
    </r>
    <r>
      <rPr>
        <sz val="10"/>
        <rFont val="Arial"/>
        <family val="2"/>
      </rPr>
      <t xml:space="preserve">
• Rough opening must be wrapped with sheet membrane all the way inside to be flush with inside edge.</t>
    </r>
  </si>
  <si>
    <r>
      <t xml:space="preserve">Rough Openings - Pipes, Conduits, Ducts, Etc.
</t>
    </r>
    <r>
      <rPr>
        <sz val="10"/>
        <rFont val="Arial"/>
        <family val="2"/>
      </rPr>
      <t xml:space="preserve">• </t>
    </r>
    <r>
      <rPr>
        <sz val="11"/>
        <color theme="1"/>
        <rFont val="Calibri"/>
        <family val="2"/>
        <scheme val="minor"/>
      </rPr>
      <t>Gaps shall be filled with backer rod as necessary and sealant compatible with all surfaces (Where smooth surfaces are present, mechanical gasket seals can be used). EPA recommends using a minimum 20 year sealant.</t>
    </r>
  </si>
  <si>
    <r>
      <t xml:space="preserve">Rough Openings - Cast Stone Sills
</t>
    </r>
    <r>
      <rPr>
        <sz val="10"/>
        <rFont val="Arial"/>
        <family val="2"/>
      </rPr>
      <t xml:space="preserve">• </t>
    </r>
    <r>
      <rPr>
        <sz val="11"/>
        <color theme="1"/>
        <rFont val="Calibri"/>
        <family val="2"/>
        <scheme val="minor"/>
      </rPr>
      <t>Cast stone sill shall be sealed to sill pan. EPA recommends using minimum 20 year compatible sealant where not sealed by grout.</t>
    </r>
  </si>
  <si>
    <r>
      <t xml:space="preserve">Rough Openings - Gap at Window Frames
</t>
    </r>
    <r>
      <rPr>
        <sz val="10"/>
        <rFont val="Arial"/>
        <family val="2"/>
      </rPr>
      <t>• Gaps between window frame (header, jambs, sill) and rough opening shall be sealed on the interior with backer rod as necessary and sealant that is compatible with all surfaces applied to.  EPA recommends using a minimum 20 year sealant.</t>
    </r>
  </si>
  <si>
    <r>
      <t xml:space="preserve">Rough Openings - Gap at Exterior Door Frames
</t>
    </r>
    <r>
      <rPr>
        <sz val="10"/>
        <rFont val="Arial"/>
        <family val="2"/>
      </rPr>
      <t>• Gaps between door frame (header, jambs, threshold) and rough opening shall be sealed on the interior with backer rod as necessary and sealant that is compatible with all surfaces applied to. EPA recommends using a minimum 20 year sealant.</t>
    </r>
  </si>
  <si>
    <r>
      <t xml:space="preserve">Rough Openings - A/C Sleeves
</t>
    </r>
    <r>
      <rPr>
        <sz val="10"/>
        <rFont val="Arial"/>
        <family val="2"/>
      </rPr>
      <t>• Gaps between A/C sleeves and rough openings to be sealed on the interior with backer rod as necessary and sealant that is compatible with all surfaces applied to. EPA recommends using a minimum 20 year sealant. Insulated interior cover with air tight compressible gasket must be provided.</t>
    </r>
  </si>
  <si>
    <r>
      <t>Plank Edges (Steel Stud Construction) - At plank / exterior sheathing joint</t>
    </r>
    <r>
      <rPr>
        <sz val="10"/>
        <rFont val="Arial"/>
        <family val="2"/>
      </rPr>
      <t xml:space="preserve">
• Transition Membrane must be installed over top spanning  the sheathing / plank edge joint creating a bellows with backer rod
• All termination seams must be sealed with compatible sealant. EPA recommends using a minimum 20 year sealant. 
</t>
    </r>
  </si>
  <si>
    <r>
      <t>Plank Edges (Concrete Masonry Construction) - At plank / CMU joint</t>
    </r>
    <r>
      <rPr>
        <sz val="10"/>
        <rFont val="Arial"/>
        <family val="2"/>
      </rPr>
      <t xml:space="preserve">
• Option 1 - If gap is greater than 1/4", Transition Membrane must be used to seal the gap with minimum 3" overlap
• Option 2 - If gap is less than 1/4", Liquid Membrane can be used to seal the gap
• Option 3 - When shelf angles are to be installed, through wall flashing must be draped from above to completely cover the joints at top and bottom edges of the plank and sealed to the shelf angle.  The Liquid Membrane shall be applied up to and continuing on the underside of the shelf angle to achieve continuity.</t>
    </r>
  </si>
  <si>
    <r>
      <t>Plank Edges - At plank / steel girder joint</t>
    </r>
    <r>
      <rPr>
        <sz val="10"/>
        <rFont val="Arial"/>
        <family val="2"/>
      </rPr>
      <t xml:space="preserve">
• Through wall flashing must be draped from above to completely cover this joint and the entire face of the girder and sealed to the shelf angle.
• This can be sealed with a transition membrane from the interior underside of the plank if the girder is solid and is allowed by local code.</t>
    </r>
  </si>
  <si>
    <r>
      <t xml:space="preserve">Steel Columns - Steel / CMU / Exterior Sheathing Joints
</t>
    </r>
    <r>
      <rPr>
        <sz val="10"/>
        <rFont val="Arial"/>
        <family val="2"/>
      </rPr>
      <t>• If allowed by local code, EPA suggests gaps shall be filled with backer rod as necessary and minimum 20 year sealant that is compatible with all surfaces applied to. Alternatively a transition membrane can be installed over top spanning the entire steel column, extending 3" beyond each edge of the column and adhered to the substrate per manufacturer's recommendations.</t>
    </r>
  </si>
  <si>
    <r>
      <t xml:space="preserve">Wall to Roof Connections
</t>
    </r>
    <r>
      <rPr>
        <sz val="10"/>
        <rFont val="Arial"/>
        <family val="2"/>
      </rPr>
      <t>• Liquid air barrier must be brought up over grout edge part of roof plank and shall be sealed over the plank / grout joint</t>
    </r>
  </si>
  <si>
    <r>
      <t xml:space="preserve">Transition between foundations and walls
</t>
    </r>
    <r>
      <rPr>
        <sz val="10"/>
        <rFont val="Arial"/>
        <family val="2"/>
      </rPr>
      <t>• Through wall flashing must be draped from above to completely cover this joint and adhered to the face of the foundation wall.
• This can be sealed with a transition membrane from the interior underside of the plank if the girder is solid and is allowed by local code.</t>
    </r>
  </si>
  <si>
    <r>
      <t xml:space="preserve">Transition between one wall type and another
</t>
    </r>
    <r>
      <rPr>
        <sz val="10"/>
        <rFont val="Arial"/>
        <family val="2"/>
      </rPr>
      <t>• Gaps and joints primed and sealed with appropriate transition membrane or tape that is rated to withstand the thermal and structural deflection calculated for the joint in question
• Edges of transition membrane or tape (termination seams) sealed with compatible sealant where not sealed by liquid membrane
• All termination seams must be sealed with minimum 20-year compatible sealant.</t>
    </r>
  </si>
  <si>
    <r>
      <t>Transition at inside and outside corners</t>
    </r>
    <r>
      <rPr>
        <sz val="10"/>
        <rFont val="Arial"/>
        <family val="2"/>
      </rPr>
      <t xml:space="preserve">
• Gaps and joints primed and sealed with appropriate transition membrane or tape that is rated to withstand the thermal and structural deflection calculated for the joint in question
• Edges of transition membrane or tape (termination seams) sealed with compatible sealant where not sealed by liquid membrane
• All termination seams must be sealed with minimum 20-year compatible sealant.</t>
    </r>
  </si>
  <si>
    <r>
      <t xml:space="preserve">Transition between exterior enclosure and interior walls, floors and ceilings that bound non-conditioned spaces (e.g. garages, some mechanical rooms, vented attics, vented crawlspaces)
• </t>
    </r>
    <r>
      <rPr>
        <sz val="10"/>
        <rFont val="Arial"/>
        <family val="2"/>
      </rPr>
      <t>At these transitions the rain water control elements remain as part of the exterior enclosure while the insulation, air barrier and condensation control functions connect to the interior walls, floors and ceilings.</t>
    </r>
  </si>
  <si>
    <r>
      <t xml:space="preserve">Other
</t>
    </r>
    <r>
      <rPr>
        <sz val="10"/>
        <rFont val="Arial"/>
        <family val="2"/>
      </rPr>
      <t>• Use this worksheet to identify areas to be inspected based on building geometry, construction, location of mechanicals and building utilities, etc.  The list is not exhaustive and the responsible party must still review building plans and field conditions to identify additional leakage sources to be sealed.</t>
    </r>
  </si>
  <si>
    <t>INFILTRATION - COMPARTMENTALIZATION - PROTOCOL 8.1</t>
  </si>
  <si>
    <t>3) Floor Plans and Relevant Details</t>
  </si>
  <si>
    <t>1)  For elements that provide central services to the building (i.e. entry doors, central duct chases, utility service penetrations, etc.) a minimum 50% sample shall be inspected.  For elements that are repeated throughout the building or occur in every living unit (i.e. windows, wall/floor connections, air conditioner sleeves, etc.) follow RESNET sampling protocol.  If problems are identified, additional units must be inspected to determine if the problems are systemic so an appropriate repair order can be issued.</t>
  </si>
  <si>
    <t>2) One sample apartment will be inspected and tested to ensure air sealing details are correct before building-wide installations continue.</t>
  </si>
  <si>
    <t>3) During construction, apartment units must be visually inspected prior to drywall and upon final completion following RESNET sampling protocol.  The sample set shall be representative of the variety of apartment types in the building, including:  end/corner units and inside units; top-floor, middle-floor, bottom-floor units; and at least one unit of each size/type (i.e., studios, 1-bed, 2-bed, etc.).</t>
  </si>
  <si>
    <t>Provide one representative photograph of continuous air barrier at all types of typical joints, junctions, and general coverage areas. Include the following at a minimum:</t>
  </si>
  <si>
    <t xml:space="preserve">5a)  Inspected from the interior: Window to interior gypsum board, Air conditioner sleeve sealed to drywall (cover is installed if ACs provided by building), Outlet/Electrical Box - Exterior and Demising Walls, Heating pipe penetrations through exterior walls, Heating pipe penetrations through interior partitions, Plumbing / Sprinkler Pipe Penetrations, Range Gas Line Penetration, Gypsum board to concrete ceiling plank connection - Exterior walls and all interior partition walls, Gap between take off duct and gypsum board, Electrical Panel, HVAC Access Doors, Thermostats, Intercoms, Lighting Fixtures, Door Latch Hole, Medicine Cabinet
</t>
  </si>
  <si>
    <t>• Walls, ceilings and floors that separate each apartment from neighboring apartments, corridors, common space, trash chutes, utility chases and trenches, upper floor, lower floors, stairwells and elevator shafts must be air sealed to form a continuous air barrier surrounding the apartment and connecting to the exterior enclosure air barrier system.
• As with the exterior air barrier, the compartmentalization air barrier bid and contract documents shall demonstrate a continuous, unbroken air barrier separating each apartment from surrounding spaces.  Air barrier materials and accessories shall be clearly identified in section, plan and details.</t>
  </si>
  <si>
    <r>
      <rPr>
        <b/>
        <sz val="10"/>
        <rFont val="Arial"/>
        <family val="2"/>
      </rPr>
      <t xml:space="preserve">Compliance Statement
</t>
    </r>
    <r>
      <rPr>
        <sz val="10"/>
        <rFont val="Arial"/>
        <family val="2"/>
      </rPr>
      <t>• Assembly meets or exceeds the requirements listed in the</t>
    </r>
    <r>
      <rPr>
        <i/>
        <sz val="10"/>
        <rFont val="Arial"/>
        <family val="2"/>
      </rPr>
      <t xml:space="preserve"> Modified Prescriptive Path.</t>
    </r>
  </si>
  <si>
    <r>
      <rPr>
        <b/>
        <sz val="10"/>
        <rFont val="Arial"/>
        <family val="2"/>
      </rPr>
      <t>Inspect framing layout for interior demising (common) walls and interior partitions to ensure:</t>
    </r>
    <r>
      <rPr>
        <sz val="10"/>
        <rFont val="Arial"/>
        <family val="2"/>
      </rPr>
      <t xml:space="preserve">
• Demising wall air barrier (e.g.  sealed gypsum board or coated CMU) extends completely to all adjacent walls and is connected in an air tight way to the exterior enclosure air barriers.
• Demising wall air barrier (e.g.  sealed gypsum board or coated CMU)  extends completely to ceiling plank (or other solid ceiling material) where drop ceilings are present. 
</t>
    </r>
  </si>
  <si>
    <r>
      <t xml:space="preserve">Gypsum board to concrete ceiling plank connection
</t>
    </r>
    <r>
      <rPr>
        <sz val="10"/>
        <rFont val="Arial"/>
        <family val="2"/>
      </rPr>
      <t>• Exterior walls and all interior partition walls</t>
    </r>
  </si>
  <si>
    <r>
      <t xml:space="preserve">Gypsum board to concrete floor plank connection 
</t>
    </r>
    <r>
      <rPr>
        <sz val="10"/>
        <rFont val="Arial"/>
        <family val="2"/>
      </rPr>
      <t>• Exterior walls and all interior partition walls</t>
    </r>
  </si>
  <si>
    <r>
      <t xml:space="preserve">A/C Sleeve Cover (if A/Cs provided by building)
</t>
    </r>
    <r>
      <rPr>
        <sz val="10"/>
        <rFont val="Arial"/>
        <family val="2"/>
      </rPr>
      <t>•</t>
    </r>
    <r>
      <rPr>
        <b/>
        <sz val="10"/>
        <rFont val="Arial"/>
        <family val="2"/>
      </rPr>
      <t xml:space="preserve"> </t>
    </r>
    <r>
      <rPr>
        <sz val="10"/>
        <rFont val="Arial"/>
        <family val="2"/>
      </rPr>
      <t>Verify that insulated covers for through-wall AC units have been provided by the building for use during heating season and when AC units are not installed.  Ensure the cover is equipped with a gasket so when installed it will have an airtight seal against the drywall. As an alternative to a gasket, sealant may be used but will have to be resealed each time it is installed.</t>
    </r>
  </si>
  <si>
    <t>INFILTRATION - BLOWER DOOR TEST - PROTOCOL 8.1</t>
  </si>
  <si>
    <t>3) Knife</t>
  </si>
  <si>
    <t>4) Screwdrivers (Hex, Phillips, Flat)</t>
  </si>
  <si>
    <t>5) Duct Mask</t>
  </si>
  <si>
    <t>6) Blue Painter's Tape</t>
  </si>
  <si>
    <t>7) Metal Tape</t>
  </si>
  <si>
    <t>8) Floor Plans</t>
  </si>
  <si>
    <t>9) Riser Diagrams</t>
  </si>
  <si>
    <t>10) Duct Blaster</t>
  </si>
  <si>
    <t>11) Manometer</t>
  </si>
  <si>
    <r>
      <t xml:space="preserve">Apartment Tightness Summary: </t>
    </r>
    <r>
      <rPr>
        <sz val="10"/>
        <rFont val="Arial"/>
        <family val="2"/>
      </rPr>
      <t>This section can be duplicated, copy and insert rows</t>
    </r>
  </si>
  <si>
    <t>Apt #</t>
  </si>
  <si>
    <t>Floor Area
(FA)</t>
  </si>
  <si>
    <t xml:space="preserve">Perimeter Wall Length
(PWL) </t>
  </si>
  <si>
    <t>Ceiling Height
(CH)</t>
  </si>
  <si>
    <t>Enclosure Area 
(2* FA) + (PWL*CH)</t>
  </si>
  <si>
    <t>VENTILATION - SCHEDULE AND OPERATION - PROTOCOL 8.2</t>
  </si>
  <si>
    <t>2) Minimum of one on-site inspection required, preferably immediately after installation so that corrective action can be taken if necessary.  Delivery tickets may be used to verify complete shipments but on-site inspections of a sample of installed appliances is required.</t>
  </si>
  <si>
    <t>Equipment Needed:</t>
  </si>
  <si>
    <t>3) Screwdrivers (Hex, Phillips, Flat)</t>
  </si>
  <si>
    <t>4) Floor Plans (preferably with mechanicals)</t>
  </si>
  <si>
    <t>5) Roof Plans (preferably with mechanicals)</t>
  </si>
  <si>
    <t>6) Mechanical Schedule</t>
  </si>
  <si>
    <t>7) Cut Sheets from Contractor Submittals</t>
  </si>
  <si>
    <t>8) Pressure Pan</t>
  </si>
  <si>
    <t>9) Manometer</t>
  </si>
  <si>
    <t>10) Quantified CO release (if applicable)</t>
  </si>
  <si>
    <t>DESIGN CFM</t>
  </si>
  <si>
    <t>DESIGN PRESSURE (Pa)</t>
  </si>
  <si>
    <t>ENERGY STAR / NEMA PREMIUM?</t>
  </si>
  <si>
    <t>ECM?</t>
  </si>
  <si>
    <t>DIRECT-DRIVE?</t>
  </si>
  <si>
    <t>VARIABLE SPEED CONTROLLERS</t>
  </si>
  <si>
    <r>
      <t xml:space="preserve">INSPECTION COMMENTS 
</t>
    </r>
    <r>
      <rPr>
        <sz val="10"/>
        <rFont val="Arial"/>
        <family val="2"/>
      </rPr>
      <t>Problems, sample details/apt #s, etc.</t>
    </r>
  </si>
  <si>
    <r>
      <t xml:space="preserve">Non - Apartment Fan Efficiency
</t>
    </r>
    <r>
      <rPr>
        <sz val="10"/>
        <rFont val="Arial"/>
        <family val="2"/>
      </rPr>
      <t>• Design specifications shall include fan energy efficiency criteria (BHP and motor efficiency) for the fans themselves.</t>
    </r>
  </si>
  <si>
    <r>
      <t xml:space="preserve">Apartment Fan Efficiency (Roof)
</t>
    </r>
    <r>
      <rPr>
        <sz val="10"/>
        <rFont val="Arial"/>
        <family val="2"/>
      </rPr>
      <t>• Specifications shall include fan energy efficiency criteria (BHP and motor efficiency) for the fans themselves.</t>
    </r>
  </si>
  <si>
    <r>
      <t xml:space="preserve">Apartment Fan Efficiency (In-Unit)
</t>
    </r>
    <r>
      <rPr>
        <sz val="10"/>
        <rFont val="Arial"/>
        <family val="2"/>
      </rPr>
      <t xml:space="preserve">• Specifications shall also include fan energy efficiency criteria (Watts/CFM) for the fans themselves. </t>
    </r>
  </si>
  <si>
    <r>
      <rPr>
        <b/>
        <sz val="10"/>
        <rFont val="Arial"/>
        <family val="2"/>
      </rPr>
      <t>Heat or Energy Recovery</t>
    </r>
    <r>
      <rPr>
        <sz val="10"/>
        <rFont val="Arial"/>
        <family val="2"/>
      </rPr>
      <t xml:space="preserve">
• Consider heat or energy recovery for 100% of corridor supply air. Capacity of heat recovery unit should match the design corridor ventilation rates.</t>
    </r>
  </si>
  <si>
    <r>
      <t>Common Area Supply Ventilation - Outdoor Air Damper</t>
    </r>
    <r>
      <rPr>
        <sz val="11"/>
        <color theme="1"/>
        <rFont val="Calibri"/>
        <family val="2"/>
        <scheme val="minor"/>
      </rPr>
      <t xml:space="preserve">
• For systems designed with outdoor-air supplied to the ventilation distribution system, provide motorized dampers that will automatically shut when systems or spaces are not in use.  Continuously running ventilation would not be subject to either damper, as they are always in use.</t>
    </r>
  </si>
  <si>
    <r>
      <rPr>
        <b/>
        <sz val="10"/>
        <rFont val="Arial"/>
        <family val="2"/>
      </rPr>
      <t>Ventilation - Manufacturer's Product Data</t>
    </r>
    <r>
      <rPr>
        <sz val="10"/>
        <rFont val="Arial"/>
        <family val="2"/>
      </rPr>
      <t xml:space="preserve">
• Review manufacturer’s cut sheets or invoice detailing system manufacturer, model, HP and CFM.</t>
    </r>
  </si>
  <si>
    <r>
      <t>Statement of Substantial Completion - HVAC</t>
    </r>
    <r>
      <rPr>
        <sz val="10"/>
        <rFont val="Arial"/>
        <family val="2"/>
      </rPr>
      <t xml:space="preserve">
• A Statement of Substantial Completion or approved proxy may be used to establish completion of the work associated with this protocol. A Statement of Substantial Completion is to be completed by the installation contractor or other qualified representative on company letterhead, complete with all information, photographs, cut sheets, etc., required in this protocol and in the corresponding </t>
    </r>
    <r>
      <rPr>
        <i/>
        <sz val="10"/>
        <rFont val="Arial"/>
        <family val="2"/>
      </rPr>
      <t>T&amp;V Worksheet.</t>
    </r>
  </si>
  <si>
    <t>Fan/Shaft ID</t>
  </si>
  <si>
    <t>Total Design CFM</t>
  </si>
  <si>
    <t>Floor</t>
  </si>
  <si>
    <t>Calculator for Non Apartment Spaces (ASHRAE 62.1 - 2007)</t>
  </si>
  <si>
    <t>Space Name</t>
  </si>
  <si>
    <t>Number of Floors</t>
  </si>
  <si>
    <t>Space Type</t>
  </si>
  <si>
    <t>CFM/Person</t>
  </si>
  <si>
    <t>CFM/SF</t>
  </si>
  <si>
    <t>Occupant Density/1000 SF</t>
  </si>
  <si>
    <t>Floor Area (SF)</t>
  </si>
  <si>
    <t>Ventilation Design (CFM)</t>
  </si>
  <si>
    <t>Ventilation Requirement (CFM)</t>
  </si>
  <si>
    <t>Total</t>
  </si>
  <si>
    <t>Calculator for Apartment Spaces (ASHRAE 62.2 - 2007)</t>
  </si>
  <si>
    <t>Typical Floor Area (SF)</t>
  </si>
  <si>
    <t>Local Exhaust Ventilation - Continuous</t>
  </si>
  <si>
    <t>Kitchen Type</t>
  </si>
  <si>
    <t>Volume (CF)</t>
  </si>
  <si>
    <t>Bathroom Type</t>
  </si>
  <si>
    <t>Total Ventilation Requirement (CFM)</t>
  </si>
  <si>
    <t>Local Exhaust Ventilation - Intermittent</t>
  </si>
  <si>
    <t>Kitchen</t>
  </si>
  <si>
    <t>Bath</t>
  </si>
  <si>
    <t>ASHRAE 62.1 - 2007 Table 6-1</t>
  </si>
  <si>
    <t>Occupant Density</t>
  </si>
  <si>
    <t>Combined Outdoor Air Rate</t>
  </si>
  <si>
    <t>Air Class</t>
  </si>
  <si>
    <t>Conference/Meeting Room</t>
  </si>
  <si>
    <t>Storage Rooms</t>
  </si>
  <si>
    <t>Electrical Equipment Rooms</t>
  </si>
  <si>
    <t>Elevator Machine Rooms</t>
  </si>
  <si>
    <t>Lobbies</t>
  </si>
  <si>
    <t>ASHRAE 62.2 - 2007 Table 5.1 &amp; 5.2</t>
  </si>
  <si>
    <t>Ventilation Type</t>
  </si>
  <si>
    <t>Intermittent</t>
  </si>
  <si>
    <t>Units</t>
  </si>
  <si>
    <t>Continuous</t>
  </si>
  <si>
    <t>ACH</t>
  </si>
  <si>
    <t>VENTILATION - DUCT TIGHTNESS TEST - PROTOCOL 8.2</t>
  </si>
  <si>
    <t>6) Foam Blocks (***If dry wall has started)</t>
  </si>
  <si>
    <t>8) Floor and Roof Plans (preferably with mechanicals)</t>
  </si>
  <si>
    <r>
      <t xml:space="preserve">1)  Apartment ventilation risers must be inspected and verified for system performance following the modified RESNET sampling protocol outlined in the </t>
    </r>
    <r>
      <rPr>
        <i/>
        <sz val="10"/>
        <rFont val="Arial"/>
        <family val="2"/>
      </rPr>
      <t xml:space="preserve">How to Use this Manual </t>
    </r>
    <r>
      <rPr>
        <sz val="10"/>
        <rFont val="Arial"/>
        <family val="2"/>
      </rPr>
      <t xml:space="preserve">section on page 11 of the </t>
    </r>
    <r>
      <rPr>
        <i/>
        <sz val="10"/>
        <rFont val="Arial"/>
        <family val="2"/>
      </rPr>
      <t>T&amp;V Protocols.</t>
    </r>
    <r>
      <rPr>
        <sz val="10"/>
        <rFont val="Arial"/>
        <family val="2"/>
      </rPr>
      <t xml:space="preserve">  For each ventilation riser in the sample set, conduct inspections at every other floor to obtain a representative profile.  The sample shall include at least one riser for each type/size of fan installed in the building.</t>
    </r>
  </si>
  <si>
    <t>2) *PHOTOS REQUIRED*</t>
  </si>
  <si>
    <t>- One representative photo of each duct sealing detail outlined below</t>
  </si>
  <si>
    <t>LOCATION
dwg / spec</t>
  </si>
  <si>
    <t>INSPECTION COMMENTS 
Problems, sample details/apt #s, etc.</t>
  </si>
  <si>
    <r>
      <rPr>
        <b/>
        <sz val="10"/>
        <rFont val="Arial"/>
        <family val="2"/>
      </rPr>
      <t>Transverse Joints (Central and Through Wall)</t>
    </r>
    <r>
      <rPr>
        <sz val="10"/>
        <rFont val="Arial"/>
        <family val="2"/>
      </rPr>
      <t xml:space="preserve">
• All transverse joints sealed air-tight with mastic applied according to manufacturers requirements (i.e. application temperature). This includes verifying through visual inspection that joints and gaps between all exhaust and supply ducts and sheetrock at the grills have been sealed.</t>
    </r>
  </si>
  <si>
    <r>
      <rPr>
        <b/>
        <sz val="10"/>
        <rFont val="Arial"/>
        <family val="2"/>
      </rPr>
      <t>Transitions (Central and Through Wall)</t>
    </r>
    <r>
      <rPr>
        <sz val="10"/>
        <rFont val="Arial"/>
        <family val="2"/>
      </rPr>
      <t xml:space="preserve">
• All duct transitional junctions have been sealed with mastic.</t>
    </r>
  </si>
  <si>
    <r>
      <rPr>
        <b/>
        <sz val="10"/>
        <rFont val="Arial"/>
        <family val="2"/>
      </rPr>
      <t>Pinned Ducts  (Central and Through Wall)</t>
    </r>
    <r>
      <rPr>
        <sz val="10"/>
        <rFont val="Arial"/>
        <family val="2"/>
      </rPr>
      <t xml:space="preserve">
• All joints have been completely sealed around the entire perimeter including those tight against a wall or ceiling. Before connecting ductwork at this condition, ample mastic needs to be applied to both sections and then connected while the mastic is still wet to achieve the seal.</t>
    </r>
  </si>
  <si>
    <r>
      <rPr>
        <b/>
        <sz val="10"/>
        <rFont val="Arial"/>
        <family val="2"/>
      </rPr>
      <t>Elbow Joints (Round Duct Work)</t>
    </r>
    <r>
      <rPr>
        <sz val="10"/>
        <rFont val="Arial"/>
        <family val="2"/>
      </rPr>
      <t xml:space="preserve">
• All elbow joints have been effectively sealed with mastic.</t>
    </r>
  </si>
  <si>
    <r>
      <rPr>
        <b/>
        <sz val="10"/>
        <rFont val="Arial"/>
        <family val="2"/>
      </rPr>
      <t>Exterior Wall Connection  (Through Wall)</t>
    </r>
    <r>
      <rPr>
        <sz val="10"/>
        <rFont val="Arial"/>
        <family val="2"/>
      </rPr>
      <t xml:space="preserve">
• Ductwork connection with exterior grill termination has been sealed air-tight.</t>
    </r>
  </si>
  <si>
    <r>
      <rPr>
        <b/>
        <sz val="10"/>
        <rFont val="Arial"/>
        <family val="2"/>
      </rPr>
      <t>Statement of Substantial Completion - HVAC</t>
    </r>
    <r>
      <rPr>
        <sz val="10"/>
        <rFont val="Arial"/>
        <family val="2"/>
      </rPr>
      <t xml:space="preserve">
• A Statement of Substantial Completion or approved proxy may be submitted to establish completion of the work associated with this protocol. For HVAC protocols a Statement of Substantial Completion must be completed by a third party qualified representative on company letterhead and attached to all relevant </t>
    </r>
    <r>
      <rPr>
        <i/>
        <sz val="10"/>
        <rFont val="Arial"/>
        <family val="2"/>
      </rPr>
      <t>T&amp;V Worksheets</t>
    </r>
    <r>
      <rPr>
        <sz val="10"/>
        <rFont val="Arial"/>
        <family val="2"/>
      </rPr>
      <t xml:space="preserve"> complete with all required information, photographs, cut sheets, etc.</t>
    </r>
  </si>
  <si>
    <t>Approximate Indoor Temp (F):</t>
  </si>
  <si>
    <t>Approximate Outdoor Temp (F):</t>
  </si>
  <si>
    <t>Baseline Pressure (Pa):</t>
  </si>
  <si>
    <t>Shaft Pressure</t>
  </si>
  <si>
    <t>Fan Pressure (Pa)</t>
  </si>
  <si>
    <t>Plate Position</t>
  </si>
  <si>
    <t>Flow Rate (cfm)</t>
  </si>
  <si>
    <t>Log (Duct Curb Press)</t>
  </si>
  <si>
    <t>Log (Flowrate)</t>
  </si>
  <si>
    <t>Slope:</t>
  </si>
  <si>
    <t>Intercept:</t>
  </si>
  <si>
    <t>C:</t>
  </si>
  <si>
    <t>n:</t>
  </si>
  <si>
    <t>R:</t>
  </si>
  <si>
    <t>From Regression:</t>
  </si>
  <si>
    <r>
      <t>CFM</t>
    </r>
    <r>
      <rPr>
        <vertAlign val="subscript"/>
        <sz val="10"/>
        <rFont val="Arial"/>
        <family val="2"/>
      </rPr>
      <t>50:</t>
    </r>
  </si>
  <si>
    <t>Pressurization</t>
  </si>
  <si>
    <t>Depressurization</t>
  </si>
  <si>
    <t>METERS - CONFIGURATION - PROTOCOL 9.1</t>
  </si>
  <si>
    <t>1) After piping and wiring are complete</t>
  </si>
  <si>
    <t>2) After installation, hook-up, and activation of meters.</t>
  </si>
  <si>
    <t>2) Plans and Specifications</t>
  </si>
  <si>
    <r>
      <t xml:space="preserve">1) Where metering is in basement or central location, check all meter banks.  Where metering is distributed in common areas, such as hallway utility closets or is inside individual apartments, follow the modified RESNET sampling protocol outlined in the </t>
    </r>
    <r>
      <rPr>
        <i/>
        <sz val="10"/>
        <rFont val="Arial"/>
        <family val="2"/>
      </rPr>
      <t>How to Use this Manual</t>
    </r>
    <r>
      <rPr>
        <sz val="10"/>
        <rFont val="Arial"/>
        <family val="2"/>
      </rPr>
      <t xml:space="preserve"> section on page 11 of the </t>
    </r>
    <r>
      <rPr>
        <i/>
        <sz val="10"/>
        <rFont val="Arial"/>
        <family val="2"/>
      </rPr>
      <t>T&amp;V Protocols</t>
    </r>
    <r>
      <rPr>
        <sz val="10"/>
        <rFont val="Arial"/>
        <family val="2"/>
      </rPr>
      <t xml:space="preserve"> to include, at a minimum, one apartment from each line.
</t>
    </r>
  </si>
  <si>
    <t>- Provide photographs of all types of meters (electrical, gas, water) for building.  Be sure to properly label location and type of meter represented.</t>
  </si>
  <si>
    <t>METER TYPE:</t>
  </si>
  <si>
    <t>Electric</t>
  </si>
  <si>
    <t>Gas</t>
  </si>
  <si>
    <t>Fuel Oil</t>
  </si>
  <si>
    <t>Water</t>
  </si>
  <si>
    <t>Steam</t>
  </si>
  <si>
    <t>Hot Water</t>
  </si>
  <si>
    <t>Location</t>
  </si>
  <si>
    <r>
      <t xml:space="preserve">Utility Company
</t>
    </r>
    <r>
      <rPr>
        <i/>
        <sz val="10"/>
        <rFont val="Arial"/>
        <family val="2"/>
      </rPr>
      <t>(National Grid)</t>
    </r>
  </si>
  <si>
    <r>
      <t xml:space="preserve">Configuration
</t>
    </r>
    <r>
      <rPr>
        <i/>
        <sz val="10"/>
        <rFont val="Arial"/>
        <family val="2"/>
      </rPr>
      <t>(Direct, Master, Sub)</t>
    </r>
  </si>
  <si>
    <t># of Meters</t>
  </si>
  <si>
    <r>
      <t xml:space="preserve">Areas Served
</t>
    </r>
    <r>
      <rPr>
        <i/>
        <sz val="10"/>
        <rFont val="Arial"/>
        <family val="2"/>
      </rPr>
      <t>(Common, Apts, Retail)</t>
    </r>
  </si>
  <si>
    <r>
      <rPr>
        <b/>
        <sz val="10"/>
        <rFont val="Arial"/>
        <family val="2"/>
      </rPr>
      <t xml:space="preserve">Location - Residential
</t>
    </r>
    <r>
      <rPr>
        <sz val="10"/>
        <rFont val="Arial"/>
        <family val="2"/>
      </rPr>
      <t xml:space="preserve">• Confirm location and existence of electric, gas, and water meters and observe configurations (areas served) in relation to plans and specifications.   </t>
    </r>
  </si>
  <si>
    <r>
      <rPr>
        <b/>
        <sz val="10"/>
        <rFont val="Arial"/>
        <family val="2"/>
      </rPr>
      <t xml:space="preserve">Location - Nonresidential
</t>
    </r>
    <r>
      <rPr>
        <sz val="10"/>
        <rFont val="Arial"/>
        <family val="2"/>
      </rPr>
      <t>• Post-construction, the utility consumption of the residential-associated spaces must be capable of evaluation independent of any commercial/retail spaces. These nonresidential associated parts of the building shall be separately metered (or sub-metered) for electricity, gas, fuel oil, water, steam, and hot water for domestic and/or space heating purposes.</t>
    </r>
  </si>
  <si>
    <r>
      <rPr>
        <b/>
        <sz val="10"/>
        <rFont val="Arial"/>
        <family val="2"/>
      </rPr>
      <t xml:space="preserve">Type
</t>
    </r>
    <r>
      <rPr>
        <sz val="10"/>
        <rFont val="Arial"/>
        <family val="2"/>
      </rPr>
      <t xml:space="preserve">• Check meter types against specifications (and/or utility correspondence). </t>
    </r>
  </si>
  <si>
    <r>
      <rPr>
        <b/>
        <sz val="10"/>
        <rFont val="Arial"/>
        <family val="2"/>
      </rPr>
      <t xml:space="preserve">Configuration
</t>
    </r>
    <r>
      <rPr>
        <sz val="10"/>
        <rFont val="Arial"/>
        <family val="2"/>
      </rPr>
      <t>• Confirm metering configuration: master meter, submetered, direct metered.</t>
    </r>
  </si>
  <si>
    <r>
      <rPr>
        <b/>
        <sz val="10"/>
        <rFont val="Arial"/>
        <family val="2"/>
      </rPr>
      <t xml:space="preserve">Utility Release Forms
</t>
    </r>
    <r>
      <rPr>
        <sz val="10"/>
        <rFont val="Arial"/>
        <family val="2"/>
      </rPr>
      <t xml:space="preserve">• For buildings that are direct-metered for utilities to the apartments, the building owner must secure signed releases from individual apartment occupants to allow for benchmarking or find alternative methods to assessing whole building energy consumption, such as a whole-building meter or asking the utility for aggregated data. All data uploaded to Portfolio Manager is strictly confidential and only used to estimate the energy performance of the building as a whole, not of individual apartments. </t>
    </r>
  </si>
  <si>
    <t>Shower: Max 1.75 gpm and WaterSense labeled;
Lavatory faucets and aerators: WaterSense labeled;
All other faucets: Max average of 2.00 gpm</t>
  </si>
  <si>
    <t>86% Et (89% if using heat pumps)</t>
  </si>
  <si>
    <t>Wall Insulation Levels</t>
  </si>
  <si>
    <t>R-0</t>
  </si>
  <si>
    <t>R-11</t>
  </si>
  <si>
    <t>R-13</t>
  </si>
  <si>
    <t>R-17</t>
  </si>
  <si>
    <t>R-19</t>
  </si>
  <si>
    <t>R-30</t>
  </si>
  <si>
    <t>R-38</t>
  </si>
  <si>
    <t>Roof Insulation Levels</t>
  </si>
  <si>
    <t>&lt;Select R-value&gt;</t>
  </si>
  <si>
    <t>Window Types</t>
  </si>
  <si>
    <t>&lt;Select Type&gt;</t>
  </si>
  <si>
    <t>Single pane clear</t>
  </si>
  <si>
    <t>Double pane clear</t>
  </si>
  <si>
    <t>Double pane, low e</t>
  </si>
  <si>
    <t>City</t>
  </si>
  <si>
    <t>Wall 0 to 13</t>
  </si>
  <si>
    <t>Wall 11 to 13</t>
  </si>
  <si>
    <t>Wall 0 to 19</t>
  </si>
  <si>
    <t>Wall 11 to 19</t>
  </si>
  <si>
    <t>Wall 13 to 19</t>
  </si>
  <si>
    <t>Wall 17 to 19</t>
  </si>
  <si>
    <t>Wall 0 to 21</t>
  </si>
  <si>
    <t>Wall 11 to 21</t>
  </si>
  <si>
    <t>Wall 13 to 21</t>
  </si>
  <si>
    <t>Wall 17 to 21</t>
  </si>
  <si>
    <t>Wall 19 to 21</t>
  </si>
  <si>
    <t>Roof 0 to 30</t>
  </si>
  <si>
    <t>Roof 0 to 49</t>
  </si>
  <si>
    <t>Roof 11 to 30</t>
  </si>
  <si>
    <t>Roof 11 to 49</t>
  </si>
  <si>
    <t>Roof 19 to 30</t>
  </si>
  <si>
    <t>Roof 19 to 49</t>
  </si>
  <si>
    <t>Roof 30 to 49</t>
  </si>
  <si>
    <t>Roof 38 to 49</t>
  </si>
  <si>
    <t>kWh/ kSF</t>
  </si>
  <si>
    <t>kW/ kSF</t>
  </si>
  <si>
    <t>therm/ kSF</t>
  </si>
  <si>
    <t>Therm/100 SF</t>
  </si>
  <si>
    <t>Representative City:</t>
  </si>
  <si>
    <t>kWh/kSF</t>
  </si>
  <si>
    <t>kW/kSF</t>
  </si>
  <si>
    <t>therm/kSF</t>
  </si>
  <si>
    <t>R-49</t>
  </si>
  <si>
    <t>R-21</t>
  </si>
  <si>
    <t>Metal framing (curtainwall)</t>
  </si>
  <si>
    <t>Baseline Text</t>
  </si>
  <si>
    <t>Baseline Value</t>
  </si>
  <si>
    <t>Assembly U-factor (maximum)</t>
  </si>
  <si>
    <t>Tons per Unit</t>
  </si>
  <si>
    <t>Number of Units Installed</t>
  </si>
  <si>
    <t>Occupiable space*:</t>
  </si>
  <si>
    <t>*Occupiable space = Gross heated square footage of residential and residentially-associated spaces.   Previously called GHSF.</t>
  </si>
  <si>
    <t>Cost Source, if entered by Partner</t>
  </si>
  <si>
    <t>Note that throughout these worksheets, common information from cells are linked and should automatically update.  Only cells shaded in blue need to be entered manually. Entering values into white cells will override pre-determined formulas.  However, depending on the project, there may be reason to write over the pre-determined formulas.</t>
  </si>
  <si>
    <t xml:space="preserve">Prescriptive Path </t>
  </si>
  <si>
    <t>Savings</t>
  </si>
  <si>
    <t>T&amp;V Worksheets</t>
  </si>
  <si>
    <r>
      <t xml:space="preserve">These tabs are used to facilitate and document the design review and inspection process.  These tabs have their own instruction sheet labeled T&amp;V Instructions.  </t>
    </r>
    <r>
      <rPr>
        <i/>
        <sz val="9"/>
        <rFont val="Calibri"/>
        <family val="2"/>
      </rPr>
      <t/>
    </r>
  </si>
  <si>
    <t xml:space="preserve">Modified Prescriptive Path Calculator </t>
  </si>
  <si>
    <t xml:space="preserve">* For gut rehabilitation projects, the Baseline Building Design shall reflect existing conditions prior to any revisions that are part of the scope of work being evaluated, as described in the building envelope section of Table G3.1 of Appendix G. </t>
  </si>
  <si>
    <t xml:space="preserve">This tab calculates the savings, costs, and cost effectiveness of each measure and the project as a whole, based on Program-wide assumptions. The incremental cost provided for each measure in column H can be adjusted based on the Partner's findings. Please provide the corresponding cost source in column I for all adjustments made.  </t>
  </si>
  <si>
    <r>
      <t xml:space="preserve">The Modified </t>
    </r>
    <r>
      <rPr>
        <i/>
        <sz val="11"/>
        <rFont val="Calibri"/>
        <family val="2"/>
      </rPr>
      <t xml:space="preserve">Prescriptive Path Calculator </t>
    </r>
    <r>
      <rPr>
        <sz val="11"/>
        <rFont val="Calibri"/>
        <family val="2"/>
      </rPr>
      <t xml:space="preserve">calculates estimated savings and costs based on project specific data. It also includes a checklist for the Partner and Participant to confirm that all Modified Prescriptive Path Requirements are met.  </t>
    </r>
  </si>
  <si>
    <t>Partner Fees - Design</t>
  </si>
  <si>
    <t>Partner Fees - Inspection &amp; Verification</t>
  </si>
  <si>
    <t>Partner Fees - Other</t>
  </si>
  <si>
    <t>Total Partner Fees</t>
  </si>
  <si>
    <t>Historic Building**?</t>
  </si>
  <si>
    <t>** As defined per NYS ECCC 2010 Section 101.4.2.</t>
  </si>
  <si>
    <t>Tons (total)</t>
  </si>
  <si>
    <t>MMBtu/h (total)</t>
  </si>
  <si>
    <t>MMBtu (total)</t>
  </si>
  <si>
    <t>CFM (total)</t>
  </si>
  <si>
    <t>Design Supply CFM</t>
  </si>
  <si>
    <r>
      <t xml:space="preserve">After the plan review or inspection has been completed, the </t>
    </r>
    <r>
      <rPr>
        <i/>
        <sz val="10"/>
        <rFont val="Arial"/>
        <family val="2"/>
      </rPr>
      <t>T&amp;V Worksheets</t>
    </r>
    <r>
      <rPr>
        <sz val="10"/>
        <rFont val="Arial"/>
        <family val="2"/>
      </rPr>
      <t xml:space="preserve"> or sections of the 'Overview' Worksheet can be printed and used as deliverables to provide feedback to the project team.</t>
    </r>
  </si>
  <si>
    <r>
      <t xml:space="preserve">Each </t>
    </r>
    <r>
      <rPr>
        <i/>
        <sz val="10"/>
        <rFont val="Arial"/>
        <family val="2"/>
      </rPr>
      <t>T&amp;V Worksheet</t>
    </r>
    <r>
      <rPr>
        <sz val="10"/>
        <rFont val="Arial"/>
        <family val="2"/>
      </rPr>
      <t xml:space="preserve"> lists the individual elements from the </t>
    </r>
    <r>
      <rPr>
        <i/>
        <sz val="10"/>
        <rFont val="Arial"/>
        <family val="2"/>
      </rPr>
      <t>ENERGY STAR MFHR Testing and Verification Protocols (T&amp;V Protocols)</t>
    </r>
    <r>
      <rPr>
        <sz val="10"/>
        <rFont val="Arial"/>
        <family val="2"/>
      </rPr>
      <t xml:space="preserve"> that needs to be checked either in the design phase and/or during construction. For both the "Plan Review" and "Inspection" columns, there is a comment box for feedback as well as a verification input where you can choose one of the following after reviewing that particular element. This information links back to the 'ERMs', 'Overview', and 'Prerequisites Checklist' Worksheets for easy reference when updating the model, communicating with the project team or NYSERDA.</t>
    </r>
  </si>
  <si>
    <r>
      <t xml:space="preserve">The Worksheet labeled 'Table of Contents' can be used to quickly jump to the desired </t>
    </r>
    <r>
      <rPr>
        <i/>
        <sz val="10"/>
        <rFont val="Arial"/>
        <family val="2"/>
      </rPr>
      <t>T&amp;V Worksheet</t>
    </r>
    <r>
      <rPr>
        <sz val="10"/>
        <rFont val="Arial"/>
        <family val="2"/>
      </rPr>
      <t>.  Additionally each worksheet has a link in the top left corner labeled "TOC" that brings you back to the 'Table of Contents' Worksheet.</t>
    </r>
  </si>
  <si>
    <t>The T&amp;V Worksheets in the As-Built submittal will represent the conditions of the Final Building and do not need to include information from each site visit as long as the Final Building meets the requirements of the Modified Prescriptive Path.  In other words, it's not necessary to update the digital version of the worksheets after each site visit, as long as the final conditions are documented in the submitted version.  At a minimum, T&amp;V Worksheets filled in by hand at each inspection shall be kept on file in the case further information is requested by NYSERDA.</t>
  </si>
  <si>
    <t>Post-inspection feedback entered into each worksheet is linked back to the 'ERMs' Worksheet as a summary for identifying measures needing corrections.  They are also linked to the 'Overview' tab serving as a project overview from design to completion.</t>
  </si>
  <si>
    <t xml:space="preserve">All requirements of the Modified Prescriptive Path are linked to the 'Modified Prescriptive Path Checklist'. Prior to submitting the T&amp;V Worksheets to NYSERDA, review the applicable checklist to confirm that all prerequisites or prescriptive requirements have been verified. </t>
  </si>
  <si>
    <t>After the construction documents have been reviewed and feedback provided in the T&amp;V Worksheets, it is linked back to the 'Overview' Worksheet which serves as a summary of the plan review. The next step is either to make revisions to the modeling inputs and/or provide feedback to the project team on how to bring the design in line with the requirements as specified in the Modified Prescriptive Path.  The 'Overview' Worksheet can also be used as the deliverable to provide feedback to the project team.  Rows and columns can be hidden as review items become closed, or if the deliverable is being sent to the project Architect or Engineer and only certain items are applicable.  This helps minimize the size and makes the document a more manageable discussion piece.</t>
  </si>
  <si>
    <t>The "Proposed Method of Compliance" column is linked to relevant cells/worksheets throughout the individual T&amp;V Worksheets. This provides the person responsible for reviewing construction documents and on site inspections necessary information to confirm whether program goals and design intent have been met.</t>
  </si>
  <si>
    <r>
      <t xml:space="preserve">Energy reduction measures are first described in the 'ERMs' Worksheet in the column labeled "Proposed Method of Compliance".  Energy reduction measures are determined </t>
    </r>
    <r>
      <rPr>
        <sz val="10"/>
        <rFont val="Arial"/>
        <family val="2"/>
      </rPr>
      <t xml:space="preserve">by the requirements listed in the </t>
    </r>
    <r>
      <rPr>
        <i/>
        <sz val="10"/>
        <rFont val="Arial"/>
        <family val="2"/>
      </rPr>
      <t>Modified Prescriptive Path</t>
    </r>
    <r>
      <rPr>
        <sz val="10"/>
        <rFont val="Arial"/>
        <family val="2"/>
      </rPr>
      <t xml:space="preserve"> for your climate zone.</t>
    </r>
  </si>
  <si>
    <r>
      <t xml:space="preserve">= Inspection Worksheet, </t>
    </r>
    <r>
      <rPr>
        <i/>
        <sz val="10"/>
        <rFont val="Arial"/>
        <family val="2"/>
      </rPr>
      <t>typically completed during Construction Close-out</t>
    </r>
  </si>
  <si>
    <r>
      <t xml:space="preserve">= Inspection Worksheet, </t>
    </r>
    <r>
      <rPr>
        <i/>
        <sz val="10"/>
        <rFont val="Arial"/>
        <family val="2"/>
      </rPr>
      <t>typically completed during Finishes</t>
    </r>
  </si>
  <si>
    <r>
      <t>= Inspection Worksheet,</t>
    </r>
    <r>
      <rPr>
        <i/>
        <sz val="10"/>
        <rFont val="Arial"/>
        <family val="2"/>
      </rPr>
      <t xml:space="preserve"> typically completed during Pre-Drywall or Drywall Inspection</t>
    </r>
  </si>
  <si>
    <t>= Introductory Worksheets</t>
  </si>
  <si>
    <t>Worksheets</t>
  </si>
  <si>
    <r>
      <t xml:space="preserve">= Comments made during Plan Review. </t>
    </r>
    <r>
      <rPr>
        <i/>
        <sz val="10"/>
        <rFont val="Arial"/>
        <family val="2"/>
      </rPr>
      <t>Enter data in these blue cells in the Inspections Worksheets ONLY. All other blue cells (including those in the ‘ERMs’ and ‘Overview’ worksheets) link back to the Inspection Worksheets for relevant data.</t>
    </r>
  </si>
  <si>
    <r>
      <t>= Proposed ERM.</t>
    </r>
    <r>
      <rPr>
        <i/>
        <sz val="10"/>
        <rFont val="Arial"/>
        <family val="2"/>
      </rPr>
      <t xml:space="preserve"> Enter data in these orange cells in the ‘ERMs’ worksheet ONLY. All other orange cells in this workbook link back to the ‘ERMs’ worksheet for relevant data.</t>
    </r>
  </si>
  <si>
    <r>
      <t xml:space="preserve">Click the link below or paste the web address into your browser to watch the </t>
    </r>
    <r>
      <rPr>
        <b/>
        <i/>
        <sz val="11"/>
        <color indexed="8"/>
        <rFont val="Calibri"/>
        <family val="2"/>
      </rPr>
      <t>T&amp;V Worksheets</t>
    </r>
    <r>
      <rPr>
        <b/>
        <sz val="11"/>
        <color indexed="8"/>
        <rFont val="Calibri"/>
        <family val="2"/>
      </rPr>
      <t xml:space="preserve"> Training Video (not specific to this Modified version):</t>
    </r>
  </si>
  <si>
    <t>T&amp;V Worksheets Version 1.5 - Instructions</t>
  </si>
  <si>
    <t>Performance</t>
  </si>
  <si>
    <t>Compliance Path</t>
  </si>
  <si>
    <t>Is this project participating in any state or local ENERGY STAR program?</t>
  </si>
  <si>
    <t>Protocol 8.2 - Common Area and In-Unit Ventilation (CFM), Fan Efficiency, Central Exhaust Duct Leakage</t>
  </si>
  <si>
    <t>Protocol 8.1 - Building Envelope Air Sealing and Compartmentalization Testing</t>
  </si>
  <si>
    <t>Protocol 5.4 - Distributed (Individual Apartment or Common Space) Cooling Systems</t>
  </si>
  <si>
    <t>Protocol 5.3 - Distributed (Individual Apartment or Common Space) Heating Systems</t>
  </si>
  <si>
    <t>Protocol 5.2 - Central Cooling Systems (Serving 5+ units/spaces)</t>
  </si>
  <si>
    <t>Protocol 5.1 - Central Heating Systems (Serving 5+ units/spaces)</t>
  </si>
  <si>
    <t>Protocol 2.2 - Distributed DHW (Individual Apartment or Common Space) Systems</t>
  </si>
  <si>
    <t>Protocol 2.1 - Central DHW Systems (Serving 5+units/spaces)</t>
  </si>
  <si>
    <t>Protocol 1.1 - ENERGY STAR Certified Appliances</t>
  </si>
  <si>
    <t>Ventilation: Thermal
(Apartments and Common Areas)</t>
  </si>
  <si>
    <t>Domestic Hot Water - Storage Insulation</t>
  </si>
  <si>
    <t>http://www.nema.org/Policy/Energy/Efficiency/Documents/NEMA_Premium_Partners.pdf.</t>
  </si>
  <si>
    <r>
      <t xml:space="preserve">[1] Many motors are NEMA labeled and this label alone does not ensure that a motor is energy-efficient.  This requirement refers specifically to the </t>
    </r>
    <r>
      <rPr>
        <b/>
        <sz val="9"/>
        <rFont val="Arial"/>
        <family val="2"/>
      </rPr>
      <t>NEMA Premium</t>
    </r>
    <r>
      <rPr>
        <sz val="9"/>
        <rFont val="Arial"/>
        <family val="2"/>
      </rPr>
      <t xml:space="preserve"> energy efficient motors program.  Participating companies may be found at:</t>
    </r>
  </si>
  <si>
    <t>Ventilation system ductwork shall be sealed at all transverse joints and connections including boot to wall/ceiling connections through drywall using UL-181 compliant materials and methods. Central exhaust systems that serve one or more apartments must be tested for duct leakage, which cannot exceed the sum of 5 CFM50 per register per shaft plus 5 CFM50 per floor per shaft.</t>
  </si>
  <si>
    <t>Apartment in-line and ceiling exhaust fans must be ENERGY STAR certified.</t>
  </si>
  <si>
    <t xml:space="preserve">Central exhaust and in-line exhaust systems serving apartments must have self-balancing dampers at each register. </t>
  </si>
  <si>
    <t>Apartment ventilation and local exhaust systems shall be designed and tested to satisfy minimum requirements of Section 4.1 of ASHRAE 62.2-2007, without reliance on natural ventilation and without exceeding the minimum ventilation rates by more than 50%. 
Outdoor air must be provided to each unit directly from the outdoors.  Projects using exhaust ventilation systems must specify how outside air is delivered at the flow rate required by ASHRAE 62.2-2007.  Systems that rely on transfer air from pressurized hallways or corridors, adjacent to dwelling units, attics, etc., are prohibited.</t>
  </si>
  <si>
    <t xml:space="preserve">Apartment ventilation and local exhaust systems shall be designed and tested to satisfy minimum requirements of Section 4.1 of ASHRAE 62.2-2007, without reliance on natural ventilation and without exceeding the minimum ventilation rates by more than 50%. </t>
  </si>
  <si>
    <t>(c) DHW Pump Motor Efficiency</t>
  </si>
  <si>
    <r>
      <t xml:space="preserve">All three-phase pump motors 1 horse-power or larger shall meet or exceed efficiency standards for NEMA Premium™ motors, where available.
</t>
    </r>
    <r>
      <rPr>
        <sz val="9"/>
        <color indexed="8"/>
        <rFont val="Arial"/>
        <family val="2"/>
      </rPr>
      <t xml:space="preserve">
Motors 5 horse-power or larger for circulating pumps serving hydronic cooling systems must be specified with variable frequency drives.
Cooling tower fan motors must be equipped with VFD controlled by a temperature sensor on the condenser water supply pipe.</t>
    </r>
  </si>
  <si>
    <t>(b) Cooling Pump Motor Efficiency</t>
  </si>
  <si>
    <t>All three-phase pump motors 1 horse-power or larger shall meet or exceed efficiency standards for NEMA Premium™ motors, where available.
Motors 5 horse-power or larger for circulating pumps serving hydronic heating systems must be specified with variable frequency drives.</t>
  </si>
  <si>
    <t>At a minimum, interior lighting must be designed to meet light levels (footcandles) by space type as recommended by the Illumination Engineering Society (IESNA) Lighting Handbook, 9th edition. Values for commonly used spaces are listed in the Modified Prescriptive Path. For senior housing, minimum illumination requirements may follow recommendations in IESNA’s 2007 Lighting and the Visual Environment for Senior Living. See Appendix B of the Modified Prescriptive Path to determine lamp lumens.</t>
  </si>
  <si>
    <t>All hard-wired lighting fixtures and ceiling fans installed within apartments shall meet or exceed ENERGY STAR specifications.  ENERGY STAR certified screw-in lamps may be used in  the following applications only:  Closets, storage spaces, and other locations that are not within habitable living space.
Overall in-unit lighting power density may not exceed 0.7 W/ft2.</t>
  </si>
  <si>
    <t>80% of in-unit light fixtures must be ENERGY STAR certified or have ENERGY STAR certified lamps installed. Alternatively, 100% of in-unit light fixtures must have high-efficacy lamps installed, as defined in Appendix B.
Overall in-unit lighting power density may not exceed 0.75 W/ft2.</t>
  </si>
  <si>
    <t>80% of outdoor lighting fixtures shall be ENERGY STAR certified or have ENERGY STAR certified lamps installed. Alternatively, 100% of outdoor lighting fixtures must have high-efficacy lamps installed, as defined in Appendix B.</t>
  </si>
  <si>
    <t>Total specified lighting power for the combined non-apartment spaces must not exceed ASHRAE 90.1-2010 allowances for those combined spaces. 
Lighting power densities and allowances must be determined using ASHRAE 90.1-2010, Table 9.5.1 or Table 9.6.1. Lighting controls may not be used to reduce the specified lighting power for compliance with this requirement. For senior living, an increase in lighting power densities and allowances corresponding to the increase in footcandles, is permitted.
If following the Modified Prescriptive Path, when calculating overall lighting power density, use 0.7 W/ft2 for spaces where lighting is not installed.</t>
  </si>
  <si>
    <t>All light fixtures in non-apartments spaces, including hallways, stairwells, lobbies, elevators and decorative fixtures, shall have a combined lamp and ballast efficacies meeting or exceeding ENERGY STAR specifications.  Alternatively, T-5 or T-8 lamps with electronic ballasts or ENERGY STAR certified screw-in lamps may be used.</t>
  </si>
  <si>
    <t>80% of installed light fixtures must be ENERGY STAR certified or have ENERGY STAR certified lamps installed. Alternatively, 100% of installed light fixtures in common spaces must have high-efficacy lamps installed, as defined in Appendix B.</t>
  </si>
  <si>
    <t>(n) Duct Distribution Design</t>
  </si>
  <si>
    <t>For hydronic distribution systems without automatic balancing valves, all supply/return headers must be designed in a “reverse return” configuration (i.e. first riser supplied is the last returned, etc.) and/or sized based on a water velocity of less than 4 ft/s.  Total pressure drop of terminal unit branch piping and fittings between a supply and return riser must be significantly greater than the total pressure drop from the top to the bottom of these risers.</t>
  </si>
  <si>
    <t>(m) Hydronic Distribution Design</t>
  </si>
  <si>
    <t>(l) Thermostats</t>
  </si>
  <si>
    <t>(k) Outside Air Dampers</t>
  </si>
  <si>
    <t>(j) Heating Piping Insulation</t>
  </si>
  <si>
    <t>(i) Cooling Piping Insulation</t>
  </si>
  <si>
    <r>
      <t>Total duct leakage for in-unit systems shall be ≤8 CFM25 per 100 ft</t>
    </r>
    <r>
      <rPr>
        <vertAlign val="superscript"/>
        <sz val="9"/>
        <color indexed="8"/>
        <rFont val="Arial"/>
        <family val="2"/>
      </rPr>
      <t>2</t>
    </r>
    <r>
      <rPr>
        <sz val="9"/>
        <color indexed="8"/>
        <rFont val="Arial"/>
        <family val="2"/>
      </rPr>
      <t xml:space="preserve"> of conditioned floor area. Sampling procedures and tolerances are described in the </t>
    </r>
    <r>
      <rPr>
        <i/>
        <sz val="9"/>
        <color indexed="8"/>
        <rFont val="Arial"/>
        <family val="2"/>
      </rPr>
      <t>T&amp;V Worksheets</t>
    </r>
    <r>
      <rPr>
        <sz val="9"/>
        <color indexed="8"/>
        <rFont val="Arial"/>
        <family val="2"/>
      </rPr>
      <t>. As an alternative to meeting total duct leakage requirements post-construction, total duct leakage measured at rough-in, ≤4 CFM25 per 100ft2, with air handler and all ductwork installed, is accepted.</t>
    </r>
  </si>
  <si>
    <t>Heating and cooling ductwork that is specified as flex duct shall follow the Sheet Metal and Air Conditioning Contractors’ (SMACNA) installation standards for flex ducts (see Appendix A of the Modified Prescriptive Path).</t>
  </si>
  <si>
    <t>Based on the climate zone, the specified cooling equipment meets the Prescriptive requirements for efficiency.  Cooling equipment shall be ENERGY STAR certified, where applicable. ENERGY STAR certification must be verified through the ENERGY STAR website.</t>
  </si>
  <si>
    <t>Based on the climate zone, the specified cooling equipment meets the Prescriptive requirements for efficiency. If ENERGY STAR  certification is required, it must be verified through the ENERGY STAR website.</t>
  </si>
  <si>
    <t>Based on the climate zone, the specified heating equipment meets the Prescriptive requirements for efficiency. If ENERGY STAR certification is required, it must be verified through the ENERGY STAR website.</t>
  </si>
  <si>
    <t>Electric resistance space heating not permitted in any space.  
If the prescriptive Heating Season Performance Factors are met for air-source heat pumps, electric resistance back-up heating is allowed, if programmable thermostats with adaptive recovery technology are installed.</t>
  </si>
  <si>
    <t xml:space="preserve">Heating equipment shall be ENERGY STAR certified, where applicable. Atmospherically vented gas furnaces and boilers shall not be specified. </t>
  </si>
  <si>
    <t>Garages, including plenums and dropped ceilings within the garage, shall not be heated for comfort or to prevent pipes from freezing.  Piping design and layout shall locate piping within conditioned spaces or grouped and properly insulated to prevent freezing. Heat tracing for freeze protection may not be used.</t>
  </si>
  <si>
    <t>If installing sleeves for through-wall AC units, insulated covers must be provided by the building for use during heating season and when AC units are not installed.</t>
  </si>
  <si>
    <t>Specified windows must be double or triple-pane, with low-emissivity glass or coatings. 
If an NFRC label is not available, manufacturer must provide assembly U-values, not center-of-glass. Alternatively, LBNL’s WINDOW 6.3 software or NFRC’s CMAST may be used.
Based on the climate zone, the specified windows meet the Prescriptive requirements.</t>
  </si>
  <si>
    <t>For steel-framed and metal building walls, continuous exterior insulation (≥R-3) is required on above grade walls. For mass or masonry walls with metal framing, continuous interior or exterior insulation (≥R-3) is required on above grade walls. 
Projected balconies are currently exempt, however, EPA recommends that they are thermally broken.</t>
  </si>
  <si>
    <t xml:space="preserve">• The average flow rate for all showers must be ≤ 1.75 gallons per minute per stall (as rated at 80 psi) and all showerheads must be WaterSense labeled. 
• If flow ratings at 80 psi are not available, WaterSense labeled faucets or aerators may be used to meet this prerequisite. 
• All lavatory faucets or aerators must be WaterSense labeled. 
• The average flow rate for all other faucets must be ≤ 2.0 gallons per minute (as rated at 80 psi).
</t>
  </si>
  <si>
    <t>Self-contained or electronic mixing valves shall be used to control hot water temperature for central domestic water heating systems serving apartments.</t>
  </si>
  <si>
    <r>
      <t xml:space="preserve">Domestic water heating equipment shall be ENERGY STAR certified, where applicable, and meet minimum efficiencies below. ENERGY STAR certification must be verified through the ENERGY STAR website. Atmospherically vented gas water heaters, tankless coils and side-arm water heaters shall not be specified. Indirect water heaters, with or without storage, are acceptable.
</t>
    </r>
    <r>
      <rPr>
        <u/>
        <sz val="9"/>
        <color indexed="8"/>
        <rFont val="Arial"/>
        <family val="2"/>
      </rPr>
      <t>Water Heater Minimum Efficiencies</t>
    </r>
    <r>
      <rPr>
        <sz val="9"/>
        <color indexed="8"/>
        <rFont val="Arial"/>
        <family val="2"/>
      </rPr>
      <t xml:space="preserve">
      •  In-Unit Electric OR Gas Water Heaters (storage or instantaneous)
         - Gas (EF): 0.69-(0.002 x Tank Gallon Capacity)
         - Electric (EF): 0.97-(0.001 x Tank Gallon Capacity)
      •  Hot Water Supply Boiler (Oil or Gas): 85% Et</t>
    </r>
  </si>
  <si>
    <t>When provided in common areas and/or apartments, refrigerators, dishwashers, clothes washers, ceiling fans and vending machines must be ENERGY STAR certified.</t>
  </si>
  <si>
    <t>Explanation for N/A or Non-Verified Requirements</t>
  </si>
  <si>
    <t>Modified Prescriptive Path
The proposed design shall AT LEAST meet each of these requirements for each indicated measure or system, or applicable Local, State, or National codes, whichever is more stringent.</t>
  </si>
  <si>
    <t>4) Submit to NYSERDA twice, once after all Modified Prescriptive Path requirements have been verified in design and again after the final inspection.</t>
  </si>
  <si>
    <t>1) For Modified Prescriptive Path projects, this Worksheet confirms all requirements of the Modified Prescriptive Path have been met or exceeded.</t>
  </si>
  <si>
    <t>U-0.55</t>
  </si>
  <si>
    <t>U-1.20</t>
  </si>
  <si>
    <t>U-0.80</t>
  </si>
  <si>
    <t>U-1.10</t>
  </si>
  <si>
    <t>U-0.30</t>
  </si>
  <si>
    <t>U-0.50</t>
  </si>
  <si>
    <t>R-20.0 for 24 in. vertical or horizontal</t>
  </si>
  <si>
    <t>R-20.0 ci</t>
  </si>
  <si>
    <t>R-8.3 ci</t>
  </si>
  <si>
    <t>R-4.2 ci</t>
  </si>
  <si>
    <t>R-15.0 continuous</t>
  </si>
  <si>
    <t>R-12.5 continuous</t>
  </si>
  <si>
    <t>R-13.0 +  R-18.8 ci</t>
  </si>
  <si>
    <t>R-13.0 +  R-21.9 ci.</t>
  </si>
  <si>
    <t>R-13.0 +  R-3.8 ci</t>
  </si>
  <si>
    <t>R-13.0 +    R-3.8 ci</t>
  </si>
  <si>
    <t>R-13.0 +  R-21.9 ci</t>
  </si>
  <si>
    <t>R-13.0 +  R-10.0 ci</t>
  </si>
  <si>
    <t>R-13.0 + R-5.0 c.i.</t>
  </si>
  <si>
    <t>R-13.0 +  R-26.0 ci</t>
  </si>
  <si>
    <t>R-13.0 +  R-19.5 ci</t>
  </si>
  <si>
    <t>R-13.0 +    R-6.5 ci</t>
  </si>
  <si>
    <t>R-31.3 continuous</t>
  </si>
  <si>
    <t>R-11.4 continuous</t>
  </si>
  <si>
    <t>R-9.5 continuous</t>
  </si>
  <si>
    <t>R-7.6 continuous</t>
  </si>
  <si>
    <t>R-60.0</t>
  </si>
  <si>
    <t>R-30.0 +    R-11.0 Ls</t>
  </si>
  <si>
    <t>R-35.0 continuous</t>
  </si>
  <si>
    <t xml:space="preserve">2.     In Climate Zone 7 and 8, dual-fuel backup is not required for ENERGY STAR certified heat pumps that have no backup heating because the heat pump is capable of meeting 100% of the design heating load. </t>
  </si>
  <si>
    <t>87% Et  (86% Et with additional requirements; 
89% Et if using heat pumps)</t>
  </si>
  <si>
    <t>ENERGY STAR certified</t>
  </si>
  <si>
    <t xml:space="preserve">85% AFUE </t>
  </si>
  <si>
    <t>Duel fuel back-up</t>
  </si>
  <si>
    <t xml:space="preserve">ENERGY STAR certified
9.5HSPF </t>
  </si>
  <si>
    <t xml:space="preserve">ENERGY STAR certified
9.25HSPF </t>
  </si>
  <si>
    <t xml:space="preserve">ENERGY STAR certified
8.5HSPF </t>
  </si>
  <si>
    <t xml:space="preserve">ENERGY STAR certified
8.2HSPF </t>
  </si>
  <si>
    <t>15.0 SEER/ 12.5 EER/ 8.2 HSPF</t>
  </si>
  <si>
    <t>78% AFUE or 80% Et</t>
  </si>
  <si>
    <t xml:space="preserve">ENERGY STAR certified </t>
  </si>
  <si>
    <t xml:space="preserve">Not permitted in any space using the Prescriptive Path </t>
  </si>
  <si>
    <t xml:space="preserve">13 SEER </t>
  </si>
  <si>
    <t>16 SEER</t>
  </si>
  <si>
    <r>
      <t xml:space="preserve">Table 1 </t>
    </r>
    <r>
      <rPr>
        <b/>
        <i/>
        <sz val="10"/>
        <rFont val="Arial"/>
        <family val="2"/>
      </rPr>
      <t>Modified Prescriptive Path</t>
    </r>
    <r>
      <rPr>
        <b/>
        <sz val="10"/>
        <rFont val="Arial"/>
        <family val="2"/>
      </rPr>
      <t xml:space="preserve"> – Minimum Heating and Cooling Equipment Efficiencies</t>
    </r>
  </si>
  <si>
    <t>Duct Leakage Testing - Central Exhaust Systems Serving Apartments</t>
  </si>
  <si>
    <t>Fresh Air Intakes are Properly Located</t>
  </si>
  <si>
    <t>Fresh Air Intake Systems - Operating Sequence</t>
  </si>
  <si>
    <t>All Ventilation Systems - Capacity, Testing and Balancing</t>
  </si>
  <si>
    <t>Preliminary Testing (Recommended)</t>
  </si>
  <si>
    <t>8.1.28</t>
  </si>
  <si>
    <t>Doors - Weatherstripping</t>
  </si>
  <si>
    <t>Final Design Complies</t>
  </si>
  <si>
    <t xml:space="preserve">Values Used in Energy Model  </t>
  </si>
  <si>
    <t>1) This Worksheet serves as an overview of a project's energy efficiency components including modeling assumptions, plan review and inspection comments.</t>
  </si>
  <si>
    <r>
      <rPr>
        <b/>
        <sz val="10"/>
        <rFont val="Arial"/>
        <family val="2"/>
      </rPr>
      <t>Compliance Statement</t>
    </r>
    <r>
      <rPr>
        <sz val="10"/>
        <rFont val="Arial"/>
        <family val="2"/>
      </rPr>
      <t xml:space="preserve">
</t>
    </r>
    <r>
      <rPr>
        <sz val="10"/>
        <rFont val="Arial"/>
        <family val="2"/>
      </rPr>
      <t>•</t>
    </r>
    <r>
      <rPr>
        <sz val="10"/>
        <rFont val="Arial"/>
        <family val="2"/>
      </rPr>
      <t xml:space="preserve"> ENERGY STAR certification must be confirmed on the ENERGY STAR website.
• All refrigerators, dishwashers and clothes washers meet or exceed the requirements listed in the </t>
    </r>
    <r>
      <rPr>
        <i/>
        <sz val="10"/>
        <rFont val="Arial"/>
        <family val="2"/>
      </rPr>
      <t xml:space="preserve">Modified Prescriptive Path.
</t>
    </r>
    <r>
      <rPr>
        <sz val="10"/>
        <rFont val="Arial"/>
        <family val="2"/>
      </rPr>
      <t>Note: Kitchen range hoods are not required to be ENERGY STAR certified.</t>
    </r>
  </si>
  <si>
    <t>• Include a schedule with location and quantity.
• Require ENERGY STAR certified products and appliances (confirm online).</t>
  </si>
  <si>
    <t>- Photograph ENERGY STAR label or nameplate displaying model number and/or attach cut sheet.</t>
  </si>
  <si>
    <t>1) The developer or GC shall ensure that deliveries are inspected prior to accepting them to verify that product substitutions by the distributor or manufacturer have not resulted in non-ENERGY STAR certified appliances.</t>
  </si>
  <si>
    <r>
      <t xml:space="preserve">DHW - Training and Manuals
</t>
    </r>
    <r>
      <rPr>
        <sz val="10"/>
        <rFont val="Arial"/>
        <family val="2"/>
      </rPr>
      <t xml:space="preserve">• </t>
    </r>
    <r>
      <rPr>
        <sz val="11"/>
        <color theme="1"/>
        <rFont val="Calibri"/>
        <family val="2"/>
        <scheme val="minor"/>
      </rPr>
      <t>EPA recommends confirming that all applicable operating and specification manuals are delivered to the building staff. EPA also recommends verifying that staff members have been trained and are aware of their responsibilities to maintain and operate the systems properly. Summarize any training performed and personnel involved.</t>
    </r>
  </si>
  <si>
    <r>
      <t xml:space="preserve">DHW - Controls
</t>
    </r>
    <r>
      <rPr>
        <sz val="10"/>
        <rFont val="Arial"/>
        <family val="2"/>
      </rPr>
      <t>• Verify a self-contained or electronic mix</t>
    </r>
    <r>
      <rPr>
        <sz val="10"/>
        <rFont val="Arial"/>
        <family val="2"/>
      </rPr>
      <t>ing valve is used to control hot water temperature for central domestic water heating systems. Mixing valves shall be located between the DHW heating plant and DHW supply to the building.  Mechanical valves shall not be specified. Verify mixing valve temperature set point.</t>
    </r>
  </si>
  <si>
    <r>
      <t>DHW - Temperature</t>
    </r>
    <r>
      <rPr>
        <sz val="11"/>
        <color theme="1"/>
        <rFont val="Calibri"/>
        <family val="2"/>
        <scheme val="minor"/>
      </rPr>
      <t xml:space="preserve">
• The temperature setting of in-unit storage water heaters must not exceed 140F. For both in-unit and central DHW systems, temperatures measured at faucets and showerheads must not exceed 125F.</t>
    </r>
  </si>
  <si>
    <r>
      <t xml:space="preserve">DHW - Low Flow fixtures
</t>
    </r>
    <r>
      <rPr>
        <sz val="10"/>
        <rFont val="Arial"/>
        <family val="2"/>
      </rPr>
      <t xml:space="preserve">• Plumbing fixture flow rates for all showerheads, bath faucets and kitchen faucets meet or exceed all of the requirements listed in the </t>
    </r>
    <r>
      <rPr>
        <i/>
        <sz val="10"/>
        <rFont val="Arial"/>
        <family val="2"/>
      </rPr>
      <t>Modified</t>
    </r>
    <r>
      <rPr>
        <sz val="10"/>
        <rFont val="Arial"/>
        <family val="2"/>
      </rPr>
      <t xml:space="preserve"> </t>
    </r>
    <r>
      <rPr>
        <i/>
        <sz val="10"/>
        <rFont val="Arial"/>
        <family val="2"/>
      </rPr>
      <t>Prescriptive Path</t>
    </r>
    <r>
      <rPr>
        <sz val="10"/>
        <rFont val="Arial"/>
        <family val="2"/>
      </rPr>
      <t xml:space="preserve"> have been met or exceeded.
• A schedule showing plumbing fixtures with GPM, location, WaterSense certification, and quantity has been included in the construction documents.</t>
    </r>
  </si>
  <si>
    <r>
      <t>DHW - Storage Insulation</t>
    </r>
    <r>
      <rPr>
        <sz val="10"/>
        <rFont val="Arial"/>
        <family val="2"/>
      </rPr>
      <t xml:space="preserve">
• Ensure storage tanks for central DHW systems are insulated per code.</t>
    </r>
  </si>
  <si>
    <r>
      <rPr>
        <b/>
        <sz val="10"/>
        <rFont val="Arial"/>
        <family val="2"/>
      </rPr>
      <t xml:space="preserve">Compliance Statement
</t>
    </r>
    <r>
      <rPr>
        <sz val="10"/>
        <rFont val="Arial"/>
        <family val="2"/>
      </rPr>
      <t xml:space="preserve">• All DHW systems meet or exceed the requirements listed in the Modified </t>
    </r>
    <r>
      <rPr>
        <i/>
        <sz val="10"/>
        <rFont val="Arial"/>
        <family val="2"/>
      </rPr>
      <t>Prescriptive Path.</t>
    </r>
  </si>
  <si>
    <t>ENERGY STAR/
Water
Sense</t>
  </si>
  <si>
    <t>GPM/
GPF</t>
  </si>
  <si>
    <r>
      <t xml:space="preserve">ID -DHW System </t>
    </r>
    <r>
      <rPr>
        <b/>
        <u/>
        <sz val="10"/>
        <rFont val="Arial"/>
        <family val="2"/>
      </rPr>
      <t>and</t>
    </r>
    <r>
      <rPr>
        <b/>
        <sz val="10"/>
        <rFont val="Arial"/>
        <family val="2"/>
      </rPr>
      <t xml:space="preserve"> Low-Flow Fixtures</t>
    </r>
  </si>
  <si>
    <r>
      <t xml:space="preserve">5) </t>
    </r>
    <r>
      <rPr>
        <b/>
        <sz val="10"/>
        <rFont val="Arial"/>
        <family val="2"/>
      </rPr>
      <t>*PHOTOS REQUIRED*</t>
    </r>
    <r>
      <rPr>
        <sz val="10"/>
        <rFont val="Arial"/>
        <family val="2"/>
      </rPr>
      <t xml:space="preserve"> </t>
    </r>
  </si>
  <si>
    <r>
      <t xml:space="preserve">4)  All spaces with Domestic Hot Water service (i.e. bathrooms, kitchens, etc.) shall be tested for hot water delivery temperature following the modified RESNET sampling protocol outlined in the How to Use this Manual section on page 11 of the </t>
    </r>
    <r>
      <rPr>
        <i/>
        <sz val="10"/>
        <rFont val="Arial"/>
        <family val="2"/>
      </rPr>
      <t>T&amp;V Protocols</t>
    </r>
    <r>
      <rPr>
        <sz val="10"/>
        <rFont val="Arial"/>
        <family val="2"/>
      </rPr>
      <t>, with the additional requirement that, for each central DHW system, the spaces sampled must include the first space supplied by the system and the last space supplied by the longest run of the system.</t>
    </r>
  </si>
  <si>
    <r>
      <t xml:space="preserve">3)  Spaces containing plumbing fixtures must be inspected following the modified RESNET sampling protocol outlined in the </t>
    </r>
    <r>
      <rPr>
        <i/>
        <sz val="10"/>
        <rFont val="Arial"/>
        <family val="2"/>
      </rPr>
      <t>How to Use this Manual</t>
    </r>
    <r>
      <rPr>
        <sz val="10"/>
        <rFont val="Arial"/>
        <family val="2"/>
      </rPr>
      <t xml:space="preserve"> section on page 11 of the </t>
    </r>
    <r>
      <rPr>
        <i/>
        <sz val="10"/>
        <rFont val="Arial"/>
        <family val="2"/>
      </rPr>
      <t>T&amp;V Protocols</t>
    </r>
    <r>
      <rPr>
        <sz val="10"/>
        <rFont val="Arial"/>
        <family val="2"/>
      </rPr>
      <t xml:space="preserve">, including at least one of each unique fixture. </t>
    </r>
  </si>
  <si>
    <r>
      <t xml:space="preserve">4) The developer or GC shall ensure that deliveries are inspected prior to accepting them to verify that product substitutions by the distributor or manufacturer have not resulted in plumbing fixtures with higher flow rates than those in the Modified </t>
    </r>
    <r>
      <rPr>
        <i/>
        <sz val="10"/>
        <rFont val="Arial"/>
        <family val="2"/>
      </rPr>
      <t>Prescriptive Path</t>
    </r>
    <r>
      <rPr>
        <sz val="10"/>
        <rFont val="Arial"/>
        <family val="2"/>
      </rPr>
      <t>.</t>
    </r>
  </si>
  <si>
    <r>
      <rPr>
        <b/>
        <sz val="10"/>
        <rFont val="Arial"/>
        <family val="2"/>
      </rPr>
      <t>Wood-Framed Construction</t>
    </r>
    <r>
      <rPr>
        <sz val="10"/>
        <rFont val="Arial"/>
        <family val="2"/>
      </rPr>
      <t xml:space="preserve">
• For wood-framed construction, Version 3.0 of the </t>
    </r>
    <r>
      <rPr>
        <i/>
        <sz val="10"/>
        <rFont val="Arial"/>
        <family val="2"/>
      </rPr>
      <t xml:space="preserve">ENERGY STAR Certified Homes Thermal Enclosure System Rater Checklist Sections 3 and 5 </t>
    </r>
    <r>
      <rPr>
        <sz val="10"/>
        <rFont val="Arial"/>
        <family val="2"/>
      </rPr>
      <t xml:space="preserve">is recommended to be followed in addition to all applicable </t>
    </r>
    <r>
      <rPr>
        <i/>
        <sz val="10"/>
        <rFont val="Arial"/>
        <family val="2"/>
      </rPr>
      <t>T&amp;V Protocols.</t>
    </r>
  </si>
  <si>
    <r>
      <rPr>
        <b/>
        <sz val="10"/>
        <rFont val="Arial"/>
        <family val="2"/>
      </rPr>
      <t>Compliance Statement</t>
    </r>
    <r>
      <rPr>
        <sz val="10"/>
        <rFont val="Arial"/>
        <family val="2"/>
      </rPr>
      <t xml:space="preserve">
• All assemblies are compliant with the requirements of the </t>
    </r>
    <r>
      <rPr>
        <i/>
        <sz val="10"/>
        <rFont val="Arial"/>
        <family val="2"/>
      </rPr>
      <t>Modified Prescriptive Path</t>
    </r>
    <r>
      <rPr>
        <sz val="10"/>
        <rFont val="Arial"/>
        <family val="2"/>
      </rPr>
      <t>, including framing factor assumptions.</t>
    </r>
  </si>
  <si>
    <t>BG ASSEMBLY 2 U-VALUE</t>
  </si>
  <si>
    <t xml:space="preserve">Appendix A table referenced: </t>
  </si>
  <si>
    <t xml:space="preserve">% of BG wall area: </t>
  </si>
  <si>
    <r>
      <t xml:space="preserve">DESCRIPTION
</t>
    </r>
    <r>
      <rPr>
        <sz val="10"/>
        <rFont val="Arial"/>
        <family val="2"/>
      </rPr>
      <t>Include:
Stud-framing spacing (ex. 16" oc)
Stud material (ex. wood or steel) 
Stud depth/configuration (ex. 2x4)</t>
    </r>
  </si>
  <si>
    <t>• Interior and cavity insulation must be protected from air intrusion, moisture intrusion, and free of voids, gaps, and compression.  
• Cavity insulation must be in contact with the interior wall surface (i.e. drywall) and completely fill the interior wall cavity.
• Batt insulation must be installed properly using splices to surround wires, electrical outlet/switch/junction boxes, pipes, and other obstructions within the insulated cavity. 
• Insulation that is intended to be continuous (interior or exterior) must be installed without breaks and at full thickness at all locations.
• Insulation must be installed such that they achieve RESNET-defined Grade I installation or, alternatively, Grade II for walls with continuous insulation.
• Vapor impermeable air barriers for general coverage should only be specified on the warm side of insulation (i.e. interior side of insulation in predominately heating dominated climates). Vapor permeable air barriers should be specified in other cases.
• An area weighted average of the U-factors of the wall and floor perimeter assemblies is acceptable in the energy model. When calculating the wall U-factor, the full R-value for any exterior wall insulation can only be used for portions of the assembly where shelf angles or other continuous metal fastened to the wall are not used.  For portions of this assembly where shelf angles or other continuous metal fastened to the wall are used, the exterior insulation cannot contribute to the assembly R-value and an overall U-value shall be calculated based on an area weighted ratio.</t>
  </si>
  <si>
    <r>
      <t xml:space="preserve">Continuous Insulation Requirements
</t>
    </r>
    <r>
      <rPr>
        <sz val="10"/>
        <rFont val="Arial"/>
        <family val="2"/>
      </rPr>
      <t>• For steel-framed and metal buildings, continuous exterior insulation is required on above grade walls. For masonry buildings with metal framing, continuous interior or exterior insulation is required on above grade walls. Projected balconies are currently exempt, however, EPA recommends that they are thermally broken.</t>
    </r>
  </si>
  <si>
    <t xml:space="preserve">See Notes above for U-value calculation instructions. </t>
  </si>
  <si>
    <t>FLOOR EDGE 
U-VALUE</t>
  </si>
  <si>
    <t xml:space="preserve">See Notes above for U-value calculation instructions. 
Non-vision glazing areas of window wall systems are to be treated as opaque walls per ASHRAE and when determining minimum Modified Prescriptive Path U-values. </t>
  </si>
  <si>
    <t>Overall Wall U-Value</t>
  </si>
  <si>
    <t>FLOOR TO CEILING U-VALUE</t>
  </si>
  <si>
    <t xml:space="preserve">% of total wall area: </t>
  </si>
  <si>
    <t>FLOOR EDGE ASSEMBLY 2</t>
  </si>
  <si>
    <t>FLOOR EDGE ASSEMBLY 1</t>
  </si>
  <si>
    <r>
      <t xml:space="preserve">DESCRIPTION 
</t>
    </r>
    <r>
      <rPr>
        <sz val="10"/>
        <rFont val="Arial"/>
        <family val="2"/>
      </rPr>
      <t>Include:
Stud-framing spacing (ex. 16" or 24" oc)
Stud material (ex. wood or steel framed) 
Stud depth/configuration (ex. 2x4)</t>
    </r>
  </si>
  <si>
    <t>• Interior and cavity insulation must be protected from air intrusion, moisture intrusion, and free of voids, gaps, and compression.  
• Cavity insulation must be in contact with the interior wall surface (i.e. drywall) and completely fill the interior wall cavity.
• Batt insulation must be installed properly using splices to surround wires, electrical outlet/switch/junction boxes, pipes, and other obstructions within the insulated cavity. 
• For steel-framed and metal buildings, continuous exterior insulation is required on above grade walls. For masonry buildings with metal framing, continuous interior or exterior insulation is required on above grade walls. 
• Insulation that is intended to be continuous (interior or exterior) must be installed without breaks and at full thickness at all locations.
• Air barrier must be continuous around the entire building.  Air barrier must be detailed at all penetrations and transitions including structural components, connections between dissimilar materials, and window rough openings. Flashing materials and sealants must be used at window openings, through-wall duct penetrations, the transition between the wall and roof barrier, and the transition between the wall and foundation barrier.
• Insulation must be installed such that they achieve RESNET-defined Grade I installation or, alternatively, Grade II for walls with continuous insulation.
• Vapor impermeable air barriers for general coverage should only be specified on the warm side of insulation (i.e. interior side of insulation in predominately heating dominated climates). Vapor permeable air barriers should be specified in other cases.
• An area weighted average of the U-factors of the wall and floor perimeter assemblies is acceptable in the energy model. When calculating the wall U-factor, the full R-value for any exterior wall insulation can only be used for portions of the assembly where shelf angles or other continuous metal fastened to the wall are not used.  For portions of this assembly where shelf angles or other continuous metal fastened to the wall are used, the exterior insulation cannot contribute to the assembly R-value and an overall U-value shall be calculated based on an area weighted ratio.</t>
  </si>
  <si>
    <t xml:space="preserve">% of roof area: </t>
  </si>
  <si>
    <t xml:space="preserve">• Interior and cavity insulation must be protected from air and moisture intrusion, and free of voids, gaps, and compression.
• Cavity insulation must be in contact with the interior wall surface (i.e. drywall) and completely fill the interior wall cavity.
• Batt insulation must be installed properly using splices to surround wires, electrical outlet/switch/junction boxes, pipes, and other obstructions within the insulated cavity. 
• Insulation that is intended to be continuous (interior or exterior) must be installed without breaks and at full thickness at all locations.
• Insulation must be installed such that they achieve RESNET-defined Grade I installation or, alternatively, Grade II for roofs with continuous insulation.
• Vapor impermeable air barriers for general coverage should only be specified on the warm side of insulation (i.e. interior side of insulation in predominately heating dominated climates). Vapor permeable air barriers should be specified in other cases.
• Sprinkler systems to be designed to not interfere with the performance of thermal and air barriers
• For built-up insulation on flat roofs, minimum and average R-value for roof surfaces must be specified.  Specifications must require contractor to submit roof insulation software calculator results (e.g. ‘Taper Plus” or equivalent) which will be used to verify effective R-value.
• An area weighted average of the U-factors of the roof assemblies is acceptable in the energy model. </t>
  </si>
  <si>
    <r>
      <t xml:space="preserve">Slab-on-Grade (embedded heated only) - Insulation Inspection
</t>
    </r>
    <r>
      <rPr>
        <sz val="10"/>
        <rFont val="Arial"/>
        <family val="2"/>
      </rPr>
      <t xml:space="preserve">• Verify insulation type, thickness, location, coverage, and installation.  Improperly installed insulation must be derated*.
• If following the </t>
    </r>
    <r>
      <rPr>
        <i/>
        <sz val="10"/>
        <rFont val="Arial"/>
        <family val="2"/>
      </rPr>
      <t xml:space="preserve">Prescriptive Path, </t>
    </r>
    <r>
      <rPr>
        <sz val="10"/>
        <rFont val="Arial"/>
        <family val="2"/>
      </rPr>
      <t>i</t>
    </r>
    <r>
      <rPr>
        <sz val="10"/>
        <rFont val="Arial"/>
        <family val="2"/>
      </rPr>
      <t xml:space="preserve">nsulation shall be placed on the outside of the foundation or on the inside of a foundation wall. The insulation shall extend downward from the top of the slab for a minimum distance as shown in </t>
    </r>
    <r>
      <rPr>
        <i/>
        <sz val="10"/>
        <rFont val="Arial"/>
        <family val="2"/>
      </rPr>
      <t>Prescriptive Path Table 3</t>
    </r>
    <r>
      <rPr>
        <sz val="10"/>
        <rFont val="Arial"/>
        <family val="2"/>
      </rPr>
      <t xml:space="preserve"> or to the top of the footing, whichever is less, or downward to at least the bottom of the slab and then horizontally to the interior or exterior for the total distance shown in the table.
• Verify location and continuity of air and vapor barriers (if specified).
• Protection from air and moisture intrusion of interior and cavity insulation will also be verified.</t>
    </r>
  </si>
  <si>
    <r>
      <t xml:space="preserve">Slab-on-Grade (unheated) - Insulation Inspection
</t>
    </r>
    <r>
      <rPr>
        <sz val="10"/>
        <rFont val="Arial"/>
        <family val="2"/>
      </rPr>
      <t xml:space="preserve">• Verify insulation type, thickness, location, coverage, and installation.  Improperly installed insulation must be derated*.
• If following the </t>
    </r>
    <r>
      <rPr>
        <i/>
        <sz val="10"/>
        <rFont val="Arial"/>
        <family val="2"/>
      </rPr>
      <t>Prescriptive Path,</t>
    </r>
    <r>
      <rPr>
        <sz val="10"/>
        <rFont val="Arial"/>
        <family val="2"/>
      </rPr>
      <t xml:space="preserve">Insulation shall be placed on the outside of the foundation or on the inside of a foundation wall. The insulation shall extend downward from the top of the slab for a minimum distance as shown in </t>
    </r>
    <r>
      <rPr>
        <i/>
        <sz val="10"/>
        <rFont val="Arial"/>
        <family val="2"/>
      </rPr>
      <t>Prescriptive Path Table 3</t>
    </r>
    <r>
      <rPr>
        <sz val="10"/>
        <rFont val="Arial"/>
        <family val="2"/>
      </rPr>
      <t xml:space="preserve"> or to the top of the footing, whichever is less, or downward to at least the bottom of the slab and then horizontally to the interior or exterior for the total distance shown in the table.
• Verify location and continuity of air and vapor barriers (if specified).
• Protection from air and moisture intrusion of interior and cavity insulation will also be verified.</t>
    </r>
  </si>
  <si>
    <t>Overall Slab-On-Grade (embedded heat only) U-Value</t>
  </si>
  <si>
    <t>SLAB-ON-GRADE FLOOR (embedded heat only)</t>
  </si>
  <si>
    <t xml:space="preserve">% of slab area: </t>
  </si>
  <si>
    <t>SLAB-ON-GRADE (embedded heat only) ASSEMBLY 1</t>
  </si>
  <si>
    <t>Overall Slab-On-Grade (unheated only) U-Value</t>
  </si>
  <si>
    <t xml:space="preserve">% of BG slab area: </t>
  </si>
  <si>
    <t>BELOW GRADE SLAB FLOOR ASSEMBLY 1</t>
  </si>
  <si>
    <t>FLOOR OVER UNCONDITIONED SPACE ASSEMBLY 1 
U-VALUE</t>
  </si>
  <si>
    <t xml:space="preserve">% of floor area: </t>
  </si>
  <si>
    <r>
      <t xml:space="preserve">DESCRIPTION
</t>
    </r>
    <r>
      <rPr>
        <sz val="10"/>
        <rFont val="Arial"/>
        <family val="2"/>
      </rPr>
      <t>Include:
Stud-framing spacing (ex. 16" or 24" oc)
Stud material (ex. wood or steel framed) 
Stud depth/configuration (ex. 2x4)</t>
    </r>
  </si>
  <si>
    <t xml:space="preserve">• Interior and cavity insulation must be protected from air intrusion and moisture intrusion, and free of voids, gaps, and compression.  
• Cavity insulation must be in contact with the interior wall surface (i.e. drywall) and completely fill the interior wall cavity.
• Batt insulation must be installed properly using splices to surround wires, electrical outlet/switch/junction boxes, pipes, and other obstructions within the insulated cavity. 
• Insulation that is intended to be continuous (interior or exterior) must be installed without breaks and at full thickness at all locations.
• Insulation must be installed such that they achieve RESNET-defined Grade I installation or, alternatively, Grade II for floors with continuous insulation.
• Vapor impermeable air barriers for general coverage should only be specified on the warm side of insulation (i.e. interior side of insulation in predominately heating dominated climates). Vapor permeable air barriers should be specified in other cases.
• If specified, rim joists between ceiling/floor levels must be insulated around the entire perimeter, and necessity of shelf angles should be evaluated by structural engineer.
• An area weighted average of the U-factors of the floor assemblies is acceptable in the energy model. </t>
  </si>
  <si>
    <r>
      <rPr>
        <b/>
        <sz val="10"/>
        <rFont val="Arial"/>
        <family val="2"/>
      </rPr>
      <t xml:space="preserve">Windows - Manufacturer's Product Data
</t>
    </r>
    <r>
      <rPr>
        <sz val="10"/>
        <rFont val="Arial"/>
        <family val="2"/>
      </rPr>
      <t>• Review manufacturer’s cut sheet or invoice detailing window construction, U-Value, SHGC, low–e, and ENERGY STAR qualification (if applicable). Alternatively, LBNL’s WINDOW 6.3 software or NFRC’s CMAST may be used.</t>
    </r>
  </si>
  <si>
    <r>
      <rPr>
        <b/>
        <sz val="10"/>
        <rFont val="Arial"/>
        <family val="2"/>
      </rPr>
      <t>On-Going Site Inspections</t>
    </r>
    <r>
      <rPr>
        <sz val="10"/>
        <rFont val="Arial"/>
        <family val="2"/>
      </rPr>
      <t xml:space="preserve">
• On inspection site visits, the responsible party shall verify all window requirements listed in the </t>
    </r>
    <r>
      <rPr>
        <i/>
        <sz val="10"/>
        <rFont val="Arial"/>
        <family val="2"/>
      </rPr>
      <t>Modified Prescriptive Path</t>
    </r>
    <r>
      <rPr>
        <sz val="10"/>
        <rFont val="Arial"/>
        <family val="2"/>
      </rPr>
      <t xml:space="preserve"> have been met or exceeded.</t>
    </r>
  </si>
  <si>
    <r>
      <rPr>
        <b/>
        <sz val="10"/>
        <rFont val="Arial"/>
        <family val="2"/>
      </rPr>
      <t xml:space="preserve">Compliance Statement
</t>
    </r>
    <r>
      <rPr>
        <sz val="10"/>
        <rFont val="Arial"/>
        <family val="2"/>
      </rPr>
      <t>•C</t>
    </r>
    <r>
      <rPr>
        <sz val="10"/>
        <rFont val="Arial"/>
        <family val="2"/>
      </rPr>
      <t>onfirm</t>
    </r>
    <r>
      <rPr>
        <sz val="10"/>
        <rFont val="Arial"/>
        <family val="2"/>
      </rPr>
      <t xml:space="preserve"> assembly U-values and SHGC for the climate zone are meet or exceed the requirements of the </t>
    </r>
    <r>
      <rPr>
        <i/>
        <sz val="10"/>
        <rFont val="Arial"/>
        <family val="2"/>
      </rPr>
      <t>Modified Prescriptive Path</t>
    </r>
    <r>
      <rPr>
        <sz val="10"/>
        <rFont val="Arial"/>
        <family val="2"/>
      </rPr>
      <t>.</t>
    </r>
  </si>
  <si>
    <t xml:space="preserve">CENTER OF GLASS 
U-VALUE </t>
  </si>
  <si>
    <t>• Include selection of window type (by operation, e.g. double-hung, single-hung, casement, fixed, etc.), dimensions, frame, U-value, low-emissivity, gas fill, SHGC, visual transmittance, and labeling by an independent third party (e.g. NFRC). If an NFRC label is not available, manufacturer must provide assembly U-values, not center-of-glass. Alternatively, LBNL’s WINDOW 6.3 software or NFRC’s CMAST may be used.
• The specified windows shall be double or triple-pane, with low-emissivity glass or coatings.
• Windows shall be installed properly to ensure weather tightness and air tightness performance within manufacturer’s specifications in addition to proper operation.
• All joints between window frame and rough opening should be sealed with minimum 20-year sealant compatible with all surfaces.
• Specifications could include, at the discretion of the developer, the inspection of a sample mock-up installation by the responsible party prior to installation of windows building-wide.</t>
  </si>
  <si>
    <t>- Photo of each unique window type with third party verification (NFRC label if applicable) of U-Value, SHGC, and ENERGY STAR certification (if applicable)
- Photo of installed window that verifies proper fit and effective connections to envelope’s weather and air barriers
- Photo with low-e sensor device verifying low-e</t>
  </si>
  <si>
    <t xml:space="preserve">2)  In addition, the sample set shall include, at a minimum, the inspection of all windows in a representative apartment from each apartment style/type. </t>
  </si>
  <si>
    <r>
      <rPr>
        <b/>
        <sz val="10"/>
        <rFont val="Arial"/>
        <family val="2"/>
      </rPr>
      <t xml:space="preserve">Weather Stripping
</t>
    </r>
    <r>
      <rPr>
        <sz val="10"/>
        <rFont val="Arial"/>
        <family val="2"/>
      </rPr>
      <t>• When required by local building code, verify entranceways contain vestibules with weather-stripping hard-fastened to the door or frame.
• Weather-stripping is mandatory at doors between conditioned spaces and the exterior; unconditioned spaces; and spaces vented to the outside.
• Weather-stripping is recommended, but not required, at doors between corridors and stairwells; between apartments and corridors; and doors leading to mechanical rooms. 
• Weather-stripping at mandatory locations shall be installed with a rigid fastener and replaceable foam gasket specified for durability and less maintenance.</t>
    </r>
  </si>
  <si>
    <r>
      <rPr>
        <b/>
        <sz val="10"/>
        <rFont val="Arial"/>
        <family val="2"/>
      </rPr>
      <t xml:space="preserve">Compliance Statement
</t>
    </r>
    <r>
      <rPr>
        <sz val="10"/>
        <rFont val="Arial"/>
        <family val="2"/>
      </rPr>
      <t xml:space="preserve">• Assembly meets or exceeds the requirements listed in the </t>
    </r>
    <r>
      <rPr>
        <i/>
        <sz val="10"/>
        <rFont val="Arial"/>
        <family val="2"/>
      </rPr>
      <t>Modified Prescriptive Path.</t>
    </r>
  </si>
  <si>
    <t xml:space="preserve">ERM </t>
  </si>
  <si>
    <r>
      <t xml:space="preserve">WEATHER-STRIPPING
</t>
    </r>
    <r>
      <rPr>
        <sz val="10"/>
        <rFont val="Arial"/>
        <family val="2"/>
      </rPr>
      <t>(Yes/No)</t>
    </r>
  </si>
  <si>
    <r>
      <t xml:space="preserve">• Design and specifications for exterior doors shall meet or exceed the requirements listed in the </t>
    </r>
    <r>
      <rPr>
        <i/>
        <sz val="10"/>
        <rFont val="Arial"/>
        <family val="2"/>
      </rPr>
      <t>Modified Prescriptive Path</t>
    </r>
    <r>
      <rPr>
        <sz val="10"/>
        <rFont val="Arial"/>
        <family val="2"/>
      </rPr>
      <t>.  
• Weather-stripping is mandatory at doors between conditioned spaces and the exterior; unconditioned spaces; and spaces vented to the outside.
• Weather-stripping is recommended, but not required, at doors between corridors and stairwells; between apartments and corridors; and doors leading to mechanical rooms. 
• Weather-stripping at mandatory locations shall be installed with a rigid fastener and replaceable foam gasket specified for durability and less maintenance.
• Weather stripping shall be installed to not interfere with door closing properly.</t>
    </r>
  </si>
  <si>
    <t>- Photo of installed door that verifies proper fit and effective connections to envelope’s weather and air barriers.
- Photo of each unique door type with third party verification, NFRC and/or ENERGY STAR certification (if applicable).</t>
  </si>
  <si>
    <r>
      <rPr>
        <b/>
        <sz val="10"/>
        <rFont val="Arial"/>
        <family val="2"/>
      </rPr>
      <t>Wood-Framed Construction</t>
    </r>
    <r>
      <rPr>
        <sz val="10"/>
        <rFont val="Arial"/>
        <family val="2"/>
      </rPr>
      <t xml:space="preserve">
• For wood-framed construction, Version 3.0 of the </t>
    </r>
    <r>
      <rPr>
        <i/>
        <sz val="10"/>
        <rFont val="Arial"/>
        <family val="2"/>
      </rPr>
      <t xml:space="preserve">ENERGY STAR Qualified Homes Thermal Enclosure System Rater Checklist Sections 3 and 5 </t>
    </r>
    <r>
      <rPr>
        <sz val="10"/>
        <rFont val="Arial"/>
        <family val="2"/>
      </rPr>
      <t xml:space="preserve">is recommended in addition to all applicable </t>
    </r>
    <r>
      <rPr>
        <i/>
        <sz val="10"/>
        <rFont val="Arial"/>
        <family val="2"/>
      </rPr>
      <t>T&amp;V Protocols.</t>
    </r>
  </si>
  <si>
    <r>
      <rPr>
        <b/>
        <sz val="10"/>
        <rFont val="Arial"/>
        <family val="2"/>
      </rPr>
      <t>Garage Freeze Protection</t>
    </r>
    <r>
      <rPr>
        <sz val="10"/>
        <rFont val="Arial"/>
        <family val="2"/>
      </rPr>
      <t xml:space="preserve">
• Verify radiant heating, either wall or ceiling-mounted or within the garage floor (or sidewalks) is used to prevent ice formation on the ground as a safety feature only and includes automatic controls capable of shutting off the systems when outdoor air temperatures are above 40°F or when the conditions of the protected fluid will prevent freezing. Snow- and ice-melting systems shall include automatic controls capable of shutting off the systems when the pavement temperature is above 50°F and no precipitation is falling and an automatic or manual control that will allow shutoff when the outdoor temperature is above 40°F so that the potential for snow or ice accumulation is negligible.</t>
    </r>
  </si>
  <si>
    <r>
      <rPr>
        <b/>
        <sz val="10"/>
        <rFont val="Arial"/>
        <family val="2"/>
      </rPr>
      <t xml:space="preserve">Garage Heating
</t>
    </r>
    <r>
      <rPr>
        <sz val="10"/>
        <rFont val="Arial"/>
        <family val="2"/>
      </rPr>
      <t>• Confirm that the Modified Prescriptive Path requirements are met or exceeded.</t>
    </r>
  </si>
  <si>
    <r>
      <t xml:space="preserve">• Provide piping layout or insulation details that demonstrate that the garage space is not heated. Radiant heating, either wall or ceiling-mounted or within the garage floor (or sidewalks), may be used to prevent ice formation on the ground as a safety feature only. 
• Include a list of elements to be sealed in the garage </t>
    </r>
    <r>
      <rPr>
        <sz val="11"/>
        <color theme="1"/>
        <rFont val="Calibri"/>
        <family val="2"/>
        <scheme val="minor"/>
      </rPr>
      <t>that would minimize air flow between the garage and the rest of the building, including entrance door(s) leading into building from garage.</t>
    </r>
  </si>
  <si>
    <r>
      <t xml:space="preserve">Final 
</t>
    </r>
    <r>
      <rPr>
        <b/>
        <u/>
        <sz val="10"/>
        <rFont val="Arial"/>
        <family val="2"/>
      </rPr>
      <t>Tested</t>
    </r>
    <r>
      <rPr>
        <b/>
        <sz val="10"/>
        <rFont val="Arial"/>
        <family val="2"/>
      </rPr>
      <t xml:space="preserve"> Total 
Leakage CFM25</t>
    </r>
  </si>
  <si>
    <r>
      <t xml:space="preserve">Final </t>
    </r>
    <r>
      <rPr>
        <b/>
        <u/>
        <sz val="10"/>
        <rFont val="Arial"/>
        <family val="2"/>
      </rPr>
      <t>Maximum</t>
    </r>
    <r>
      <rPr>
        <b/>
        <sz val="10"/>
        <rFont val="Arial"/>
        <family val="2"/>
      </rPr>
      <t xml:space="preserve"> Leakage 
CFM25 </t>
    </r>
  </si>
  <si>
    <r>
      <t xml:space="preserve">Rough-in </t>
    </r>
    <r>
      <rPr>
        <b/>
        <u/>
        <sz val="10"/>
        <rFont val="Arial"/>
        <family val="2"/>
      </rPr>
      <t>Tested</t>
    </r>
    <r>
      <rPr>
        <b/>
        <sz val="10"/>
        <rFont val="Arial"/>
        <family val="2"/>
      </rPr>
      <t xml:space="preserve"> Total Leakage CFM25 </t>
    </r>
  </si>
  <si>
    <r>
      <t xml:space="preserve">Rough-in </t>
    </r>
    <r>
      <rPr>
        <b/>
        <u/>
        <sz val="10"/>
        <rFont val="Arial"/>
        <family val="2"/>
      </rPr>
      <t>Maximum</t>
    </r>
    <r>
      <rPr>
        <b/>
        <sz val="10"/>
        <rFont val="Arial"/>
        <family val="2"/>
      </rPr>
      <t xml:space="preserve"> Leakage 
CFM25 </t>
    </r>
  </si>
  <si>
    <r>
      <t>Duct Leakage Summary:</t>
    </r>
    <r>
      <rPr>
        <sz val="10"/>
        <rFont val="Arial"/>
        <family val="2"/>
      </rPr>
      <t xml:space="preserve"> This section can be duplicated, copy and insert rows. If the same system provides cooling, data need only be entered in one worksheet.</t>
    </r>
  </si>
  <si>
    <r>
      <t xml:space="preserve">Space Heating - Training and Manuals
</t>
    </r>
    <r>
      <rPr>
        <sz val="10"/>
        <rFont val="Arial"/>
        <family val="2"/>
      </rPr>
      <t>• EPA recommends confirming that all applicable operating and specification manuals are delivered to the building staff. EPA also recommends verifying that staff members have been trained and are aware of their responsibilities to maintain and operate the systems properly. Summarize any training performed and personnel involved.</t>
    </r>
  </si>
  <si>
    <r>
      <t xml:space="preserve">Heating Distribution - HVAC Contractor Checklist
</t>
    </r>
    <r>
      <rPr>
        <sz val="10"/>
        <rFont val="Arial"/>
        <family val="2"/>
      </rPr>
      <t xml:space="preserve">• For improved performance, EPA recommends, but does not require compliance with all items of Version 3.0 of the </t>
    </r>
    <r>
      <rPr>
        <i/>
        <sz val="10"/>
        <rFont val="Arial"/>
        <family val="2"/>
      </rPr>
      <t>ENERGY STAR Certified Homes HVAC System Quality Installation Rater and Contractor Checklists</t>
    </r>
    <r>
      <rPr>
        <sz val="10"/>
        <rFont val="Arial"/>
        <family val="2"/>
      </rPr>
      <t>, where applicable to forced air heating systems.</t>
    </r>
    <r>
      <rPr>
        <sz val="11"/>
        <color theme="1"/>
        <rFont val="Calibri"/>
        <family val="2"/>
        <scheme val="minor"/>
      </rPr>
      <t>This criteria also applies to heat pump units.</t>
    </r>
  </si>
  <si>
    <r>
      <t xml:space="preserve">Heating Distribution - In-Unit Duct Leakage Testing
</t>
    </r>
    <r>
      <rPr>
        <sz val="11"/>
        <color theme="1"/>
        <rFont val="Calibri"/>
        <family val="2"/>
        <scheme val="minor"/>
      </rPr>
      <t xml:space="preserve">• Following the procedures outlined in your duct leakage tester operation manual, a one-point test for total duct leakage in the main duct shaft using a calibrated fan measured under depressurization or pressurization is acceptable for this measurement.  Per theModified Prescriptive Path Requirements, the total duct leakage for in-unit systems shall be ≤8 CFM25 per 100 ft^2 conditioned floor area. Final testing occurs after the building is completed: air handlers, ductwork, supply.return registers installed and sealed, and interior drywall finished. </t>
    </r>
    <r>
      <rPr>
        <i/>
        <sz val="10"/>
        <rFont val="Arial"/>
        <family val="2"/>
      </rPr>
      <t>Note that non-ducted returns must include the return air pathway in the pressurized testing of the distribution system.</t>
    </r>
    <r>
      <rPr>
        <sz val="11"/>
        <color theme="1"/>
        <rFont val="Calibri"/>
        <family val="2"/>
        <scheme val="minor"/>
      </rPr>
      <t xml:space="preserve">
• When conducting a duct leakage depressurization test, the flow conditioner and one of the flow rings must always be installed.
• Provide a summary of results of any duct leakage testing; a sample table is provided below. As an alternative to testing at building completion, total duct leakage measured at rough-in, shall be ≤4 CFM25 per 100 ft2, with air handler and all ductwork installed.
• Ensure duct systems can be physically sealed and pressurized for duct leakage testing. For ventilation systems that utilize an intake duct to the return side of the HVAC system without motorized dampers, GC must provide interior or exterior access to the intake duct so that it can be sealed during testing.</t>
    </r>
  </si>
  <si>
    <r>
      <t xml:space="preserve">Heating System - Combustion Venting
</t>
    </r>
    <r>
      <rPr>
        <sz val="10"/>
        <rFont val="Arial"/>
        <family val="2"/>
      </rPr>
      <t xml:space="preserve">• </t>
    </r>
    <r>
      <rPr>
        <sz val="11"/>
        <color theme="1"/>
        <rFont val="Calibri"/>
        <family val="2"/>
        <scheme val="minor"/>
      </rPr>
      <t xml:space="preserve">Visual inspection of combustion venting system to verify conformance with the requirements listed in the </t>
    </r>
    <r>
      <rPr>
        <i/>
        <sz val="10"/>
        <rFont val="Arial"/>
        <family val="2"/>
      </rPr>
      <t>Modified Prescriptive Path</t>
    </r>
    <r>
      <rPr>
        <sz val="11"/>
        <color theme="1"/>
        <rFont val="Calibri"/>
        <family val="2"/>
        <scheme val="minor"/>
      </rPr>
      <t>, and appropriate National Fire Protection Association (NFPA)  standards.  This criteria also applies to heat pump units.
• For gas systems reference NFPA 54 (National Fuel Gas Code).  For oil systems reference NFPA 31.</t>
    </r>
  </si>
  <si>
    <r>
      <t xml:space="preserve">Heating Distribution - Flex Duct Installation
</t>
    </r>
    <r>
      <rPr>
        <sz val="10"/>
        <rFont val="Arial"/>
        <family val="2"/>
      </rPr>
      <t xml:space="preserve">• </t>
    </r>
    <r>
      <rPr>
        <sz val="11"/>
        <color theme="1"/>
        <rFont val="Calibri"/>
        <family val="2"/>
        <scheme val="minor"/>
      </rPr>
      <t xml:space="preserve">Verify that all heating ductwork that has been specified as flex duct meets the Sheet Metal Air Conditioning Contractors National Association (SMACNA) installation standards  (see </t>
    </r>
    <r>
      <rPr>
        <i/>
        <sz val="10"/>
        <rFont val="Arial"/>
        <family val="2"/>
      </rPr>
      <t>Appendix A</t>
    </r>
    <r>
      <rPr>
        <sz val="11"/>
        <color theme="1"/>
        <rFont val="Calibri"/>
        <family val="2"/>
        <scheme val="minor"/>
      </rPr>
      <t xml:space="preserve"> of the </t>
    </r>
    <r>
      <rPr>
        <i/>
        <sz val="10"/>
        <rFont val="Arial"/>
        <family val="2"/>
      </rPr>
      <t>Modified Prescriptive Path</t>
    </r>
    <r>
      <rPr>
        <sz val="11"/>
        <color theme="1"/>
        <rFont val="Calibri"/>
        <family val="2"/>
        <scheme val="minor"/>
      </rPr>
      <t>).</t>
    </r>
  </si>
  <si>
    <r>
      <t xml:space="preserve">Heating Distribution - Piping Configuration
</t>
    </r>
    <r>
      <rPr>
        <sz val="10"/>
        <rFont val="Arial"/>
        <family val="2"/>
      </rPr>
      <t xml:space="preserve">• Specifications for distribution system (supply and return) piping configuration, mixing valves, and zoning shall meet or exceed the requirements listed in the </t>
    </r>
    <r>
      <rPr>
        <i/>
        <sz val="10"/>
        <rFont val="Arial"/>
        <family val="2"/>
      </rPr>
      <t>Modified Prescriptive Path</t>
    </r>
    <r>
      <rPr>
        <sz val="10"/>
        <rFont val="Arial"/>
        <family val="2"/>
      </rPr>
      <t xml:space="preserve">. </t>
    </r>
    <r>
      <rPr>
        <sz val="10"/>
        <rFont val="Arial"/>
        <family val="2"/>
      </rPr>
      <t xml:space="preserve">
• For systems without automatic balancing valves, all supply/return headers must be designed in a “reverse return” configuration (i.e. first riser supplied is the last returned, etc.) and/or sized based on a water velocity of less than 4 ft/s.  Total pressure drop of terminal unit branch piping and fittings between a supply and return riser must be significantly greater than the total pressure drop from the top to the bottom of these risers.</t>
    </r>
  </si>
  <si>
    <r>
      <t xml:space="preserve">Space Heating - Controls
</t>
    </r>
    <r>
      <rPr>
        <sz val="10"/>
        <rFont val="Arial"/>
        <family val="2"/>
      </rPr>
      <t xml:space="preserve">• System controls and settings shall meet or exceed the requirements listed in the </t>
    </r>
    <r>
      <rPr>
        <i/>
        <sz val="10"/>
        <rFont val="Arial"/>
        <family val="2"/>
      </rPr>
      <t>Modified Prescriptive Path</t>
    </r>
    <r>
      <rPr>
        <sz val="10"/>
        <rFont val="Arial"/>
        <family val="2"/>
      </rPr>
      <t>. At a minimum, controls should have the capability for outdoor reset of supply water temperature, warm weather shut down and night setback.
• Verify outdoor temperature sensor is functioning properly.
• Verify supply temperature is set correctly and sensor is functioning properly.</t>
    </r>
  </si>
  <si>
    <r>
      <t xml:space="preserve">Heating Terminal Units - Electric Resistance or Freeze Protection
• </t>
    </r>
    <r>
      <rPr>
        <sz val="10"/>
        <rFont val="Arial"/>
        <family val="2"/>
      </rPr>
      <t>Electric resistance space heating is not permitted in any space.</t>
    </r>
  </si>
  <si>
    <r>
      <rPr>
        <b/>
        <sz val="10"/>
        <rFont val="Arial"/>
        <family val="2"/>
      </rPr>
      <t xml:space="preserve">Compliance Statement
</t>
    </r>
    <r>
      <rPr>
        <sz val="10"/>
        <rFont val="Arial"/>
        <family val="2"/>
      </rPr>
      <t xml:space="preserve">• All heating systems meet or exceed the requirements listed in the </t>
    </r>
    <r>
      <rPr>
        <i/>
        <sz val="10"/>
        <rFont val="Arial"/>
        <family val="2"/>
      </rPr>
      <t>Modified Prescriptive Path.</t>
    </r>
  </si>
  <si>
    <t>HORSE
POWER (HP)</t>
  </si>
  <si>
    <t>LOCATION/SERVES</t>
  </si>
  <si>
    <t xml:space="preserve">-Provide photos of the space heating systems and faceplates to verify proper installation and compliance with proposed design.
</t>
  </si>
  <si>
    <r>
      <t xml:space="preserve">4) The developer or GC shall ensure that deliveries are inspected prior to accepting them to verify that product substitutions by the distributor or manufacturer have not resulted in plumbing fixtures with higher flow rates than those required by the </t>
    </r>
    <r>
      <rPr>
        <i/>
        <sz val="10"/>
        <rFont val="Arial"/>
        <family val="2"/>
      </rPr>
      <t>Prescriptive Path</t>
    </r>
    <r>
      <rPr>
        <sz val="10"/>
        <rFont val="Arial"/>
        <family val="2"/>
      </rPr>
      <t>.</t>
    </r>
  </si>
  <si>
    <r>
      <t xml:space="preserve">Final 
</t>
    </r>
    <r>
      <rPr>
        <b/>
        <u/>
        <sz val="10"/>
        <rFont val="Arial"/>
        <family val="2"/>
      </rPr>
      <t>Tested</t>
    </r>
    <r>
      <rPr>
        <b/>
        <sz val="10"/>
        <rFont val="Arial"/>
        <family val="2"/>
      </rPr>
      <t xml:space="preserve"> 
Total Leakage CFM25</t>
    </r>
  </si>
  <si>
    <r>
      <t xml:space="preserve">Final 
</t>
    </r>
    <r>
      <rPr>
        <b/>
        <u/>
        <sz val="10"/>
        <rFont val="Arial"/>
        <family val="2"/>
      </rPr>
      <t>Maximum</t>
    </r>
    <r>
      <rPr>
        <b/>
        <sz val="10"/>
        <rFont val="Arial"/>
        <family val="2"/>
      </rPr>
      <t xml:space="preserve"> Leakage 
CFM25</t>
    </r>
  </si>
  <si>
    <r>
      <t xml:space="preserve">Rough-in </t>
    </r>
    <r>
      <rPr>
        <b/>
        <u/>
        <sz val="10"/>
        <rFont val="Arial"/>
        <family val="2"/>
      </rPr>
      <t>Maximum</t>
    </r>
    <r>
      <rPr>
        <b/>
        <sz val="10"/>
        <rFont val="Arial"/>
        <family val="2"/>
      </rPr>
      <t xml:space="preserve"> Leakage 
CFM25</t>
    </r>
  </si>
  <si>
    <r>
      <t>Duct Leakage Summary:</t>
    </r>
    <r>
      <rPr>
        <sz val="10"/>
        <rFont val="Arial"/>
        <family val="2"/>
      </rPr>
      <t xml:space="preserve"> This section can be duplicated, copy and insert rows.If the same system provides heating, data need only be entered in one worksheet. </t>
    </r>
  </si>
  <si>
    <r>
      <t xml:space="preserve">Cooling - Training and Manuals
</t>
    </r>
    <r>
      <rPr>
        <sz val="10"/>
        <rFont val="Arial"/>
        <family val="2"/>
      </rPr>
      <t>• EPA recommends confirming that all applicable operating and specification manuals are delivered to the building staff. EPA also recommends verifying that staff members have been trained and are aware of their responsibilities to maintain and operate the systems properly. Summarize any training performed and personnel involved.</t>
    </r>
  </si>
  <si>
    <r>
      <t xml:space="preserve">Cooling - A/C Sleeves
</t>
    </r>
    <r>
      <rPr>
        <sz val="10"/>
        <rFont val="Arial"/>
        <family val="2"/>
      </rPr>
      <t xml:space="preserve">• </t>
    </r>
    <r>
      <rPr>
        <sz val="11"/>
        <color theme="1"/>
        <rFont val="Calibri"/>
        <family val="2"/>
        <scheme val="minor"/>
      </rPr>
      <t>If installing sleeves for through-wall AC units, insulated covers must be provided by the building for use during heating season and when AC units are not installed.</t>
    </r>
  </si>
  <si>
    <r>
      <t xml:space="preserve">Cooling System - HVAC Contractor Checklist
</t>
    </r>
    <r>
      <rPr>
        <sz val="10"/>
        <rFont val="Arial"/>
        <family val="2"/>
      </rPr>
      <t xml:space="preserve">• For improved performance, EPA recommends, but does not require compliance with all items of Version 3.0 of the </t>
    </r>
    <r>
      <rPr>
        <i/>
        <sz val="10"/>
        <rFont val="Arial"/>
        <family val="2"/>
      </rPr>
      <t>ENERGY STAR Certified Homes HVAC System Quality Installation Rater and Contractor Checklists</t>
    </r>
    <r>
      <rPr>
        <sz val="10"/>
        <rFont val="Arial"/>
        <family val="2"/>
      </rPr>
      <t>, where applicable to forced air cooling systems.</t>
    </r>
    <r>
      <rPr>
        <sz val="11"/>
        <color theme="1"/>
        <rFont val="Calibri"/>
        <family val="2"/>
        <scheme val="minor"/>
      </rPr>
      <t xml:space="preserve"> This criteria also applies to heat pumps.</t>
    </r>
  </si>
  <si>
    <r>
      <t xml:space="preserve">Cooling Distribution - In-Unit Duct Leakage Testing
</t>
    </r>
    <r>
      <rPr>
        <sz val="10"/>
        <rFont val="Arial"/>
        <family val="2"/>
      </rPr>
      <t xml:space="preserve">• Following the procedures outlined in your duct leakage tester operation manual, a one-point test for total duct leakage in the main duct shaft using a calibrated fan measured under depressurization or pressurization is acceptable for this measurement.  Per the </t>
    </r>
    <r>
      <rPr>
        <i/>
        <sz val="10"/>
        <rFont val="Arial"/>
        <family val="2"/>
      </rPr>
      <t>Modified Prescriptive Path Requirements,</t>
    </r>
    <r>
      <rPr>
        <sz val="10"/>
        <rFont val="Arial"/>
        <family val="2"/>
      </rPr>
      <t xml:space="preserve"> the total duct leakage for in-unit systems shall be ≤8 CFM25 per 100 ft</t>
    </r>
    <r>
      <rPr>
        <vertAlign val="superscript"/>
        <sz val="10"/>
        <rFont val="Arial"/>
        <family val="2"/>
      </rPr>
      <t>2</t>
    </r>
    <r>
      <rPr>
        <sz val="10"/>
        <rFont val="Arial"/>
        <family val="2"/>
      </rPr>
      <t xml:space="preserve"> of conditioned floor area. Final testing occurs after the building is completed: air handlers, ductwork, supply.return registers installed and sealed, and interior drywall finished. </t>
    </r>
    <r>
      <rPr>
        <i/>
        <sz val="10"/>
        <rFont val="Arial"/>
        <family val="2"/>
      </rPr>
      <t>Note that non-ducted returns must include the return air pathway in the pressurized testing of the distribution system.</t>
    </r>
    <r>
      <rPr>
        <sz val="10"/>
        <rFont val="Arial"/>
        <family val="2"/>
      </rPr>
      <t xml:space="preserve">
• When conducting a duct leakage depressurization test, the flow conditioner and one of the flow rings must always be installed.
• Provide a summary of results of any duct leakage testing; a sample table is provided below. As an alternative to testing at building completion, total duct leakage measured at rough-in, shall be ≤4 CFM25 per 100 ft2, with air handler and all ductwork installed.
• Ensure duct systems can be physically sealed and pressurized for duct leakage testing. For ventilation systems that utilize an intake duct to the return side of the HVAC system without motorized dampers, GC must provide interior or exterior access to the intake duct so that it can be sealed during testing.</t>
    </r>
  </si>
  <si>
    <r>
      <t xml:space="preserve">Cooling Distribution - Duct Sealing Details
</t>
    </r>
    <r>
      <rPr>
        <sz val="10"/>
        <rFont val="Arial"/>
        <family val="2"/>
      </rPr>
      <t xml:space="preserve">• Call out a preliminary list of duct sealing details to be integrated into the construction documents and inspected must include the following at a minimum:
a  Roof curb and or wall penetrations has been sealed  
b. Mastic or other UL-181 compliant material has been applied within temperature range and according to all other manufacturer's requirements at ALL transverse joints and take offs.
c. All duct transitional junctions have been sealed with mastic or other UL-181 compliant material.
d. Gap between take off duct and gypsum board has been effectively sealed.
</t>
    </r>
  </si>
  <si>
    <r>
      <t xml:space="preserve">Cooling Distribution - Duct Insulation
</t>
    </r>
    <r>
      <rPr>
        <sz val="10"/>
        <rFont val="Arial"/>
        <family val="2"/>
      </rPr>
      <t>• Verify cooling supply/return ductwork shall be insulated to a minimum R-8 in unconditioned spaces</t>
    </r>
    <r>
      <rPr>
        <i/>
        <sz val="10"/>
        <rFont val="Arial"/>
        <family val="2"/>
      </rPr>
      <t>.</t>
    </r>
  </si>
  <si>
    <r>
      <t xml:space="preserve">Cooling Distribution - Piping Configuration
</t>
    </r>
    <r>
      <rPr>
        <sz val="10"/>
        <rFont val="Arial"/>
        <family val="2"/>
      </rPr>
      <t xml:space="preserve">• Verification procedures must confirm that the system meets or exceeds the requirements listed in the </t>
    </r>
    <r>
      <rPr>
        <i/>
        <sz val="10"/>
        <rFont val="Arial"/>
        <family val="2"/>
      </rPr>
      <t>Modified Prescriptive Path</t>
    </r>
    <r>
      <rPr>
        <sz val="10"/>
        <rFont val="Arial"/>
        <family val="2"/>
      </rPr>
      <t>.  A commissioning agent can be hired to complete this inspection and verification or the Partner may be able to perform them.  
• For systems without automatic balancing valves, all supply/return headers must be designed in a “reverse return” configuration (i.e. first riser supplied is the last returned, etc.) and/or sized based on a water velocity of less than 4 ft/s.  Total pressure drop of terminal unit branch piping and fittings between a supply and return riser must be significantly greater than the total pressure drop from the top to the bottom of these risers.</t>
    </r>
  </si>
  <si>
    <t>Indoor Coil Model #</t>
  </si>
  <si>
    <t>Outdoor Unit Model #</t>
  </si>
  <si>
    <r>
      <t xml:space="preserve">In-Unit Lighting  
</t>
    </r>
    <r>
      <rPr>
        <sz val="10"/>
        <rFont val="Arial"/>
        <family val="2"/>
      </rPr>
      <t>•</t>
    </r>
    <r>
      <rPr>
        <b/>
        <sz val="10"/>
        <rFont val="Arial"/>
        <family val="2"/>
      </rPr>
      <t xml:space="preserve"> </t>
    </r>
    <r>
      <rPr>
        <sz val="10"/>
        <rFont val="Arial"/>
        <family val="2"/>
      </rPr>
      <t xml:space="preserve">Check quantity, locations, unit specifications for conformance/deviation including types of fixtures, wattages of lamps, etc.
• Collect manufacturer and model data to verify lighting system is consistent with the project specifications and Proposed Design model or meets or exceeds the requirements listed in the </t>
    </r>
    <r>
      <rPr>
        <i/>
        <sz val="10"/>
        <rFont val="Arial"/>
        <family val="2"/>
      </rPr>
      <t>Prescriptive Path.</t>
    </r>
    <r>
      <rPr>
        <sz val="10"/>
        <rFont val="Arial"/>
        <family val="2"/>
      </rPr>
      <t xml:space="preserve">
• Take a photo of one sample of each fixture type with ENERGY STAR certification affixed, where applicable. 
• Collect submittals/invoices for each unique fixture type showing ENERGY STAR certification (where applicable) and wattage.</t>
    </r>
  </si>
  <si>
    <r>
      <t xml:space="preserve">Exterior Lighting - LPD </t>
    </r>
    <r>
      <rPr>
        <b/>
        <i/>
        <sz val="10"/>
        <rFont val="Arial"/>
        <family val="2"/>
      </rPr>
      <t>(Prescriptive Path)</t>
    </r>
    <r>
      <rPr>
        <b/>
        <sz val="10"/>
        <rFont val="Arial"/>
        <family val="2"/>
      </rPr>
      <t xml:space="preserve">
</t>
    </r>
    <r>
      <rPr>
        <sz val="10"/>
        <rFont val="Arial"/>
        <family val="2"/>
      </rPr>
      <t>• Check quantity, locations, unit specifications for conformance/deviation including types of fixtures, wattages of lamps, etc.</t>
    </r>
  </si>
  <si>
    <r>
      <t xml:space="preserve">Exterior Lighting - ENERGY STAR
</t>
    </r>
    <r>
      <rPr>
        <sz val="10"/>
        <rFont val="Arial"/>
        <family val="2"/>
      </rPr>
      <t xml:space="preserve">• Check quantity, locations, unit specifications for conformance/deviation with ENEGY STAR certification, where applicable.
• Collect manufacturer and model data to verify lighting system is consistent with the project specifications and Proposed Design model or meets or exceeds the requirements listed in the </t>
    </r>
    <r>
      <rPr>
        <i/>
        <sz val="10"/>
        <rFont val="Arial"/>
        <family val="2"/>
      </rPr>
      <t>Prescriptive Path</t>
    </r>
    <r>
      <rPr>
        <sz val="10"/>
        <rFont val="Arial"/>
        <family val="2"/>
      </rPr>
      <t>.
• Take a photo of one sample of each fixture type with ENERGY STAR certification affixed, where applicable. 
• Collect submittals/invoices for each unique fixture type showing ENERGY STAR certification (where applicable) and wattage.</t>
    </r>
  </si>
  <si>
    <r>
      <t xml:space="preserve">Exterior Lighting - Controls
</t>
    </r>
    <r>
      <rPr>
        <sz val="10"/>
        <rFont val="Arial"/>
        <family val="2"/>
      </rPr>
      <t xml:space="preserve">• Include type and count of controls and associated fixtures in lighting schedule.
• Note all locations of sensors on plans, and indicate which fixtures each sensor controls.
</t>
    </r>
    <r>
      <rPr>
        <sz val="10"/>
        <rFont val="Arial"/>
        <family val="2"/>
      </rPr>
      <t>• Check location of control types for conformance/deviation. 
• Confirm that each control type is operable, see above for detailed instructions. 
• For timers, set timer to current time and confirm control of fixture.
• For photocells, cover or black-out photocell and confirm control of fixture.</t>
    </r>
  </si>
  <si>
    <r>
      <t xml:space="preserve">Common Area Lighting (Including Garages) - LPD
</t>
    </r>
    <r>
      <rPr>
        <sz val="10"/>
        <rFont val="Arial"/>
        <family val="2"/>
      </rPr>
      <t xml:space="preserve">• Check quantity, locations, unit specifications for conformance/deviation including types of fixtures, wattages of lamps, etc.
</t>
    </r>
  </si>
  <si>
    <r>
      <t xml:space="preserve">Common Area Lighting (Including Garages) - ENERGY STAR
</t>
    </r>
    <r>
      <rPr>
        <sz val="10"/>
        <rFont val="Arial"/>
        <family val="2"/>
      </rPr>
      <t xml:space="preserve">• Check quantity, locations, unit specifications for conformance/deviation with ENERGY STAR certification, where applicable.
• Collect manufacturer and model data to verify lighting system is consistent with the project specifications and Proposed Design model or meets or exceeds the requirements listed in the </t>
    </r>
    <r>
      <rPr>
        <i/>
        <sz val="10"/>
        <rFont val="Arial"/>
        <family val="2"/>
      </rPr>
      <t xml:space="preserve">Prescriptive Path.
</t>
    </r>
    <r>
      <rPr>
        <sz val="10"/>
        <rFont val="Arial"/>
        <family val="2"/>
      </rPr>
      <t>• Take a photo of one sample of each fixture type with ENERGY STAR certification affixed, where applicable. 
• Collect submittals/invoices for each unique fixture type showing ENERGY STAR certification (where applicable) and wattage.</t>
    </r>
  </si>
  <si>
    <r>
      <t xml:space="preserve">Lighting Controls - Verification
</t>
    </r>
    <r>
      <rPr>
        <sz val="10"/>
        <rFont val="Arial"/>
        <family val="2"/>
      </rPr>
      <t xml:space="preserve">• Specify operational sensitivity settings (adjust so lights turn on when occupant enters controlled area, but remain off while unoccupied, i.e. unaffected by HVAC and VAV systems, etc.) and shut-off delay period (5 minutes or owner preference).
• Specify power settings (as low as possible while still meeting any code requirements).
• Include type and count of controls and associated fixtures in lighting schedule.
• Note all locations of sensors on plans, and indicate which fixtures each sensor controls.
</t>
    </r>
    <r>
      <rPr>
        <sz val="10"/>
        <rFont val="Arial"/>
        <family val="2"/>
      </rPr>
      <t>• Check location of control types for conformance/deviation and count total number of controls in that space. 
• Confirm that each control type is operable:
• For occupancy sensors, step in and out of the zone, check for blind spots
• For timers, set timer to current time and confirm control of fixture.
• For photocells, cover or black-out photocell and confirm control of fixture.
• For day lighting controls, dim or black-out location to observe change in fixture light level.
• For occupancy dimmers, check lower power limit and on-time settings.</t>
    </r>
  </si>
  <si>
    <r>
      <rPr>
        <b/>
        <sz val="10"/>
        <rFont val="Arial"/>
        <family val="2"/>
      </rPr>
      <t xml:space="preserve">Compliance Statement
</t>
    </r>
    <r>
      <rPr>
        <sz val="10"/>
        <rFont val="Arial"/>
        <family val="2"/>
      </rPr>
      <t xml:space="preserve">• All lighting systems meet or exceed the requirements listed in the Modified Prescriptive Path.
</t>
    </r>
  </si>
  <si>
    <t>PROPOSED ERM</t>
  </si>
  <si>
    <t>Exterior</t>
  </si>
  <si>
    <t>Common Space</t>
  </si>
  <si>
    <t>Apartments</t>
  </si>
  <si>
    <t>&gt; 80%?</t>
  </si>
  <si>
    <t>TOTAL</t>
  </si>
  <si>
    <t>Fixture Count</t>
  </si>
  <si>
    <t>ILLUMINATION (FOOTCANDLES OR LUMENS/SF)</t>
  </si>
  <si>
    <t>TOTAL AREA, SF</t>
  </si>
  <si>
    <t># OF ROOMS 
IN THE BLDG</t>
  </si>
  <si>
    <t>TEF</t>
  </si>
  <si>
    <t>FIXTURE INSTALLED WATTS</t>
  </si>
  <si>
    <t>FIXTURE CODE 
(A, B, C, ETC.)</t>
  </si>
  <si>
    <t>ROOM AREA SF</t>
  </si>
  <si>
    <t>***Copy columns from In-Unit Lighting worksheet in Performance Path Calculator file, Prescriptive Path projects may choose to use that worksheet for LPD calculations, insert rows as necessary***</t>
  </si>
  <si>
    <t>INSTALLED 
QTY</t>
  </si>
  <si>
    <t xml:space="preserve">Linear or Square Feet? </t>
  </si>
  <si>
    <t>LIT AREA</t>
  </si>
  <si>
    <t>Space</t>
  </si>
  <si>
    <t>***Copy data from Exterior Lighting worksheet in Performance Path Calculator file, Prescriptive Path projects may choose to use that worksheet for LPD calculations, insert rows as necessary***</t>
  </si>
  <si>
    <t>EXTERIOR:</t>
  </si>
  <si>
    <t>TOTAL INSTALLED WATTS</t>
  </si>
  <si>
    <t>AUTO-MATIC LIGHTING CONTROLS?</t>
  </si>
  <si>
    <t>QTY</t>
  </si>
  <si>
    <t>RCR 
A=1, B=4, C=7</t>
  </si>
  <si>
    <t>***Copy columns from Interior Lighting worksheet in Performance Path Calculator file, Prescriptive Path projects may choose to use that worksheet for LPD calculations, insert rows as necessary***</t>
  </si>
  <si>
    <t>ENERGY STAR? (Yes/No)</t>
  </si>
  <si>
    <t>MANUFACTURER/
MODEL</t>
  </si>
  <si>
    <t>WATTS/
FIXTURE</t>
  </si>
  <si>
    <t>LUMENS/WATT</t>
  </si>
  <si>
    <t>LIGHT FIXTURE SCHEDULE</t>
  </si>
  <si>
    <t xml:space="preserve">-Take a photo of one sample of each fixture type with ENERGY STAR certification affixed, where applicable.
- Photographs of CFLs must show if they are pin based.
- Take a photo of each type of lighting control specified for each unique space (motion sensors, timers, and daylight sensors) .
- If there are sensors in the stairwell and corridor, provide representative photo of each space and clearly label their location.
- Provide photo showing bi-level lighting is installed (half the lamps on in a fixture, or all fixtures dimmed)
- Exterior lighting with timers, provide a photo of the controls and provide lighting schedule that demonstrates hours of operation. 
- To document daylight sensor performance, take one photo showing the light fixture is off during the day and another photo showing the fixture is on when the daylight sensor is covered.
</t>
  </si>
  <si>
    <t>1) Begin lighting inspections as early in the construction process as possible.  Verify make, manufacturer, ENERGY STAR certification, and rated wattage upon delivery or when lighting installations commence or during construction if earlier access (before ceiling closure) is needed to check circuiting layouts (e.g. for day lighting control). This will allow time for corrections before all of the fixtures have been installed.</t>
  </si>
  <si>
    <t>*Many motors are NEMA labeled and this label alone, does not ensure that a motor is energy-efficient.  This requirement refers specifically to the NEMA Premium energy efficient motors program.  Participating companies may be found at http://www.nema.org/Policy/Energy/Efficiency/Documents/NEMA_Premium_Partners.pdf</t>
  </si>
  <si>
    <r>
      <t xml:space="preserve">Motors - Training and Manuals
</t>
    </r>
    <r>
      <rPr>
        <sz val="10"/>
        <rFont val="Arial"/>
        <family val="2"/>
      </rPr>
      <t>• EPA recommends confirming that all applicable operating and specification manuals are delivered to the building staff. EPA also recommends verifying that staff members have been trained and are aware of their responsibilities to maintain and operate the systems properly. Summarize any training performed and personnel involved.</t>
    </r>
  </si>
  <si>
    <r>
      <rPr>
        <sz val="11"/>
        <color theme="1"/>
        <rFont val="Calibri"/>
        <family val="2"/>
        <scheme val="minor"/>
      </rPr>
      <t xml:space="preserve">• All three-phase pump motors 1 horse-power or larger shall meet or exceed efficiency standards for </t>
    </r>
    <r>
      <rPr>
        <b/>
        <sz val="10"/>
        <rFont val="Arial"/>
        <family val="2"/>
      </rPr>
      <t xml:space="preserve">NEMA </t>
    </r>
    <r>
      <rPr>
        <b/>
        <u/>
        <sz val="10"/>
        <rFont val="Arial"/>
        <family val="2"/>
      </rPr>
      <t>Premium™</t>
    </r>
    <r>
      <rPr>
        <sz val="11"/>
        <color theme="1"/>
        <rFont val="Calibri"/>
        <family val="2"/>
        <scheme val="minor"/>
      </rPr>
      <t xml:space="preserve"> motors. Note: Motors that are packaged as an integral component of mechanical equipment, as well as motors in fire and fresh water booster pumps are exempt from this requirement.
• Motors 5 horse-power or larger for circulating pumps serving hydronic heating or cooling systems must be specified with variable frequency drives.
• Motor size, type, design, and rated efficiency must meet or exceed the requirements listed in the</t>
    </r>
    <r>
      <rPr>
        <i/>
        <sz val="10"/>
        <rFont val="Arial"/>
        <family val="2"/>
      </rPr>
      <t xml:space="preserve"> Modified Prescriptive Path</t>
    </r>
    <r>
      <rPr>
        <sz val="11"/>
        <color theme="1"/>
        <rFont val="Calibri"/>
        <family val="2"/>
        <scheme val="minor"/>
      </rPr>
      <t xml:space="preserve">.
</t>
    </r>
  </si>
  <si>
    <r>
      <t>Doors - Weather-stripping</t>
    </r>
    <r>
      <rPr>
        <sz val="10"/>
        <rFont val="Arial"/>
        <family val="2"/>
      </rPr>
      <t xml:space="preserve">
• When required by local building code, verify entranceways contain vestibules with weather-stripping hard-fastened to the door or frame.
• Weather-stripping is mandatory at doors between conditioned spaces and the exterior; unconditioned spaces; and spaces vented to the outside.
• Weather-stripping is recommended, but not required, at doors between corridors and stairwells; between apartments and corridors; and doors leading to mechanical rooms. 
• Weather-stripping at mandatory locations shall be installed with a rigid fastener and replaceable foam gasket specified for durability and less maintenance.</t>
    </r>
  </si>
  <si>
    <r>
      <t xml:space="preserve">Wood-Framed Construction
</t>
    </r>
    <r>
      <rPr>
        <sz val="10"/>
        <rFont val="Arial"/>
        <family val="2"/>
      </rPr>
      <t>• For wood-framed construction, Version 3.0 of the E</t>
    </r>
    <r>
      <rPr>
        <i/>
        <sz val="10"/>
        <rFont val="Arial"/>
        <family val="2"/>
      </rPr>
      <t>NERGY STAR Certified Homes Thermal Enclosure Rater Checklist</t>
    </r>
    <r>
      <rPr>
        <sz val="10"/>
        <rFont val="Arial"/>
        <family val="2"/>
      </rPr>
      <t xml:space="preserve"> must be followed in addition to all applicable </t>
    </r>
    <r>
      <rPr>
        <i/>
        <sz val="10"/>
        <rFont val="Arial"/>
        <family val="2"/>
      </rPr>
      <t>T&amp;V Protocols.</t>
    </r>
  </si>
  <si>
    <r>
      <rPr>
        <b/>
        <sz val="10"/>
        <rFont val="Arial"/>
        <family val="2"/>
      </rPr>
      <t xml:space="preserve">Compliance Statement
</t>
    </r>
    <r>
      <rPr>
        <sz val="10"/>
        <rFont val="Arial"/>
        <family val="2"/>
      </rPr>
      <t>• Assembly meets or exceeds the requirements listed in the</t>
    </r>
    <r>
      <rPr>
        <i/>
        <sz val="10"/>
        <rFont val="Arial"/>
        <family val="2"/>
      </rPr>
      <t xml:space="preserve"> Modified Prescriptive Path.
</t>
    </r>
    <r>
      <rPr>
        <sz val="10"/>
        <rFont val="Arial"/>
        <family val="2"/>
      </rPr>
      <t xml:space="preserve">
All air barrier materials must be compatible with other air barrier elements to which they connect.
• Gaps and joints must be primed and sealed with transition membrane, tape or sealant that is rated to withstand the thermal and structural deflection calculated fort the joint in question. For joints that are anticipated to have more than ½” deflection special details are needed to allow flexibility.
</t>
    </r>
  </si>
  <si>
    <r>
      <t xml:space="preserve">Sample Unit - Visual Inspection
</t>
    </r>
    <r>
      <rPr>
        <sz val="10"/>
        <rFont val="Arial"/>
        <family val="2"/>
      </rPr>
      <t>• The developer shall set up at least two sample units with both exterior enclosure and apartment compartmentalization air sealing details completed for initial inspection.  The units shall include a corner unit and a middle unit.  All air sealing details must be open for inspection – visible from the interior or exterior of the building.  The sample unit inspection will be used to identify problems with the exterior enclosure air sealing approach and apartment compartmentalization before building-wide construction and air sealing of apartments is completed.  The inspection may be spread over more than a single visit to accommodate schedules but all air sealing details should be inspected.  The sample units should also be used for Preliminary Fan Pressure Testing if applicable.</t>
    </r>
  </si>
  <si>
    <t>Tested CFM50/SF 
(Criteria is &lt;=.30)</t>
  </si>
  <si>
    <t>Tested CFM50</t>
  </si>
  <si>
    <t>Maximum CFM50 allowed</t>
  </si>
  <si>
    <r>
      <t>Fan Pressure Testing Method</t>
    </r>
    <r>
      <rPr>
        <sz val="10"/>
        <rFont val="Arial"/>
        <family val="2"/>
      </rPr>
      <t xml:space="preserve"> 
• Prior to testing follow Residential Energy Services Network (RESNET) Mortgage Industry’s National Home Energy Rating Systems Section 802.2 Protocol for Preparing the Building Enclosure for Testing.
• Measure the air leakage rate of a test apartment using fan pressurization techniques following either ASTM E779 2010 or ASTM E1827.  If using ASTM E1827, a one-point test at 50 Pascal using the average CFM50 measured under depressurization is acceptable for this measurement.  
• When performing this test, the calibrated blower door fan shall be located in the entry door, balcony/patio door or window of the apartment.  Windows in adjacent apartments shall be open during the test.  Alternatively, the pressure difference between the test unit and the neighboring units can be measured when the test unit is depressurized 50 pascals relative to outdoor air.  Windows do not need to be opened in a neighboring unit if the pressure difference between it and the test unit is greater than or equal to 45 pascals.   If the apartment entry door opens to a corridor or other enclosed space, that space shall be well open to the outside during the test (e.g., opening the windows and corridor doors in neighboring units achieves both ends).  
• Conduct any QA procedures on test equipment and set-up recommended by the blower door manufacturer (e.g., ensure that the fan flow is in the proper direction for flow measurement to be accurate).  Check the tubing connections to the flow sensing element and that the flow sensing element is properly positioned.
• Conduct test to see whether or not the apartment air leakage rate is less than or equal to 0.30 CFM50 per square foot of enclosure (e.g., all surfaces enclosing the apartment, including exterior and party walls, floors, ceiling).  Use the guidance in the Preliminary or Final Verification Testing sections above to determine the next action (e.g., test more apartments, make repairs or write report). 
</t>
    </r>
    <r>
      <rPr>
        <i/>
        <sz val="10"/>
        <rFont val="Arial"/>
        <family val="2"/>
      </rPr>
      <t xml:space="preserve">• Note:  This test does not distinguish between leakage from the apartment to outside and leakage from the apartment to other interior and/or interstitial spaces.  The allowable limit for measured leakage is for the total enclosure of the apartment unit.
</t>
    </r>
  </si>
  <si>
    <r>
      <t>Final Verification Testing</t>
    </r>
    <r>
      <rPr>
        <sz val="10"/>
        <rFont val="Arial"/>
        <family val="2"/>
      </rPr>
      <t xml:space="preserve">
• When seven apartments are ready for final testing, each apartment must be tested and pass in order to begin sampling. Once sampling begins, one apartment shall be selected at random from a group of seven apartments.  More than one group of seven may be available for testing at the same time, but they must be divided into identified groups of seven or less.  The logic for responding to units that pass or fail then follows the RESNET 2006 Mortgage Industry National Home Energy Rating Systems Standard sampling protocol.
• If the randomly selected test apartment passes, then all apartments in that set are deemed to pass.
• If the randomly selected test unit fails, then an additional 2 units in that group of seven must be tested.  If either of those two units fail, then the remaining 4 units must be tested.  Any unit that fails must have the air barrier deficiencies corrected until it meets or beats the air leakage target of 0.30 CFM at 50 pascals induced pressure difference.  See the Sampling Requirements section of this protocol for more details.
• Continue this process until all apartments have been included in a group of seven.</t>
    </r>
  </si>
  <si>
    <r>
      <t>Preliminary Testing (Recommended)</t>
    </r>
    <r>
      <rPr>
        <sz val="10"/>
        <rFont val="Arial"/>
        <family val="2"/>
      </rPr>
      <t xml:space="preserve">
• The initial set of tested apartments should include at least one corner unit and one middle unit.
• The preliminary testing should be conducted at the earliest time in the construction process possible before building-wide air sealing of apartments is completed.
• Before an apartment can be tested, the air barrier systems for both the exterior enclosure and the interior compartmentalization should be installed and inspected.
• The apartments selected for preliminary testing shall be tested using the methods described below.  If the units meet or beat the air leakage target of 0.30 CFM per square foot of enclosure at 50 pascals, the inspections described above continue to ensure air barrier integrity of the exterior enclosure and apartment compartmentalization continues at the same quality.
• If an apartment fails to meet or beat the target air leakage rate, then deficiencies in the air barriers should be identified and corrected until all apartments in the preliminary test set have passed.  Use the results of these tests to develop a punch list of details to be modified as construction continues.  The inspection checklist should be modified to incorporate the lessons learned from the preliminary tests and the modified inspections should proceed to ensure air barrier integrity of the exterior enclosure and for apartment compartmentalization continues at the newly identified quality.
• Send a summary of the preliminary tests, results and any recommendations to the project team to reduce apartment infiltration moving forward. 
</t>
    </r>
    <r>
      <rPr>
        <i/>
        <sz val="10"/>
        <rFont val="Arial"/>
        <family val="2"/>
      </rPr>
      <t xml:space="preserve">
</t>
    </r>
  </si>
  <si>
    <t>• Enclosed apartments must be fan pressure tested as an independent unit in accordance with either ASTM E779 2010 or ASTM E1827.  The target maximum air leakage rate is 0.3 CFM per square foot of the enclosure bounding the apartment at an induced pressure difference of 50 pascals.  E{A recommends at least two sample apartments are fan pressure tested as soon as they can be scheduled.  A subset of the remaining apartments shall be fan pressure tested for quality assurance purposes. See the section on Fan Pressure Testing for details.</t>
  </si>
  <si>
    <t>1) Post-construction, single point blower door testing of apartment units must be conducted following RESNET sampling protocol. The tested units shall be representative of the variety of apartment types in the building, including: end/corner units and inside units; top-floor, middle-floor, bottom-floor units; and at least one unit of each size/type (i.e., studios, 1-bed, 2-bed, etc.).  Any apartment that exceeds the allowed leakage rate (0.30 CFM50 per square foot of enclosure), must confirm that all items below have been properly sealed prior to retesting. Per RESNET Section 603.7.8, until the failure is corrected in all identified (failed) apartments in the sample set, none of the apartments shall be deemed to meet the threshold or labeling criteria.</t>
  </si>
  <si>
    <t xml:space="preserve">3) Final inspection and testing of apartments post completion
</t>
  </si>
  <si>
    <t>2) Post-correction testing of sample apartment</t>
  </si>
  <si>
    <t xml:space="preserve">1) Sample apartment inspection and blower door test </t>
  </si>
  <si>
    <t>This process begins with the construction documentation.  A minimum of 3-5 site visits are recommended to properly inspect air sealing details. Each exterior, common area and in-unit element on the air sealing checklists must be inspected at each of the following stages to ensure use of proper materials and complete seals exist for each juncture or penetration.  Fan pressure testing shall be conducted for two purposes: Preliminary testing should be conducted on an initial set of apartments to verify the performance of the air barrier detailing and installation and Final verification testing shall be conducted on a subset of the remaining apartments for quality assurance.</t>
  </si>
  <si>
    <t>Computer (not printing)</t>
  </si>
  <si>
    <t>Main entry lobbies (office only)</t>
  </si>
  <si>
    <t>Reception areas</t>
  </si>
  <si>
    <t>Office space</t>
  </si>
  <si>
    <t>Multipurpose assembly</t>
  </si>
  <si>
    <t>Laundry rooms, central</t>
  </si>
  <si>
    <t>Max Floor Area</t>
  </si>
  <si>
    <t>Bedrooms</t>
  </si>
  <si>
    <t>ASHRAE 62.1 - 2007 Table 4.1a - Ventilation Air Requirements, CFM</t>
  </si>
  <si>
    <r>
      <t xml:space="preserve">% above baseline (Must be at least 0% and </t>
    </r>
    <r>
      <rPr>
        <i/>
        <sz val="10"/>
        <rFont val="Arial"/>
        <family val="2"/>
      </rPr>
      <t xml:space="preserve">Prescriptive Path </t>
    </r>
    <r>
      <rPr>
        <sz val="10"/>
        <rFont val="Arial"/>
        <family val="2"/>
      </rPr>
      <t xml:space="preserve">projects </t>
    </r>
    <r>
      <rPr>
        <sz val="11"/>
        <color theme="1"/>
        <rFont val="Calibri"/>
        <family val="2"/>
        <scheme val="minor"/>
      </rPr>
      <t>cannot exceed 50%)</t>
    </r>
  </si>
  <si>
    <r>
      <t>% above max baseline (</t>
    </r>
    <r>
      <rPr>
        <i/>
        <sz val="10"/>
        <rFont val="Arial"/>
        <family val="2"/>
      </rPr>
      <t>Prescriptive Path</t>
    </r>
    <r>
      <rPr>
        <sz val="10"/>
        <rFont val="Arial"/>
        <family val="2"/>
      </rPr>
      <t xml:space="preserve"> projects cannot Exceed 50%)</t>
    </r>
  </si>
  <si>
    <t>% above min baseline (Must be at least 0%)</t>
  </si>
  <si>
    <t>Table 4.1a Ventilation Requirement (CFM)</t>
  </si>
  <si>
    <t>Calculated Ventilation Requirement (CFM)</t>
  </si>
  <si>
    <r>
      <t xml:space="preserve">Number of Bedrooms
</t>
    </r>
    <r>
      <rPr>
        <sz val="8"/>
        <rFont val="Arial"/>
        <family val="2"/>
      </rPr>
      <t>(studios are to be entered with (1) bedroom)</t>
    </r>
  </si>
  <si>
    <t xml:space="preserve">Whole Unit Ventilation </t>
  </si>
  <si>
    <t>% above or below vent. req't</t>
  </si>
  <si>
    <t>based on occ. density</t>
  </si>
  <si>
    <t>based on space type</t>
  </si>
  <si>
    <t xml:space="preserve">Occupants per room (optional) </t>
  </si>
  <si>
    <t>Ventilation Requirements (CFM)</t>
  </si>
  <si>
    <t>Bottom Floor Pressure (Pa), if applicable</t>
  </si>
  <si>
    <t>Tested CFM</t>
  </si>
  <si>
    <t xml:space="preserve">All ventilation fans installed and listed above should be listed here to document tested ventilation rates. Insert rows to meet sampling protocol. </t>
  </si>
  <si>
    <r>
      <t>Ventilation - Training and Manuals</t>
    </r>
    <r>
      <rPr>
        <sz val="10"/>
        <rFont val="Arial"/>
        <family val="2"/>
      </rPr>
      <t xml:space="preserve">
• EPA recommends confirming that all applicable operating and specification manuals are delivered to the building staff. EPA also recommends verifying that staff members have been trained and are aware of their responsibilities to maintain and operate the systems properly. Summarize any training performed and personnel involved.</t>
    </r>
  </si>
  <si>
    <r>
      <t xml:space="preserve">Passive Intake Systems (Trickle Vents)
</t>
    </r>
    <r>
      <rPr>
        <sz val="10"/>
        <rFont val="Arial"/>
        <family val="2"/>
      </rPr>
      <t xml:space="preserve">• In passive intake systems (i.e., trickle vents), EPA recommends, but does not require, that airflow measurements be taken to verify flow rates are within design specifications under the range of conditions anticipated for system operation.  If airflow cannot be directly measured, pressure measurements can be used to estimate airflow based on manufacturer’s data for different pressure levels. </t>
    </r>
  </si>
  <si>
    <r>
      <t xml:space="preserve">Fresh Air Intakes are Properly Located
</t>
    </r>
    <r>
      <rPr>
        <sz val="10"/>
        <rFont val="Arial"/>
        <family val="2"/>
      </rPr>
      <t>• For all make-up air systems, a visual inspection of the supply air source shall be conducted to ensure pollutants are not being drawn into the building unintentionally.</t>
    </r>
  </si>
  <si>
    <r>
      <t xml:space="preserve">Fresh Air Intake Systems - Operating Sequence
</t>
    </r>
    <r>
      <rPr>
        <sz val="10"/>
        <rFont val="Arial"/>
        <family val="2"/>
      </rPr>
      <t xml:space="preserve">• For both active and passive intake systems, design specifications must indicate operation sequence as it relates to controls, sensors, fans, dampers, etc.  </t>
    </r>
  </si>
  <si>
    <r>
      <rPr>
        <b/>
        <sz val="10"/>
        <rFont val="Arial"/>
        <family val="2"/>
      </rPr>
      <t>Toilet, Kitchen, General Exhaust Grills and Corridor Supply Ventilation Grills</t>
    </r>
    <r>
      <rPr>
        <sz val="10"/>
        <rFont val="Arial"/>
        <family val="2"/>
      </rPr>
      <t xml:space="preserve">
• EPA recommends that each exhaust and supply grill assembly be equipped with a self-balancing damper that responds to changes in duct pressure to allow a constant airflow (+/- 20%) over a range of operating pressures from 0.2 in WC to the greater of:  0.5 in WC or the maximum system operating pressure at the particular exhaust register/grill. This is critical to helping ensure the system performs according to project specifications and Proposed Design model.
• </t>
    </r>
    <r>
      <rPr>
        <sz val="10"/>
        <rFont val="Arial"/>
        <family val="2"/>
      </rPr>
      <t xml:space="preserve">Central exhaust and in-line exhaust systems serving apartments must have self-balancing dampers at each grill.
</t>
    </r>
    <r>
      <rPr>
        <sz val="10"/>
        <rFont val="Arial"/>
        <family val="2"/>
      </rPr>
      <t>• Adjustable register assemblies that allow for the free area to be manually adjusted in the field should not be used to meet this requirement. Self balancing dampers shall be designed and installed in any situation where more than one exhaust point is connected to a fan so that they may be easily removed for cleaning or replacement.
• For inspection:  Self balancing dampers have been installed in correct position and are functioning properly.</t>
    </r>
  </si>
  <si>
    <r>
      <rPr>
        <b/>
        <sz val="10"/>
        <rFont val="Arial"/>
        <family val="2"/>
      </rPr>
      <t>Garage Fan and CO/NO2 Sensor - Manufacturer's Product Data</t>
    </r>
    <r>
      <rPr>
        <sz val="10"/>
        <rFont val="Arial"/>
        <family val="2"/>
      </rPr>
      <t xml:space="preserve">
• Include cut sheet showing fan and sensor specifications such as CFM and CO/NO2 concentration threshold.</t>
    </r>
  </si>
  <si>
    <r>
      <rPr>
        <b/>
        <sz val="10"/>
        <rFont val="Arial"/>
        <family val="2"/>
      </rPr>
      <t>CO/NO2 Sensor Locations</t>
    </r>
    <r>
      <rPr>
        <sz val="10"/>
        <rFont val="Arial"/>
        <family val="2"/>
      </rPr>
      <t xml:space="preserve">
• Record sensor locations and confirm conformance with plans.</t>
    </r>
  </si>
  <si>
    <r>
      <t xml:space="preserve">Demand Controls
</t>
    </r>
    <r>
      <rPr>
        <sz val="10"/>
        <rFont val="Arial"/>
        <family val="2"/>
      </rPr>
      <t xml:space="preserve">• Verify control systems including timing devices, demand control sensors, or other devices meet or exceed the requirements listed in the </t>
    </r>
    <r>
      <rPr>
        <i/>
        <sz val="10"/>
        <rFont val="Arial"/>
        <family val="2"/>
      </rPr>
      <t>Modified Prescriptive Path.</t>
    </r>
    <r>
      <rPr>
        <sz val="10"/>
        <rFont val="Arial"/>
        <family val="2"/>
      </rPr>
      <t xml:space="preserve">
EPA suggests including the following in the design where applicable:
• Controls to allow for intermittent (ON/OFF) operation of central exhaust fans are not permitted.
• Public/Office Bathroom Exhaust Configuration and Control:
    • If vented to the roof with a central fan:  Motorized damper controlled by light switch to open when occupied (normally tightly closed).
    • If vented thru-wall:  ENERGY STAR certified fan vented through-wall controlled by light switch to activate when occupied.</t>
    </r>
  </si>
  <si>
    <r>
      <rPr>
        <b/>
        <sz val="10"/>
        <rFont val="Arial"/>
        <family val="2"/>
      </rPr>
      <t>All Ventilation Systems - Capacity, Testing and Balancing</t>
    </r>
    <r>
      <rPr>
        <sz val="10"/>
        <rFont val="Arial"/>
        <family val="2"/>
      </rPr>
      <t xml:space="preserve">
• The developer may choose to hire a Test and Balance (TAB) contractor to commission the system or any part thereof.  Either the TAB contractor or the responsible party shall provide a balancing report for each shaft with operating pressures at the grill furthest from the fan and with airflow (CFM) measurements at apartment and common area grills following RESNET sampling protocol described below. Airflow shall be measured with equipment that fully enclose grills and is able to measure as low as 20 CFM ± 5 CFM. Air intake point shall also be inspected.
• For kitchen exhaust fans, prescriptive duct sizing requirements described at www.energystar.gov/newhomesresources may be used in lieu of measuring the actual air flow rate.
• Common area ventilation systems cannot exceed ASHRAE 62.1-2007 by more than 50%.  Apartment ventilation systems cannot exceed ASHRAE 62.2-2007 by more than 50%.</t>
    </r>
  </si>
  <si>
    <t>SIZING &amp; BALANCING</t>
  </si>
  <si>
    <r>
      <t xml:space="preserve">Compliance Statement
</t>
    </r>
    <r>
      <rPr>
        <sz val="10"/>
        <rFont val="Arial"/>
        <family val="2"/>
      </rPr>
      <t>• All ventilation systems meet or exceed the requirements listed in the</t>
    </r>
    <r>
      <rPr>
        <i/>
        <sz val="10"/>
        <rFont val="Arial"/>
        <family val="2"/>
      </rPr>
      <t xml:space="preserve"> Modified Prescriptive Path</t>
    </r>
    <r>
      <rPr>
        <sz val="10"/>
        <rFont val="Arial"/>
        <family val="2"/>
      </rPr>
      <t>.</t>
    </r>
  </si>
  <si>
    <r>
      <t xml:space="preserve">Construction documents must also include the following criteria apply to projects using the </t>
    </r>
    <r>
      <rPr>
        <i/>
        <sz val="10"/>
        <rFont val="Arial"/>
        <family val="2"/>
      </rPr>
      <t>Modified Prescriptive Path</t>
    </r>
    <r>
      <rPr>
        <sz val="10"/>
        <rFont val="Arial"/>
        <family val="2"/>
      </rPr>
      <t>:
• Central exhaust and in-line exhaust systems serving apartments must have self-balancing dampers at each grill.
• Central exhaust fans 1/16 HP and less must be direct-drive and have variable speed controllers.
• Central exhaust fans greater than 1/16 HP and less than 1 HP must be direct-drive with ECM motors and variable speed controllers.
• Central exhaust fans 1 HP and larger must have NEMA Premium efficient motors.
• In addition to requirements above, powered common laundry ventilation must be installed with automatic demand control to turn off ventilation fans when no dryers are operating.</t>
    </r>
  </si>
  <si>
    <t>Construction documents must include performance criteria for central and in-unit ventilation systems including: 
• Apartment in-line and ceiling exhaust fans must be ENERGY STAR certified.</t>
  </si>
  <si>
    <t>- Photo of fan installation and duct work insulation
- Photo of fan faceplates
- If applicable, photograph location of CO/NO2 sensors and air intake point.</t>
  </si>
  <si>
    <r>
      <t xml:space="preserve">3) Verification of in-unit ventilation equipment performance (ie. fan efficiency, controls) and in-unit ventilation performance (CFM) at the delivery location (register) can be sampled following the modified RESNET sampling protocol outlined in the </t>
    </r>
    <r>
      <rPr>
        <i/>
        <sz val="10"/>
        <rFont val="Arial"/>
        <family val="2"/>
      </rPr>
      <t xml:space="preserve">How to Use this Manual </t>
    </r>
    <r>
      <rPr>
        <sz val="10"/>
        <rFont val="Arial"/>
        <family val="2"/>
      </rPr>
      <t xml:space="preserve">section on page 11 of the T&amp;V Protocols. </t>
    </r>
  </si>
  <si>
    <r>
      <t xml:space="preserve">2) 100% of central ventilation equipment serving apartments must be inspected and verified for system performance (ie. fan efficiency, controls).   Ventilation performance (CFM) at the delivery location (register) can be sampled following the modified RESNET sampling protocol outlined in the </t>
    </r>
    <r>
      <rPr>
        <i/>
        <sz val="10"/>
        <rFont val="Arial"/>
        <family val="2"/>
      </rPr>
      <t>How to Use this Manual</t>
    </r>
    <r>
      <rPr>
        <sz val="10"/>
        <rFont val="Arial"/>
        <family val="2"/>
      </rPr>
      <t xml:space="preserve"> section on page 11 of the</t>
    </r>
    <r>
      <rPr>
        <i/>
        <sz val="10"/>
        <rFont val="Arial"/>
        <family val="2"/>
      </rPr>
      <t xml:space="preserve"> T&amp;V Protocols</t>
    </r>
    <r>
      <rPr>
        <sz val="10"/>
        <rFont val="Arial"/>
        <family val="2"/>
      </rPr>
      <t xml:space="preserve">.  The overall sample shall include at least one riser for each type/size of fan installed in the building serving apartments. For each ventilation riser tested, take measurements at every other floor to obtain a representative profile.  </t>
    </r>
  </si>
  <si>
    <t>1) 100% of ventilation equipment serving common spaces must be inspected and verified for system performance (ie. fan efficiency, controls).  Ventilation performance (CFM) at the delivery location (register) can be sampled at every other floor. The overall sample shall include at least one riser for each type/size of fan installed in the building serving common space.</t>
  </si>
  <si>
    <t xml:space="preserve">3) Flow measurements cannot be verified until interior drywall and registers are installed. </t>
  </si>
  <si>
    <t>1) The developer or GC shall ensure that deliveries are inspected prior to accepting them to verify that product substitutions by the distributor or manufacturer have not resulted in non-ENERGY STAR certified exhaust fans for in-unit ventilation systems.</t>
  </si>
  <si>
    <t>Temp Corc Flow (cfm)</t>
  </si>
  <si>
    <r>
      <rPr>
        <b/>
        <sz val="14"/>
        <rFont val="Arial"/>
        <family val="2"/>
      </rPr>
      <t xml:space="preserve">Linear Regression Assistant: </t>
    </r>
    <r>
      <rPr>
        <sz val="14"/>
        <rFont val="Arial"/>
        <family val="2"/>
      </rPr>
      <t>This section can be used for multi-point testing and can be duplicated by copying/inserting rows .</t>
    </r>
  </si>
  <si>
    <t>MAX CFM50</t>
  </si>
  <si>
    <t>CFM50 Leakage from Single-Point Test</t>
  </si>
  <si>
    <t>Design Exhaust CFM</t>
  </si>
  <si>
    <t># floors</t>
  </si>
  <si>
    <t># Registers Served</t>
  </si>
  <si>
    <r>
      <t>Duct Leakage Summary (Single-Point tests):</t>
    </r>
    <r>
      <rPr>
        <sz val="10"/>
        <rFont val="Arial"/>
        <family val="2"/>
      </rPr>
      <t xml:space="preserve"> This section can be expanded, copy and insert rows as needed.</t>
    </r>
  </si>
  <si>
    <r>
      <rPr>
        <b/>
        <sz val="10"/>
        <rFont val="Arial"/>
        <family val="2"/>
      </rPr>
      <t>Roof Curb/Wall Penetration (Central)</t>
    </r>
    <r>
      <rPr>
        <sz val="10"/>
        <rFont val="Arial"/>
        <family val="2"/>
      </rPr>
      <t xml:space="preserve">
• Roof curb and or wall penetration sealing.</t>
    </r>
  </si>
  <si>
    <r>
      <rPr>
        <b/>
        <sz val="10"/>
        <rFont val="Arial"/>
        <family val="2"/>
      </rPr>
      <t>Duct Leakage Testing (Central Exhaust Serving Apartments)</t>
    </r>
    <r>
      <rPr>
        <sz val="10"/>
        <rFont val="Arial"/>
        <family val="2"/>
      </rPr>
      <t xml:space="preserve">
• Following the procedures outlined in your duct leakage tester operation manual, a single or five-point test for total duct leakage in the main duct shaft using a calibrated fan between -50 and -100 Pascal measured under depressurization or 50 and 100 Pascal under pressurization is acceptable for this measurement.  
• When conducting a duct leakage depressurization test, the flow conditioner and one of the flow rings must always be installed.
• EPA does not require the duct tester to be connected to a specific location in the shaft, however typically central exhaust duct tightness tests are conducted from the roof with the duct tester connected to the roof curb.  Often a transition plate is needed to effectively seal the duct tester to the roof curb opening. Cardboard is usually a readily accessible material on construction sites and can be easily adapted into such a transition plate (precut plastic, acrylic glass and or rubber sheets could also be used).
• The pressure probe should be installed approximately 5’ downstream of the connection between the duct and the duct tester, with the probe configured so it’s openings face perpendicular to the direction of flow and only static pressure is measured, not velocity pressure.  When connecting the duct tester to the roof curb, poke a hole in the transition sheet and run the tubing and pressure probe inside of the shaft before connecting the transition sheet. Often static pressure probes come with a magnet to help configure the probe in the right direction, but if the inside surface of the duct is not magnetic, a weighted pressure hose could be used with holes cut out of the sides to prevent velocity pressure from being measured.
• For five-point tests, use the Linear Regression Assistant below to find the CFM50 leakage.  </t>
    </r>
    <r>
      <rPr>
        <sz val="10"/>
        <rFont val="Arial"/>
        <family val="2"/>
      </rPr>
      <t xml:space="preserve">
</t>
    </r>
    <r>
      <rPr>
        <sz val="10"/>
        <rFont val="Arial"/>
        <family val="2"/>
      </rPr>
      <t xml:space="preserve">
</t>
    </r>
  </si>
  <si>
    <r>
      <rPr>
        <b/>
        <sz val="10"/>
        <rFont val="Arial"/>
        <family val="2"/>
      </rPr>
      <t>Compliance Statement</t>
    </r>
    <r>
      <rPr>
        <sz val="10"/>
        <rFont val="Arial"/>
        <family val="2"/>
      </rPr>
      <t xml:space="preserve">
• Assembly meets or exceeds the requirements of the </t>
    </r>
    <r>
      <rPr>
        <i/>
        <sz val="10"/>
        <rFont val="Arial"/>
        <family val="2"/>
      </rPr>
      <t>Modified Prescriptive Path</t>
    </r>
    <r>
      <rPr>
        <sz val="10"/>
        <rFont val="Arial"/>
        <family val="2"/>
      </rPr>
      <t>.  Central exhaust systems serving apartments must be tested for duct leakage, which cannot exceed the sum of 5 CFM50 per register per shaft plus 5 CFM50 per floor per shaft.</t>
    </r>
  </si>
  <si>
    <r>
      <t>Construction documents must include performance criteria for central and in-unit ventilation systems including: 
For central ventilation systems:
• Roof curb and or wall penetrations has been sealed  
• Mastic or other UL-181 compliant material shall be applied within temperature range and according to all other manufacturer's requirements at ALL transverse joints and take offs.
• All duct transitional junctions have been sealed with mastic or other UL-181 compliant material.
• All connections between gypsum board and ductwork must be sealed.
• Total exhaust shaft leakage shall not exceed the sum of 5 CFM50 per register per shaft plus 5 CFM50 floor per shaft at a pressure of 0.2 in WC</t>
    </r>
    <r>
      <rPr>
        <sz val="10"/>
        <rFont val="Arial"/>
        <family val="2"/>
      </rPr>
      <t xml:space="preserve">
• Contractor shall adjust roof fan to provide a pressure of 0.2 – 0.3 inches WC at the grill farthest from the fan.
For in-line fan exhaust systems:
• Mastic or other UL-181 compliant material shall be applied within temperature range and according to all other manufacturer's requirements at ALL transverse joints and take offs. 
• All duct transitional junctions have been sealed with mastic or other UL-181 compliant material.  
• All connections between gypsum board and ductwork must be sealed.
• If plank core is to be used as duct, ceiling plank penetration has been sealed.
• If plank core is to be used as duct, plank core has been effectively connected to exterior of the building. 
• The appropriate plank core was selected that aligns with exterior louver.
</t>
    </r>
  </si>
  <si>
    <t xml:space="preserve">1)  Inspect and test duct systems for leakage upon installation including all take offs and branches and prior to enclosure with drywall.  The intent is to test the duct system before drywall and grills are installed so corrections can be made if duct leakage is excessive, however all take offs branch duct work, bottom caps and permanent roof curbs must be installed prior to testing. Takeoffs are typically installed floor by floor. </t>
  </si>
  <si>
    <t>2) Review plan review comments to confirm project specifications meet or exceed the requirements listed in the Modified Prescriptive Path.</t>
  </si>
  <si>
    <t>3) Review inspection comments to confirm the Final Building meets or exceeds the requirements listed in the Modified Prescriptive Path.</t>
  </si>
  <si>
    <r>
      <t xml:space="preserve">Heating Distribution - Duct Insulation
</t>
    </r>
    <r>
      <rPr>
        <sz val="10"/>
        <rFont val="Arial"/>
        <family val="2"/>
      </rPr>
      <t xml:space="preserve">• </t>
    </r>
    <r>
      <rPr>
        <sz val="11"/>
        <color theme="1"/>
        <rFont val="Calibri"/>
        <family val="2"/>
        <scheme val="minor"/>
      </rPr>
      <t>Heating and cooling supply and return ductwork shall be insulated to a minimum R-8 in unconditioned space and a minimum R-4 in conditioned space.</t>
    </r>
  </si>
  <si>
    <r>
      <rPr>
        <b/>
        <u/>
        <sz val="10"/>
        <color rgb="FFC00000"/>
        <rFont val="Calibri"/>
        <family val="2"/>
        <scheme val="minor"/>
      </rPr>
      <t>Important note</t>
    </r>
    <r>
      <rPr>
        <b/>
        <sz val="10"/>
        <color rgb="FFC00000"/>
        <rFont val="Calibri"/>
        <family val="2"/>
        <scheme val="minor"/>
      </rPr>
      <t>: This spreadsheet does not include all program requirements.  This is a supplemental document to help calculate savings for Program-level reporting.</t>
    </r>
  </si>
  <si>
    <t>Prescriptive Path</t>
  </si>
  <si>
    <t>Added Historic building field.</t>
  </si>
  <si>
    <t>Updated unit column to clarify what is being asked for.</t>
  </si>
  <si>
    <t>Split apart different Partner fee types.</t>
  </si>
  <si>
    <t>Added note emphasizing that this spreadsheet/checklist does not capture all program requirements.</t>
  </si>
  <si>
    <t>Minimized number of inputs/listed components to only those necessary to calculate reportable savings.</t>
  </si>
  <si>
    <t>Updated some calculations based on Tech Manual updates.</t>
  </si>
  <si>
    <t>Updated these to match EPA's most recent changes.  Multiple changes have been incorporated and are not explicitly listed.  For a list of changes, please refer to the EPA's T&amp;V Worksheet.</t>
  </si>
  <si>
    <t>Btu/h (heating)</t>
  </si>
  <si>
    <t>Btu/h (cooling)</t>
  </si>
  <si>
    <t xml:space="preserve">        VRF Service?</t>
  </si>
  <si>
    <t>See Tables 6.8.1I and 6.8.1J of ASHRAE 90.1‐2010 and VRF heating calc</t>
  </si>
  <si>
    <t>Project Funding Overview</t>
  </si>
  <si>
    <t>Step 1: Determine funding eligibility</t>
  </si>
  <si>
    <t>Eligible Funding</t>
  </si>
  <si>
    <t>Project-Level TRC</t>
  </si>
  <si>
    <t>Published Incentive Schedule</t>
  </si>
  <si>
    <t>EEPS Funding Cap</t>
  </si>
  <si>
    <t>Incentive 1</t>
  </si>
  <si>
    <t>Assigned EEPS Incentives</t>
  </si>
  <si>
    <t>Incentive 2</t>
  </si>
  <si>
    <t>Non-EEPS Incentives</t>
  </si>
  <si>
    <t>Incentive 3</t>
  </si>
  <si>
    <t>Cost of Scope of Work</t>
  </si>
  <si>
    <t>Total Incentive per schedule</t>
  </si>
  <si>
    <t>% Work covered by incentive</t>
  </si>
  <si>
    <t>Additional amount needed to hit 50% cap</t>
  </si>
  <si>
    <t>Do Partner Fees need to be added?</t>
  </si>
  <si>
    <t>Partner Fees added</t>
  </si>
  <si>
    <t>Revised Assigned EEPS incentives</t>
  </si>
  <si>
    <t>Revised % Work covered by incentive</t>
  </si>
  <si>
    <t>Step 2: Determine Funding Splits</t>
  </si>
  <si>
    <t>1. Review table below to determine the best way to split EEPS funding between gas and electric.</t>
  </si>
  <si>
    <t>Split chosen:</t>
  </si>
  <si>
    <t>&lt;Select one&gt;</t>
  </si>
  <si>
    <t>EEPS Funding Sources</t>
  </si>
  <si>
    <t>Sum of</t>
  </si>
  <si>
    <t>Sum of Measure</t>
  </si>
  <si>
    <t>Funding split by</t>
  </si>
  <si>
    <t>Funding Split by</t>
  </si>
  <si>
    <t>Measure Cost</t>
  </si>
  <si>
    <t>Savings (MMBtu)</t>
  </si>
  <si>
    <t>Measure Savings</t>
  </si>
  <si>
    <t>MPPMREINC</t>
  </si>
  <si>
    <t>MPPLIEINC</t>
  </si>
  <si>
    <t>MPPMRGINC</t>
  </si>
  <si>
    <t>MPPLIGINC</t>
  </si>
  <si>
    <t>Non-EEPS Funding Sources</t>
  </si>
  <si>
    <t>Percent of Total Measure</t>
  </si>
  <si>
    <t>Incentives</t>
  </si>
  <si>
    <t>Cost</t>
  </si>
  <si>
    <t>RGGIMPP</t>
  </si>
  <si>
    <t>RGGIMPPLI</t>
  </si>
  <si>
    <t>GAH</t>
  </si>
  <si>
    <t>Owner - Gas</t>
  </si>
  <si>
    <t>Owner - Electric</t>
  </si>
  <si>
    <t>Owner - Other</t>
  </si>
  <si>
    <t>Step 3: Comparison to Program Goals</t>
  </si>
  <si>
    <t>1. Compare incentives per MWH and MMBtu, based on incentive selections above.</t>
  </si>
  <si>
    <t>Project</t>
  </si>
  <si>
    <t>Goal</t>
  </si>
  <si>
    <t>Program $ Per MWh</t>
  </si>
  <si>
    <t>Program $ per MMBtu</t>
  </si>
  <si>
    <t>Project name</t>
  </si>
  <si>
    <t>Revised Total Project Incentives</t>
  </si>
  <si>
    <t>Funding Sources</t>
  </si>
  <si>
    <t>Total Cost of Eligible Measures</t>
  </si>
  <si>
    <t>Gas/ Fuel Incentive Cap</t>
  </si>
  <si>
    <t>Gas%</t>
  </si>
  <si>
    <t>Electric Incentive Cap</t>
  </si>
  <si>
    <t>Electric %</t>
  </si>
  <si>
    <t>GJGNY</t>
  </si>
  <si>
    <t>Total Payment Amount</t>
  </si>
  <si>
    <t>Split based on Cost</t>
  </si>
  <si>
    <t>Split based on Savings</t>
  </si>
  <si>
    <t>Payment #1</t>
  </si>
  <si>
    <t>Gas/ Fuel</t>
  </si>
  <si>
    <t>Payment #2</t>
  </si>
  <si>
    <t>Payment #3</t>
  </si>
  <si>
    <t>Payment #4</t>
  </si>
  <si>
    <t>Total Incentives from Table above</t>
  </si>
  <si>
    <t>Assign Partner Fees added to:</t>
  </si>
  <si>
    <t>Gas/Fuel Partner Fee Amount</t>
  </si>
  <si>
    <t>Electric Partner Fee Amount</t>
  </si>
  <si>
    <t>Used for Calculations Above</t>
  </si>
  <si>
    <t>PV of Benefits for Project TRC</t>
  </si>
  <si>
    <t>PV of Costs for Project TRC</t>
  </si>
  <si>
    <t>Program Savings Goals</t>
  </si>
  <si>
    <t>MR Elec</t>
  </si>
  <si>
    <t>per MWh</t>
  </si>
  <si>
    <t>LI Elec</t>
  </si>
  <si>
    <t>MR Gas</t>
  </si>
  <si>
    <t>per MMBtu</t>
  </si>
  <si>
    <t>LI Gas</t>
  </si>
  <si>
    <t>EEPS Funding</t>
  </si>
  <si>
    <t>Project Savings</t>
  </si>
  <si>
    <t>Version 6, 5-49 Units</t>
  </si>
  <si>
    <t>Affordable</t>
  </si>
  <si>
    <t>Total Incentive</t>
  </si>
  <si>
    <t>Version 6, 50+ units</t>
  </si>
  <si>
    <t>Majority Fuel Savings</t>
  </si>
  <si>
    <t>Total MMBtu Savings</t>
  </si>
  <si>
    <t>Market-Rate</t>
  </si>
  <si>
    <t>Step 5: Complete Funding Amount Change Request</t>
  </si>
  <si>
    <t>Step 4: Determine Partner Fees allocation</t>
  </si>
  <si>
    <t>1. If you added Partner fees to eligible funding above (cell C23), complete Partner Fee assignment below.  If no Partner fees were added, move to Step 5.</t>
  </si>
  <si>
    <t xml:space="preserve">          b.  The values assigned to each funding source are listed in cells C67 and C68, based on the split chosen in C65.</t>
  </si>
  <si>
    <r>
      <t>3. Copy and paste the</t>
    </r>
    <r>
      <rPr>
        <b/>
        <sz val="9"/>
        <color rgb="FF92D050"/>
        <rFont val="Calibri"/>
        <family val="2"/>
        <scheme val="minor"/>
      </rPr>
      <t xml:space="preserve"> </t>
    </r>
    <r>
      <rPr>
        <b/>
        <sz val="9"/>
        <color rgb="FF659A2A"/>
        <rFont val="Calibri"/>
        <family val="2"/>
        <scheme val="minor"/>
      </rPr>
      <t>green cells</t>
    </r>
    <r>
      <rPr>
        <sz val="9"/>
        <rFont val="Calibri"/>
        <family val="2"/>
        <scheme val="minor"/>
      </rPr>
      <t xml:space="preserve"> into the Funding Amount Change Request form.</t>
    </r>
  </si>
  <si>
    <t>Total Cost of Eligible Measures 
(Incentive Cap)</t>
  </si>
  <si>
    <t>Total Incentives based on Measure Cost or Measure Savings Split</t>
  </si>
  <si>
    <t>Updated VRF savings calculations.</t>
  </si>
  <si>
    <t>2. Compare incentives by funding source calculated in Funding Amount Change Request calculator to incentive caps based on total cost of eligible measures (rows 81-83)</t>
  </si>
  <si>
    <t>1. Ensure split type is chosen above in cell H29.</t>
  </si>
  <si>
    <t xml:space="preserve">          a. Select how to fund added Partner fees by choosing the best option in cell C65.</t>
  </si>
  <si>
    <t>2. Select split type to be used for Project Funding (cell H29).</t>
  </si>
  <si>
    <t>Updated costs for a few measures (dishwashers, boilers and VRF systems).</t>
  </si>
  <si>
    <t>&lt;Enter Assembly C-factor; e.g., "C-0.092"&gt;</t>
  </si>
  <si>
    <t>&lt;Enter Assembly U-factor; e.g., "U-0.057"&gt;</t>
  </si>
  <si>
    <t>&lt;Enter Assembly U-factor; e.g., "U-0.032"&gt;</t>
  </si>
  <si>
    <t>&lt;Enter Assembly U-factor; e.g., "U-0.026"&gt;</t>
  </si>
  <si>
    <t>&lt;Enter Assembly U-factor; e.g., "U-0.4"&gt;</t>
  </si>
  <si>
    <t>1) Column B shall be filled in according to the requirements of the Modified Prescriptive Path.</t>
  </si>
  <si>
    <t>4) The Proposed Method of Compliance (Column B) should not be modified once construction begins.  Changes to design should be documented in the Inspection Comments of individual protocol worksheets.</t>
  </si>
  <si>
    <t>Corrected instructions on ERMs tab.</t>
  </si>
  <si>
    <t>Fixed typo in AGW requirements.</t>
  </si>
  <si>
    <t>Split</t>
  </si>
  <si>
    <t>1. Determine if project needs Partner Fees added to get the eligible incentives to at least 50% of the project's cost (capped at published incentive schedule amount).</t>
  </si>
  <si>
    <t>2. Review project-level TRC ratio in cell E17.</t>
  </si>
  <si>
    <t xml:space="preserve">          1a. If eligible incentives are 50% or more of the total cost of the project, then no changes need to be made (see cell C21).</t>
  </si>
  <si>
    <t xml:space="preserve">          1b. If eligible incentives are less than 50% of total cost of the project, then add Partner Fees using cell C23. C22 calculates the the amount needed to hit the 50% target or the 
                incentive cap, whichever is lower.</t>
  </si>
  <si>
    <t>3. If I passes, move to Step 2.  If not, look for options to get project to pass.</t>
  </si>
  <si>
    <t xml:space="preserve">          3a. Reduce Partner Fees added, if they were added below.</t>
  </si>
  <si>
    <t xml:space="preserve">          3b. Remove measures with low TRC ratios (close to 1.0) from the project-level analysis by selecting "No" in column AD of Detailed Measures tab.</t>
  </si>
  <si>
    <t xml:space="preserve">          3c. Reduce the dollar amount of EEPS incentives in cell C18 below.</t>
  </si>
  <si>
    <t>Project $ per MWh</t>
  </si>
  <si>
    <t>Project $ per MMBtu</t>
  </si>
  <si>
    <t>Updated energy rates.</t>
  </si>
  <si>
    <r>
      <t xml:space="preserve">This tab outlines the Modified Prescriptive Path Requirements in checklist form.  In addition to checking each box to indicate that the requirement has been met, certain components require basic information to be entered. Please enter this information into only the blue cells that are applicable to the measures included in your scope of work. 
Gut-rehab buildings must be indicated in cell I6. Upon indication, additional blue cells will appear in column J that require the existing envelope conditions of the building to be entered as applicable.*  Note that the Partners should only complete the blue cells for envelope systems that are part of the scope of work.  If the envelope system does not apply to the project, or if it is not included in the scope of work, the cell should be left blank.  Also note that for the cells with pull-down menus, the Partner should choose the insulation value that </t>
    </r>
    <r>
      <rPr>
        <i/>
        <sz val="11"/>
        <rFont val="Calibri"/>
        <family val="2"/>
      </rPr>
      <t>best matches</t>
    </r>
    <r>
      <rPr>
        <sz val="11"/>
        <rFont val="Calibri"/>
        <family val="2"/>
      </rPr>
      <t xml:space="preserve"> the existing conditions.</t>
    </r>
  </si>
  <si>
    <t>Total kW Demand Savings</t>
  </si>
  <si>
    <t>Reference</t>
  </si>
  <si>
    <t>No code</t>
  </si>
  <si>
    <t>ASHRAE 90.1-2010 (from TM)</t>
  </si>
  <si>
    <t>AEG for Highway Lodging</t>
  </si>
  <si>
    <t>EPAct 1992</t>
  </si>
  <si>
    <t>MPP (still less than all codes)</t>
  </si>
  <si>
    <t xml:space="preserve">ASHRAE 90.1-2010 </t>
  </si>
  <si>
    <t>ASHRAE 90.1-2010 Table 6.8.1D</t>
  </si>
  <si>
    <t>ENERGY STAR KEY PRODUCT CRITERIA
http://www.energystar.gov/index.cfm?c=furnaces.pr_crit_furnaces</t>
  </si>
  <si>
    <t>ENERGY STAR KEY PRODUCT CRITERIA
http://www.energystar.gov/index.cfm?c=airsrc_heat.pr_crit_as_heat_pumps</t>
  </si>
  <si>
    <t>ASHRAE 90.1-2010 Table 6.8.1B</t>
  </si>
  <si>
    <t>ENERGY STAR KEY CRITERIA
http://www.energystar.gov/products/certified-products/detail/boilers</t>
  </si>
  <si>
    <t>ASHRAE 90.1-2010; Table 6.8.2B</t>
  </si>
  <si>
    <t>ENERGY STAR KEY PRODUCT CRITERIA 
https://www.energystar.gov/index.cfm?c=vent_fans.pr_crit_vent_fans
IECC 2012</t>
  </si>
  <si>
    <t>Adjusted to be the highest non-condensing efficiency available - source?</t>
  </si>
  <si>
    <t xml:space="preserve">ENERGY STAR KEY PRODUCT CRITERIA 
https://www.energystar.gov/index.cfm?c=vent_fans.pr_crit_vent_fans
IECC 2012  - Baseline is derated by 20% </t>
  </si>
  <si>
    <t>ASHRAE 90.1-2010; Table 5.5</t>
  </si>
  <si>
    <t>ASHRAE 90.1-2010; Table 7.8</t>
  </si>
  <si>
    <t>ASHRAE 90.1 - 2010 Table 6.8.1A</t>
  </si>
  <si>
    <t>ASHRAE 90.1-2010 Table 6.8.1E</t>
  </si>
  <si>
    <t>EER =13.8-(.3 X Cap/1000)</t>
  </si>
  <si>
    <t>ASHRAE 90.1-2010 Table 6.8.1F</t>
  </si>
  <si>
    <t>ASHRAE 90.1-2010 Table 6.8.1C</t>
  </si>
  <si>
    <t>ASHRAE 90.1-2010; Table 9.6.1</t>
  </si>
  <si>
    <t>ASHRAE 189.1-2011 Table A4 - A6</t>
  </si>
  <si>
    <t>ASHRAE 189.1-2011 Table C-1</t>
  </si>
  <si>
    <t>ASHRAE 90.1-2013 Table 6.8.1D</t>
  </si>
  <si>
    <t>ASHRAE 189.1-2011 Table C-2</t>
  </si>
  <si>
    <t xml:space="preserve">ASHRAE 90.1‐2013 Tables 6.8.1I and 6.8.1J </t>
  </si>
  <si>
    <t>See Tables 6.8.1I and 6.8.1J of ASHRAE 90.1‐2013 and VRF heating calc</t>
  </si>
  <si>
    <t>ASHRAE 189.1-2011 Table C-3</t>
  </si>
  <si>
    <t>ASHRAE 189.1-2011 Table C-8</t>
  </si>
  <si>
    <t>ASHRAE 90.1-2010 Table 6.8.1D &amp; Calculator for heating</t>
  </si>
  <si>
    <t>ENERGY STAR KEY PRODUCT CRITERIA
https://www.energystar.gov/index.cfm?c=airsrc_heat.pr_crit_as_heat_pumps</t>
  </si>
  <si>
    <t>R-8</t>
  </si>
  <si>
    <t>ASHRAE 189.1-2011 Table C-10</t>
  </si>
  <si>
    <t>9.562 EER (full load) / 12.5 EER (IPLV)</t>
  </si>
  <si>
    <t>ENERGY STAR boilers &gt; 85% AFUE</t>
  </si>
  <si>
    <t>MPP/EPA</t>
  </si>
  <si>
    <t>&lt;7,000 Btu/h: 11.9 EER
≥7,000 and &lt;10,000 Btu/h:  11.3 EER
≥10,000 and &lt;13,000 Btu/h:  10.7 EER
≥13,000 Btu/h:  9.5 EER</t>
  </si>
  <si>
    <t>ASHRAE 189.1-2011 Table C-4</t>
  </si>
  <si>
    <t>Updated PTAC and PTHP requirements.</t>
  </si>
  <si>
    <t>See Tables 6.8.1-9 and 6.8.1-10 of ASHRAE 90.1‐2013</t>
  </si>
  <si>
    <t>ABV</t>
  </si>
  <si>
    <t>VRF Calc</t>
  </si>
  <si>
    <t>BLW</t>
  </si>
  <si>
    <t>ASHRAE 90.1- Table 6.8.1D for PTHP 15,000 Btu/h</t>
  </si>
  <si>
    <t>Removed ability to include PTHP.</t>
  </si>
  <si>
    <t xml:space="preserve">ENERGY STAR KEY PRODUCT CRITERIA
https://www.energystar.gov/index.cfm?c=windows_doors.pr_anat_window
</t>
  </si>
  <si>
    <t>Updated nonmetal window savings.</t>
  </si>
  <si>
    <t>Room AC (with louvered sides)</t>
  </si>
  <si>
    <t>Room AC (without louvered sides)</t>
  </si>
  <si>
    <t>14 – (0.300 X (Cap/1000) EER</t>
  </si>
  <si>
    <t>R-13.0+R-13.0ci</t>
  </si>
  <si>
    <t>R-13.0+R-19.0ci</t>
  </si>
  <si>
    <t>https://www.energystar.gov/index.cfm?c=roomac.pr_crit_room_ac</t>
  </si>
  <si>
    <t>Tons/unit</t>
  </si>
  <si>
    <t>ASHRAE 90.1 - 2010 Table 6.8.1D</t>
  </si>
  <si>
    <t>updated room AC savings</t>
  </si>
  <si>
    <t>Split room AC category between ones with louvered sides, and ones without louvered sides.</t>
  </si>
  <si>
    <t>Updated code references, and associated requirements, to reflect updated state energy code.</t>
  </si>
  <si>
    <t>V6.1</t>
  </si>
  <si>
    <t>V6.2</t>
  </si>
  <si>
    <t>V6.3</t>
  </si>
  <si>
    <t>Market Rate</t>
  </si>
  <si>
    <t>Version 6 - ASHRAE 2007 Version, released November 2014</t>
  </si>
  <si>
    <t>Added program version field, to determine incentive schedule.</t>
  </si>
  <si>
    <t>Program Version:</t>
  </si>
  <si>
    <t>Baseline Cost</t>
  </si>
  <si>
    <t>Proposed Cost</t>
  </si>
  <si>
    <t>Added baseline and proposed cost columns.</t>
  </si>
  <si>
    <t>Updated several measure costs, based on additional projects in our database.</t>
  </si>
  <si>
    <t>Version 6 - ASHRAE 2010 Version, released May 2015</t>
  </si>
  <si>
    <t>Version 6 - ASHRAE 2010 Baseline - May 2015</t>
  </si>
  <si>
    <t>Piping carrying liquid with temperatures greater than 105°F must have a minimum of 1” of insulation. Pipes over 1.5” in diameter must have a minimum of 1.5” of insulation. Extent and location to be determined by ASHRAE 90.1-2010 Section 7.4.3 or local code.</t>
  </si>
  <si>
    <t>Assembly U-value determinations must follow ASHRAE 90.1-2010, Appendix A.
See Tables 2 and 3 for climate specific envelope requirements for the following components: roof insulation; above grade and below grade wall insulation; floor and slab insulation; exterior doors; and vertical glazing.</t>
  </si>
  <si>
    <t>The envelope components must comply with ASHRAE 90.1-2010 Sections 5.4.
All roof, wall, floor and slab insulation shall achieve RESNET-defined Grade I installation or, alternatively, Grade II for surfaces that contain a layer of continuous, air impermeable insulation (≥R-3 in CZ1-4 and ≥R-5 in CZ 5-8).</t>
  </si>
  <si>
    <t>Radiant heating, either wall or ceiling-mounted or within the garage floor (or sidewalks) may be used to prevent ice formation on the ground as a safety feature only and temperature-based controls  must comply with ASHRAE 90.1-2010 Section 6.4.3.8.</t>
  </si>
  <si>
    <t>The heating and cooling systems must comply with ASHRAE 90.1-2010 Sections 6.4 and 6.5.</t>
  </si>
  <si>
    <t>Piping carrying fluid with temperatures less than 60°F must have a minimum of 0.5” of insulation. Pipes 1.5” in diameter and greater must have a minimum of 1.0” of insulation.  Construction documents must account for piping total thickness including required insulation when passing through planks or any other penetrations. For PTACs or any other cooling systems that require branch pipe insulation, the insulation thickness must be considered when designing room dimensions and access chases. Construction documents shall specify that the piping must be inspected before access is covered up. Extent and location to be determined by ASHRAE 90.1-2010 Section 6.4.4.1.3 or local code.</t>
  </si>
  <si>
    <t>Domestic water heating systems must comply with ASHRAE 90.1-2010 Sections 7.4 and 7.5.</t>
  </si>
  <si>
    <t>Piping carrying fluid or steam with temperatures greater than 105°F must have a minimum of 1” of insulation. Pipes 1.5” in diameter and greater must have a minimum of 1.5” of insulation.  Construction documents must account for piping total thickness including required insulation when passing through planks or any other penetrations. For PTACs or any other heating systems that require branch pipe insulation, the insulation thickness must be considered when designing room dimensions and access chases. Construction documents shall specify that the piping must be inspected before access is covered up. Extent and location to be determined by ASHRAE 90.1-2010 Section 6.4.4.1.3 or local code.</t>
  </si>
  <si>
    <r>
      <t xml:space="preserve">DHW - Manufacturer's Product Data
</t>
    </r>
    <r>
      <rPr>
        <sz val="10"/>
        <rFont val="Arial"/>
        <family val="2"/>
      </rPr>
      <t xml:space="preserve">• Review manufacturer’s cut sheets or invoice detailing system manufacturer, model, size, and location, and keep with the building file. DHW equipment efficiency must be verified through AHRI ratings. If not available, OEM-provided performance data must be used, in compliance with ASHRAE 90.1-2010, Section 6.4.1.4. If following the </t>
    </r>
    <r>
      <rPr>
        <i/>
        <sz val="10"/>
        <rFont val="Arial"/>
        <family val="2"/>
      </rPr>
      <t>Prescriptive Path</t>
    </r>
    <r>
      <rPr>
        <sz val="10"/>
        <rFont val="Arial"/>
        <family val="2"/>
      </rPr>
      <t xml:space="preserve"> and ENERGY STAR certification is required, it must be verified through the ENERGY STAR website.</t>
    </r>
  </si>
  <si>
    <r>
      <t xml:space="preserve">DHW - Type &amp; Efficiency
</t>
    </r>
    <r>
      <rPr>
        <sz val="10"/>
        <rFont val="Arial"/>
        <family val="2"/>
      </rPr>
      <t>• Provide Proposed DHW system type, efficiency, capacity, fuel; include number, efficiency and HP of pumps, and whether VFD is specified in the MOTOR section.
• DHW equipment efficiency must be verified through AHRI ratings. If not available, OEM-provided performance data must be used, in compliance with ASHRAE 90.1-2010, Section 6.4.1.4.</t>
    </r>
  </si>
  <si>
    <r>
      <t xml:space="preserve">DHW - Insulation for Piping
</t>
    </r>
    <r>
      <rPr>
        <sz val="10"/>
        <rFont val="Arial"/>
        <family val="2"/>
      </rPr>
      <t xml:space="preserve">•Piping carrying liquid with temperatures greater than 105°F must have a minimum of 1” of insulation. Pipes 1.5” in diameter and greater must have a minimum of 1.5” of insulation.  Construction documents must account for piping total thickness including required insulation when passing 
4. through planks or any other penetrations. Construction documents shall specify that the piping must be inspected before access is covered up. Extent and location to be determined by ASHRAE 90.1-2010 Section 7.4.3 or local code. </t>
    </r>
  </si>
  <si>
    <r>
      <t xml:space="preserve">Space Heating - Type &amp; Efficiency
</t>
    </r>
    <r>
      <rPr>
        <sz val="10"/>
        <rFont val="Arial"/>
        <family val="2"/>
      </rPr>
      <t>• Provide Proposed space heating system type, efficiency, capacity, fuel; include number, efficiency and HP of pumps, and whether VFD is specified in the MOTOR section.
• Heating equipment efficiency must be verified through AHRI ratings. If not available, OEM-provided performance data must be used, in compliance with ASHRAE 90.1-2010, Section 6.4.1.4.
• Based on the climate zone, the specified heating equipment must meet the Prescriptive requirements for efficiency in Table 1, a list of equipment and minimum efficiencies per ASHRAE 90.1 – 2010 Climate Zones. Part load minimum efficiencies listed are only applicable to equipment with capacity modulation. See ASHRAE 189.1-2009, Appendix C, for equipment not listed in Table 1.
• The appropriate climate zone for each building site shall be determined by ASHRAE 90.1–2010, Table B-1.</t>
    </r>
  </si>
  <si>
    <r>
      <t xml:space="preserve">Space Heating / DHW - Insulation for Piping
</t>
    </r>
    <r>
      <rPr>
        <sz val="10"/>
        <rFont val="Arial"/>
        <family val="2"/>
      </rPr>
      <t xml:space="preserve">• Piping carrying fluid or steam with temperatures greater than 105°F must have a minimum of 1” of insulation. Pipes 1.5” in diameter and greater must have a minimum of 1.5” of insulation.  Construction documents must account for piping total thickness including required insulation when passing through planks or any other penetrations. For PTACs or any other heating systems that requires branch pipe insulation, the insulation thickness must be considered when designing room dimensions and access chases. Construction documents shall specify that the piping must be inspected before access is covered up. Extent and location to be determined by ASHRAE 90.1-2010 Section 6.4.4.1.3 or local code. 
</t>
    </r>
  </si>
  <si>
    <r>
      <t xml:space="preserve">Space Heating - Manufacturer's Product Data
</t>
    </r>
    <r>
      <rPr>
        <sz val="10"/>
        <rFont val="Arial"/>
        <family val="2"/>
      </rPr>
      <t xml:space="preserve">• Review manufacturer’s cut sheets or invoice detailing system manufacturer, model, size, and location,  (including all space heating systems, e.g. vestibule) and keep with the building file. All heating equipment efficiency must be verified through AHRI ratings. If not available, OEM-provided performance data must be used, in compliance with ASHRAE 90.1-2010, Section 6.4.1.4. If following the </t>
    </r>
    <r>
      <rPr>
        <i/>
        <sz val="10"/>
        <rFont val="Arial"/>
        <family val="2"/>
      </rPr>
      <t>Prescriptive Path</t>
    </r>
    <r>
      <rPr>
        <sz val="10"/>
        <rFont val="Arial"/>
        <family val="2"/>
      </rPr>
      <t xml:space="preserve"> and ENERGY STAR certification is required, it must be verified through the ENERGY STAR website.</t>
    </r>
  </si>
  <si>
    <r>
      <t xml:space="preserve">Cooling Distribution - Pipe Insulation
</t>
    </r>
    <r>
      <rPr>
        <sz val="10"/>
        <rFont val="Arial"/>
        <family val="2"/>
      </rPr>
      <t>• Piping carrying fluid with temperatures less than 60°F, must have a minimum of 0.5” of insulation. Pipes 1.5” in diameter and greater must have a minimum of 1.0” of insulation.  Construction documents shall specify that the piping must be inspected before access is covered up. Extent and location to be determined by ASHRAE 90.1-2010 Section 6.4.4.1.3 or local code.</t>
    </r>
  </si>
  <si>
    <r>
      <t xml:space="preserve">Cooling - Manufacturer's Product Data
</t>
    </r>
    <r>
      <rPr>
        <sz val="10"/>
        <rFont val="Arial"/>
        <family val="2"/>
      </rPr>
      <t xml:space="preserve">• Review manufacturer’s cut sheets or invoice detailing system manufacturer model, size, and location (including all space cooling systems, e.g. lobby). Cooling equipment efficiency must be verified through AHRI ratings. If not available, OEM-provided performance data must be used, in compliance with ASHRAE 90.1-2010, Section 6.4.1.4. If following the </t>
    </r>
    <r>
      <rPr>
        <i/>
        <sz val="10"/>
        <rFont val="Arial"/>
        <family val="2"/>
      </rPr>
      <t>Prescriptive Path</t>
    </r>
    <r>
      <rPr>
        <sz val="10"/>
        <rFont val="Arial"/>
        <family val="2"/>
      </rPr>
      <t xml:space="preserve"> and ENERGY STAR certification is required, it must be verified through the ENERGY STAR website.</t>
    </r>
  </si>
  <si>
    <r>
      <t xml:space="preserve">Space Cooling - Type and Efficiency
</t>
    </r>
    <r>
      <rPr>
        <sz val="10"/>
        <rFont val="Arial"/>
        <family val="2"/>
      </rPr>
      <t xml:space="preserve">• Specifications for the cooling system type, location and efficiency shall meet or exceed the requirements listed in the </t>
    </r>
    <r>
      <rPr>
        <i/>
        <sz val="10"/>
        <rFont val="Arial"/>
        <family val="2"/>
      </rPr>
      <t>Modified Prescriptive Path</t>
    </r>
    <r>
      <rPr>
        <sz val="10"/>
        <rFont val="Arial"/>
        <family val="2"/>
      </rPr>
      <t xml:space="preserve">.
• Cooling equipment efficiency must be verified through AHRI ratings. If not available, OEM-provided performance data must be used, in compliance with ASHRAE 90.1-2010, Section 6.4.1.4. If following the </t>
    </r>
    <r>
      <rPr>
        <i/>
        <sz val="10"/>
        <rFont val="Arial"/>
        <family val="2"/>
      </rPr>
      <t>Prescriptive Path</t>
    </r>
    <r>
      <rPr>
        <sz val="10"/>
        <rFont val="Arial"/>
        <family val="2"/>
      </rPr>
      <t xml:space="preserve"> and ENERGY STAR certification is required, it must be verified through the ENERGY STAR website..
• The appropriate climate zone for each building site shall be determined by ASHRAE 90.1–2010, Table B-1. Exception: The appropriate climate zone for each building site in California will be determined by Title 24.
• See Table 1 for list of equipment and minimum efficiencies per ASHRAE 90.1 – 2010 Climate Zones. Part load minimum efficiencies listed are only applicable to equipment with capacity modulation. See ASHRAE 189.1-2009, Appendix C, for equipment not listed in Table 1.</t>
    </r>
  </si>
  <si>
    <r>
      <rPr>
        <b/>
        <sz val="10"/>
        <rFont val="Arial"/>
        <family val="2"/>
      </rPr>
      <t>Exterior Enclosure Air barriers:</t>
    </r>
    <r>
      <rPr>
        <sz val="10"/>
        <rFont val="Arial"/>
        <family val="2"/>
      </rPr>
      <t xml:space="preserve">
• Bid and contract documents must demonstrate a continuous, unbroken air barrier separating the conditioned space of the building from the exterior, unconditioned spaces within the building, mechanical rooms vented with conditioned air, mechanical chases opening to unconditioned spaces, elevator shafts and garages or other vehicle/equipment storage facilities.   All air barrier materials must be compatible with other air barrier elements to which they connect.
• Bid and contract documents must include detailed information that shows the air barrier continuity through the various conditions of the exterior enclosure (e.g., transitions between dissimilar materials and penetrations) and that serves as an index to relevant details.
• Include list of elements to be sealed in construction documents.  List must include all elements identified in ASHRAE 90.1-2010, Section 5.4.3.1, or applicable state code, all elements listed in the Prerequisites Checklist, and any additional site-specific elements identified during plan review that shall be addressed to ensure air leakage in the exterior building envelope is effectively controlled.  Bid and contract documents must include locations to be sealed as well as acceptable methods and materials.
• When feasible all air barriers membranes and accessories (transition membranes, flashing membranes, mastics, sealants, primers and tapes) will be from the same manufacturer. When products from a variety of manufacturers are used, a letter must be obtained from at least one manufacturer of the products in contact stating the materials proposed for use are permanently chemically compatible and adhesively compatible with adjacent materials proposed for use. Gaps and joints must be primed and sealed with transition membrane, tape or sealant that is rated to withstand the thermal and structural deflection calculated for the joint in question. For joints that are anticipated to have more than ½” deflection, special details are needed to allow flexibility.
• Specifications could include, at the discretion of the developer, the inspection of a sample mock-up installation by the responsible party prior to installation of windows building-wide.</t>
    </r>
  </si>
  <si>
    <r>
      <t>Smoke Vents</t>
    </r>
    <r>
      <rPr>
        <sz val="10"/>
        <rFont val="Arial"/>
        <family val="2"/>
      </rPr>
      <t xml:space="preserve">
• If allowed by local code, stairwell bulkhead and elevator hoist way smoke vents must be normally closed and interlocked with motorized damper and smoke detector/fire alarm system per ASHRAE 90.1-2010, Section 6.4.3.4.</t>
    </r>
  </si>
  <si>
    <r>
      <rPr>
        <b/>
        <sz val="10"/>
        <rFont val="Arial"/>
        <family val="2"/>
      </rPr>
      <t xml:space="preserve">Lighting Power Density
</t>
    </r>
    <r>
      <rPr>
        <sz val="10"/>
        <rFont val="Arial"/>
        <family val="2"/>
      </rPr>
      <t>• Include a schedule with manufacturer, model, total wattage, bulb type, control, location, and quantity of each type of lighting fixture.
• Include location of fixtures on plans.
• Type and wattage of fixtures and lamps on lighting schedule, specifications, and submittals shall meet or exceed the requirements of the</t>
    </r>
    <r>
      <rPr>
        <i/>
        <sz val="10"/>
        <rFont val="Arial"/>
        <family val="2"/>
      </rPr>
      <t xml:space="preserve"> Modified Prescriptive Path</t>
    </r>
    <r>
      <rPr>
        <sz val="10"/>
        <rFont val="Arial"/>
        <family val="2"/>
      </rPr>
      <t xml:space="preserve">.
• Assemble documentation from plans, specs and submittals.
• Verify all of the requirements listed in the </t>
    </r>
    <r>
      <rPr>
        <i/>
        <sz val="10"/>
        <rFont val="Arial"/>
        <family val="2"/>
      </rPr>
      <t>Modified Prescriptive Path</t>
    </r>
    <r>
      <rPr>
        <sz val="10"/>
        <rFont val="Arial"/>
        <family val="2"/>
      </rPr>
      <t xml:space="preserve"> have been met.
• Determine power density of each space by calculating the luminaire wattage as indicated in ASHRAE 90.1-2010, Section 9.1.4. ASHRAE 90.1-2010, Section 9.1.4a, requires that fixture wattage be calculated using the maximum labeled wattage of the fixture. EPA will allow light fixtures to be calculated based on the installed wattage of the lamps. Ex: A fixture with a 13 W screw-in CFL can be calculated as 13 W, plus any associated ballast power. See </t>
    </r>
    <r>
      <rPr>
        <i/>
        <sz val="10"/>
        <rFont val="Arial"/>
        <family val="2"/>
      </rPr>
      <t>Appendix B</t>
    </r>
    <r>
      <rPr>
        <sz val="10"/>
        <rFont val="Arial"/>
        <family val="2"/>
      </rPr>
      <t xml:space="preserve"> of </t>
    </r>
    <r>
      <rPr>
        <i/>
        <sz val="10"/>
        <rFont val="Arial"/>
        <family val="2"/>
      </rPr>
      <t>Modified Prescriptive Path</t>
    </r>
    <r>
      <rPr>
        <sz val="10"/>
        <rFont val="Arial"/>
        <family val="2"/>
      </rPr>
      <t xml:space="preserve"> to determine input power.  
• For spaces where installed light fixtures do not meet illumination requirements and occupants are expected to provide supplemental lighting (ie. bedrooms, living rooms), assume the installed light fixture can illuminate at most 3 ft2 per Watt installed.
• When calculating overall lighting power density, use 0.7 W/ft2 for spaces where lighting is not installed.
• Verify that total installed lighting power for the combined non-apartment spaces does not exceed ASHRAE 90.1-2010 allowances for those combined spaces. Also, verify that the total specified exterior lighting power does not exceed ASHRAE 90.1-2010 allowances.Lighting controls may not be used to reduce the specified lighting power for compliance with this requirement.</t>
    </r>
  </si>
  <si>
    <t xml:space="preserve">Construction documents must include performance criteria for buildings with garages including: 
• Include threshold criteria for CO/NO2 concentration which activates sensors.
• Include a schedule of CO/NO2 controls with make, model, location and count.
• Include locations, powering of sensors, and connecting wiring on plans.
• Include fan size (CFM capacity) in ventilation schedule and air intake points on plans to properly ventilate throughout garage area.
</t>
  </si>
  <si>
    <r>
      <rPr>
        <b/>
        <sz val="10"/>
        <rFont val="Arial"/>
        <family val="2"/>
      </rPr>
      <t>Test Sensor Operation</t>
    </r>
    <r>
      <rPr>
        <sz val="10"/>
        <rFont val="Arial"/>
        <family val="2"/>
      </rPr>
      <t xml:space="preserve">
• Using quantified CO tracer gas release (obtain specifications from chemical test suppliers), confirm performance of sensor and activation of fans.
• A Statement of Substantial Completion or approved proxy may be submitted to establish completion of the work associated with this protocol. A Statement of Substantial Completion is to be completed by the installation contractor or other qualified representative on company letter head and attached to all relevant</t>
    </r>
    <r>
      <rPr>
        <i/>
        <sz val="10"/>
        <rFont val="Arial"/>
        <family val="2"/>
      </rPr>
      <t xml:space="preserve"> T&amp;V Worksheets</t>
    </r>
    <r>
      <rPr>
        <sz val="10"/>
        <rFont val="Arial"/>
        <family val="2"/>
      </rPr>
      <t xml:space="preserve"> complete with all required information, photographs, cut sheets, etc.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</si>
</sst>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00"/>
    <numFmt numFmtId="167" formatCode="&quot;$&quot;#,##0"/>
    <numFmt numFmtId="168" formatCode="0.0%"/>
    <numFmt numFmtId="169" formatCode="_(* #,##0.000_);_(* \(#,##0.000\);_(* &quot;-&quot;??_);_(@_)"/>
    <numFmt numFmtId="170" formatCode="0.0000%"/>
    <numFmt numFmtId="171" formatCode="&quot;$&quot;#,##0.00_);[Red]\(&quot;$&quot;#,##0.00\);&quot;&quot;"/>
    <numFmt numFmtId="172" formatCode="#,##0_);[Red]\(#,##0\);&quot;&quot;"/>
    <numFmt numFmtId="173" formatCode="_(* #,##0_);_(* \(#,##0\);_(* &quot;-&quot;??_);_(@_)"/>
    <numFmt numFmtId="174" formatCode="_(* #,##0.0_);_(* \(#,##0.0\);_(* &quot;-&quot;??_);_(@_)"/>
    <numFmt numFmtId="175" formatCode="_(&quot;$&quot;* #,##0_);_(&quot;$&quot;* \(#,##0\);_(&quot;$&quot;* &quot;-&quot;??_);_(@_)"/>
    <numFmt numFmtId="176" formatCode="_(&quot;$&quot;* #,##0.0_);_(&quot;$&quot;* \(#,##0.0\);_(&quot;$&quot;* &quot;-&quot;?_);_(@_)"/>
    <numFmt numFmtId="177" formatCode="#,##0.0_);\(#,##0.0\)"/>
  </numFmts>
  <fonts count="151">
    <font>
      <sz val="11"/>
      <color theme="1"/>
      <name val="Calibri"/>
      <family val="2"/>
      <scheme val="minor"/>
    </font>
    <font>
      <sz val="10"/>
      <color theme="1"/>
      <name val="Calibri"/>
      <family val="2"/>
      <scheme val="minor"/>
    </font>
    <font>
      <sz val="10"/>
      <name val="Calibri"/>
      <family val="2"/>
      <scheme val="minor"/>
    </font>
    <font>
      <b/>
      <sz val="10"/>
      <color indexed="8"/>
      <name val="Calibri"/>
      <family val="2"/>
      <scheme val="minor"/>
    </font>
    <font>
      <sz val="10"/>
      <color indexed="8"/>
      <name val="Calibri"/>
      <family val="2"/>
      <scheme val="minor"/>
    </font>
    <font>
      <b/>
      <sz val="10"/>
      <name val="Calibri"/>
      <family val="2"/>
      <scheme val="minor"/>
    </font>
    <font>
      <b/>
      <sz val="10"/>
      <color theme="1"/>
      <name val="Calibri"/>
      <family val="2"/>
      <scheme val="minor"/>
    </font>
    <font>
      <sz val="10"/>
      <name val="Wingdings"/>
      <charset val="2"/>
    </font>
    <font>
      <b/>
      <sz val="14"/>
      <color theme="1"/>
      <name val="Calibri"/>
      <family val="2"/>
      <scheme val="minor"/>
    </font>
    <font>
      <b/>
      <u/>
      <sz val="10"/>
      <color indexed="8"/>
      <name val="Calibri"/>
      <family val="2"/>
      <scheme val="minor"/>
    </font>
    <font>
      <b/>
      <sz val="11"/>
      <color theme="1"/>
      <name val="Calibri"/>
      <family val="2"/>
      <scheme val="minor"/>
    </font>
    <font>
      <sz val="10"/>
      <color indexed="8"/>
      <name val="Arial"/>
      <family val="2"/>
    </font>
    <font>
      <sz val="11"/>
      <color theme="1"/>
      <name val="Calibri"/>
      <family val="2"/>
      <scheme val="minor"/>
    </font>
    <font>
      <sz val="10"/>
      <name val="Arial"/>
      <family val="2"/>
    </font>
    <font>
      <sz val="8"/>
      <color theme="1"/>
      <name val="Calibri"/>
      <family val="2"/>
      <scheme val="minor"/>
    </font>
    <font>
      <sz val="10"/>
      <color indexed="10"/>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b/>
      <sz val="10"/>
      <color indexed="8"/>
      <name val="Arial"/>
      <family val="2"/>
    </font>
    <font>
      <b/>
      <sz val="14"/>
      <name val="Calibri"/>
      <family val="2"/>
      <scheme val="minor"/>
    </font>
    <font>
      <sz val="9"/>
      <name val="Calibri"/>
      <family val="2"/>
      <scheme val="minor"/>
    </font>
    <font>
      <b/>
      <sz val="9"/>
      <name val="Calibri"/>
      <family val="2"/>
      <scheme val="minor"/>
    </font>
    <font>
      <b/>
      <sz val="11"/>
      <name val="Calibri"/>
      <family val="2"/>
      <scheme val="minor"/>
    </font>
    <font>
      <sz val="11"/>
      <color indexed="8"/>
      <name val="Calibri"/>
      <family val="2"/>
    </font>
    <font>
      <sz val="9"/>
      <name val="Geneva"/>
      <family val="2"/>
    </font>
    <font>
      <sz val="9"/>
      <color indexed="12"/>
      <name val="Geneva"/>
      <family val="2"/>
    </font>
    <font>
      <b/>
      <sz val="9"/>
      <color indexed="12"/>
      <name val="Geneva"/>
      <family val="2"/>
    </font>
    <font>
      <u/>
      <sz val="11"/>
      <color theme="10"/>
      <name val="Calibri"/>
      <family val="2"/>
    </font>
    <font>
      <sz val="9"/>
      <color indexed="10"/>
      <name val="Geneva"/>
      <family val="2"/>
    </font>
    <font>
      <sz val="10"/>
      <name val="Geneva"/>
      <family val="2"/>
    </font>
    <font>
      <b/>
      <sz val="11"/>
      <color indexed="8"/>
      <name val="Calibri"/>
      <family val="2"/>
      <scheme val="minor"/>
    </font>
    <font>
      <sz val="11"/>
      <color indexed="8"/>
      <name val="Calibri"/>
      <family val="2"/>
      <scheme val="minor"/>
    </font>
    <font>
      <sz val="11"/>
      <name val="Calibri"/>
      <family val="2"/>
      <scheme val="minor"/>
    </font>
    <font>
      <sz val="12"/>
      <color theme="1"/>
      <name val="Calibri"/>
      <family val="2"/>
      <scheme val="minor"/>
    </font>
    <font>
      <b/>
      <sz val="9"/>
      <color theme="0"/>
      <name val="Calibri"/>
      <family val="2"/>
      <scheme val="minor"/>
    </font>
    <font>
      <i/>
      <sz val="9"/>
      <name val="Calibri"/>
      <family val="2"/>
      <scheme val="minor"/>
    </font>
    <font>
      <u/>
      <sz val="10"/>
      <color indexed="12"/>
      <name val="Arial"/>
      <family val="2"/>
    </font>
    <font>
      <sz val="10"/>
      <name val="Arial"/>
      <family val="2"/>
    </font>
    <font>
      <sz val="10"/>
      <color theme="0"/>
      <name val="Arial"/>
      <family val="2"/>
    </font>
    <font>
      <sz val="10"/>
      <color theme="0"/>
      <name val="Wingdings"/>
      <charset val="2"/>
    </font>
    <font>
      <u/>
      <sz val="11"/>
      <color theme="1"/>
      <name val="Calibri"/>
      <family val="2"/>
      <scheme val="minor"/>
    </font>
    <font>
      <sz val="9"/>
      <color indexed="81"/>
      <name val="Tahoma"/>
      <family val="2"/>
    </font>
    <font>
      <b/>
      <sz val="9"/>
      <color indexed="81"/>
      <name val="Tahoma"/>
      <family val="2"/>
    </font>
    <font>
      <sz val="11"/>
      <color theme="0"/>
      <name val="Calibri"/>
      <family val="2"/>
      <scheme val="minor"/>
    </font>
    <font>
      <sz val="8"/>
      <color indexed="81"/>
      <name val="Tahoma"/>
      <family val="2"/>
    </font>
    <font>
      <b/>
      <sz val="8"/>
      <color indexed="81"/>
      <name val="Tahoma"/>
      <family val="2"/>
    </font>
    <font>
      <sz val="10"/>
      <color theme="0"/>
      <name val="Calibri"/>
      <family val="2"/>
      <scheme val="minor"/>
    </font>
    <font>
      <u/>
      <sz val="10"/>
      <color theme="1"/>
      <name val="Calibri"/>
      <family val="2"/>
      <scheme val="minor"/>
    </font>
    <font>
      <b/>
      <vertAlign val="superscript"/>
      <sz val="11"/>
      <color theme="1"/>
      <name val="Calibri"/>
      <family val="2"/>
      <scheme val="minor"/>
    </font>
    <font>
      <b/>
      <sz val="16"/>
      <color theme="1"/>
      <name val="Calibri"/>
      <family val="2"/>
      <scheme val="minor"/>
    </font>
    <font>
      <b/>
      <sz val="9"/>
      <color indexed="8"/>
      <name val="Calibri"/>
      <family val="2"/>
    </font>
    <font>
      <b/>
      <sz val="10"/>
      <color indexed="8"/>
      <name val="Calibri"/>
      <family val="2"/>
    </font>
    <font>
      <sz val="10"/>
      <color indexed="8"/>
      <name val="Calibri"/>
      <family val="2"/>
    </font>
    <font>
      <sz val="10"/>
      <name val="Calibri"/>
      <family val="2"/>
    </font>
    <font>
      <sz val="9"/>
      <name val="Calibri"/>
      <family val="2"/>
    </font>
    <font>
      <b/>
      <sz val="14"/>
      <name val="Calibri"/>
      <family val="2"/>
    </font>
    <font>
      <b/>
      <sz val="9"/>
      <color theme="9" tint="-0.249977111117893"/>
      <name val="Calibri"/>
      <family val="2"/>
    </font>
    <font>
      <b/>
      <sz val="9"/>
      <name val="Calibri"/>
      <family val="2"/>
    </font>
    <font>
      <b/>
      <sz val="11"/>
      <name val="Calibri"/>
      <family val="2"/>
    </font>
    <font>
      <sz val="1"/>
      <color theme="0"/>
      <name val="Calibri"/>
      <family val="2"/>
      <scheme val="minor"/>
    </font>
    <font>
      <b/>
      <sz val="11"/>
      <color indexed="8"/>
      <name val="Calibri"/>
      <family val="2"/>
    </font>
    <font>
      <b/>
      <i/>
      <sz val="11"/>
      <color theme="1"/>
      <name val="Calibri"/>
      <family val="2"/>
      <scheme val="minor"/>
    </font>
    <font>
      <b/>
      <sz val="16"/>
      <color indexed="8"/>
      <name val="Arial"/>
      <family val="2"/>
    </font>
    <font>
      <b/>
      <i/>
      <sz val="11"/>
      <color indexed="8"/>
      <name val="Calibri"/>
      <family val="2"/>
    </font>
    <font>
      <b/>
      <sz val="10"/>
      <name val="Arial"/>
      <family val="2"/>
    </font>
    <font>
      <i/>
      <sz val="10"/>
      <name val="Arial"/>
      <family val="2"/>
    </font>
    <font>
      <u/>
      <sz val="10"/>
      <name val="Arial"/>
      <family val="2"/>
    </font>
    <font>
      <b/>
      <sz val="14"/>
      <name val="Arial"/>
      <family val="2"/>
    </font>
    <font>
      <b/>
      <i/>
      <sz val="10"/>
      <name val="Arial"/>
      <family val="2"/>
    </font>
    <font>
      <b/>
      <sz val="18"/>
      <color indexed="8"/>
      <name val="Arial"/>
      <family val="2"/>
    </font>
    <font>
      <sz val="11"/>
      <color indexed="8"/>
      <name val="Arial"/>
      <family val="2"/>
    </font>
    <font>
      <i/>
      <sz val="10"/>
      <color indexed="8"/>
      <name val="Arial"/>
      <family val="2"/>
    </font>
    <font>
      <sz val="11"/>
      <name val="Arial"/>
      <family val="2"/>
    </font>
    <font>
      <sz val="11"/>
      <name val="Calibri"/>
      <family val="2"/>
    </font>
    <font>
      <b/>
      <sz val="11"/>
      <name val="Arial"/>
      <family val="2"/>
    </font>
    <font>
      <b/>
      <sz val="10"/>
      <color indexed="10"/>
      <name val="Arial"/>
      <family val="2"/>
    </font>
    <font>
      <sz val="14"/>
      <name val="Arial"/>
      <family val="2"/>
    </font>
    <font>
      <b/>
      <sz val="9"/>
      <name val="Arial"/>
      <family val="2"/>
    </font>
    <font>
      <b/>
      <sz val="12"/>
      <name val="Arial"/>
      <family val="2"/>
    </font>
    <font>
      <sz val="9"/>
      <name val="Arial"/>
      <family val="2"/>
    </font>
    <font>
      <sz val="9"/>
      <color indexed="8"/>
      <name val="Arial"/>
      <family val="2"/>
    </font>
    <font>
      <u/>
      <sz val="9"/>
      <color indexed="8"/>
      <name val="Arial"/>
      <family val="2"/>
    </font>
    <font>
      <i/>
      <sz val="9"/>
      <color indexed="8"/>
      <name val="Arial"/>
      <family val="2"/>
    </font>
    <font>
      <vertAlign val="superscript"/>
      <sz val="9"/>
      <color indexed="8"/>
      <name val="Arial"/>
      <family val="2"/>
    </font>
    <font>
      <b/>
      <sz val="8"/>
      <color indexed="8"/>
      <name val="Arial"/>
      <family val="2"/>
    </font>
    <font>
      <b/>
      <sz val="8"/>
      <name val="Arial"/>
      <family val="2"/>
    </font>
    <font>
      <sz val="8"/>
      <name val="Arial"/>
      <family val="2"/>
    </font>
    <font>
      <sz val="8"/>
      <color indexed="8"/>
      <name val="Arial"/>
      <family val="2"/>
    </font>
    <font>
      <b/>
      <u/>
      <sz val="8"/>
      <color indexed="8"/>
      <name val="Arial"/>
      <family val="2"/>
    </font>
    <font>
      <b/>
      <vertAlign val="superscript"/>
      <sz val="8"/>
      <name val="Arial"/>
      <family val="2"/>
    </font>
    <font>
      <b/>
      <sz val="8"/>
      <color indexed="9"/>
      <name val="Arial"/>
      <family val="2"/>
    </font>
    <font>
      <sz val="12"/>
      <color indexed="8"/>
      <name val="Arial"/>
      <family val="2"/>
    </font>
    <font>
      <b/>
      <sz val="24"/>
      <color indexed="10"/>
      <name val="Calibri"/>
      <family val="2"/>
    </font>
    <font>
      <b/>
      <i/>
      <sz val="14"/>
      <name val="Arial"/>
      <family val="2"/>
    </font>
    <font>
      <b/>
      <vertAlign val="superscript"/>
      <sz val="14"/>
      <name val="Arial"/>
      <family val="2"/>
    </font>
    <font>
      <sz val="14"/>
      <color indexed="8"/>
      <name val="Calibri"/>
      <family val="2"/>
    </font>
    <font>
      <b/>
      <sz val="14"/>
      <color rgb="FFFF0000"/>
      <name val="Arial"/>
      <family val="2"/>
    </font>
    <font>
      <sz val="12"/>
      <name val="Arial"/>
      <family val="2"/>
    </font>
    <font>
      <sz val="20"/>
      <name val="Wingdings"/>
      <charset val="2"/>
    </font>
    <font>
      <sz val="10"/>
      <color indexed="12"/>
      <name val="Arial"/>
      <family val="2"/>
    </font>
    <font>
      <b/>
      <sz val="10"/>
      <color rgb="FFFF0000"/>
      <name val="Arial"/>
      <family val="2"/>
    </font>
    <font>
      <vertAlign val="superscript"/>
      <sz val="10"/>
      <name val="Arial"/>
      <family val="2"/>
    </font>
    <font>
      <sz val="10"/>
      <color rgb="FFFF0000"/>
      <name val="Arial"/>
      <family val="2"/>
    </font>
    <font>
      <b/>
      <u/>
      <sz val="10"/>
      <name val="Arial"/>
      <family val="2"/>
    </font>
    <font>
      <b/>
      <sz val="11"/>
      <color indexed="8"/>
      <name val="Arial"/>
      <family val="2"/>
    </font>
    <font>
      <sz val="12"/>
      <name val="Times New Roman"/>
      <family val="1"/>
    </font>
    <font>
      <sz val="10"/>
      <name val="Times New Roman"/>
      <family val="1"/>
    </font>
    <font>
      <vertAlign val="subscript"/>
      <sz val="10"/>
      <name val="Arial"/>
      <family val="2"/>
    </font>
    <font>
      <sz val="10"/>
      <name val="MS Sans Serif"/>
      <family val="2"/>
    </font>
    <font>
      <sz val="10"/>
      <color theme="1"/>
      <name val="Arial"/>
      <family val="2"/>
    </font>
    <font>
      <b/>
      <u/>
      <sz val="9"/>
      <name val="Calibri"/>
      <family val="2"/>
    </font>
    <font>
      <i/>
      <sz val="11"/>
      <name val="Calibri"/>
      <family val="2"/>
    </font>
    <font>
      <i/>
      <sz val="9"/>
      <name val="Calibri"/>
      <family val="2"/>
    </font>
    <font>
      <b/>
      <sz val="11"/>
      <color rgb="FFFF0000"/>
      <name val="Calibri"/>
      <family val="2"/>
      <scheme val="minor"/>
    </font>
    <font>
      <b/>
      <sz val="18"/>
      <name val="Arial"/>
      <family val="2"/>
    </font>
    <font>
      <sz val="12"/>
      <color indexed="81"/>
      <name val="Tahoma"/>
      <family val="2"/>
    </font>
    <font>
      <b/>
      <sz val="10"/>
      <color rgb="FFC00000"/>
      <name val="Calibri"/>
      <family val="2"/>
      <scheme val="minor"/>
    </font>
    <font>
      <b/>
      <u/>
      <sz val="10"/>
      <color rgb="FFC00000"/>
      <name val="Calibri"/>
      <family val="2"/>
      <scheme val="minor"/>
    </font>
    <font>
      <i/>
      <sz val="11"/>
      <color theme="1"/>
      <name val="Calibri"/>
      <family val="2"/>
      <scheme val="minor"/>
    </font>
    <font>
      <sz val="11"/>
      <color rgb="FF000000"/>
      <name val="Calibri"/>
      <family val="2"/>
    </font>
    <font>
      <b/>
      <sz val="9"/>
      <color theme="5" tint="-0.499984740745262"/>
      <name val="Calibri"/>
      <family val="2"/>
      <scheme val="minor"/>
    </font>
    <font>
      <sz val="9"/>
      <color theme="5" tint="-0.499984740745262"/>
      <name val="Calibri"/>
      <family val="2"/>
      <scheme val="minor"/>
    </font>
    <font>
      <b/>
      <sz val="9"/>
      <color theme="0" tint="-0.499984740745262"/>
      <name val="Calibri"/>
      <family val="2"/>
      <scheme val="minor"/>
    </font>
    <font>
      <sz val="9"/>
      <color theme="0" tint="-0.499984740745262"/>
      <name val="Calibri"/>
      <family val="2"/>
      <scheme val="minor"/>
    </font>
    <font>
      <sz val="9"/>
      <color theme="0"/>
      <name val="Calibri"/>
      <family val="2"/>
      <scheme val="minor"/>
    </font>
    <font>
      <b/>
      <i/>
      <u/>
      <sz val="9"/>
      <color rgb="FFFF0000"/>
      <name val="Calibri"/>
      <family val="2"/>
      <scheme val="minor"/>
    </font>
    <font>
      <sz val="9"/>
      <color rgb="FFFF0000"/>
      <name val="Calibri"/>
      <family val="2"/>
      <scheme val="minor"/>
    </font>
    <font>
      <b/>
      <sz val="9"/>
      <color rgb="FF92D050"/>
      <name val="Calibri"/>
      <family val="2"/>
      <scheme val="minor"/>
    </font>
    <font>
      <b/>
      <sz val="9"/>
      <color rgb="FF659A2A"/>
      <name val="Calibri"/>
      <family val="2"/>
      <scheme val="minor"/>
    </font>
    <font>
      <u/>
      <sz val="10"/>
      <color indexed="12"/>
      <name val="MS Sans Serif"/>
      <family val="2"/>
    </font>
    <font>
      <sz val="9"/>
      <name val="Geneva"/>
    </font>
    <font>
      <sz val="9"/>
      <color indexed="12"/>
      <name val="Geneva"/>
    </font>
    <font>
      <b/>
      <sz val="9"/>
      <color indexed="12"/>
      <name val="Geneva"/>
    </font>
    <font>
      <sz val="9"/>
      <color indexed="10"/>
      <name val="Geneva"/>
    </font>
    <font>
      <sz val="10"/>
      <name val="Geneva"/>
    </font>
    <font>
      <sz val="9"/>
      <color theme="0" tint="-0.249977111117893"/>
      <name val="Calibri"/>
      <family val="2"/>
      <scheme val="minor"/>
    </font>
    <font>
      <b/>
      <sz val="9"/>
      <color theme="0" tint="-0.249977111117893"/>
      <name val="Calibri"/>
      <family val="2"/>
      <scheme val="minor"/>
    </font>
    <font>
      <u/>
      <sz val="11"/>
      <color theme="10"/>
      <name val="Calibri"/>
      <family val="2"/>
      <scheme val="minor"/>
    </font>
    <font>
      <sz val="9"/>
      <color rgb="FF000000"/>
      <name val="Calibri"/>
      <family val="2"/>
    </font>
  </fonts>
  <fills count="70">
    <fill>
      <patternFill patternType="none"/>
    </fill>
    <fill>
      <patternFill patternType="gray125"/>
    </fill>
    <fill>
      <patternFill patternType="solid">
        <fgColor theme="6"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indexed="27"/>
        <bgColor indexed="64"/>
      </patternFill>
    </fill>
    <fill>
      <patternFill patternType="solid">
        <fgColor indexed="13"/>
        <bgColor indexed="64"/>
      </patternFill>
    </fill>
    <fill>
      <patternFill patternType="solid">
        <fgColor indexed="29"/>
        <bgColor indexed="64"/>
      </patternFill>
    </fill>
    <fill>
      <patternFill patternType="solid">
        <fgColor theme="5" tint="0.79998168889431442"/>
        <bgColor indexed="64"/>
      </patternFill>
    </fill>
    <fill>
      <patternFill patternType="lightUp">
        <bgColor theme="0" tint="-4.9989318521683403E-2"/>
      </patternFill>
    </fill>
    <fill>
      <patternFill patternType="solid">
        <fgColor theme="0" tint="-4.9989318521683403E-2"/>
        <bgColor indexed="64"/>
      </patternFill>
    </fill>
    <fill>
      <patternFill patternType="solid">
        <fgColor theme="6" tint="0.79998168889431442"/>
        <bgColor indexed="64"/>
      </patternFill>
    </fill>
    <fill>
      <patternFill patternType="lightUp">
        <fgColor theme="0" tint="-0.34998626667073579"/>
        <bgColor indexed="65"/>
      </patternFill>
    </fill>
    <fill>
      <patternFill patternType="lightUp">
        <fgColor theme="0" tint="-0.34998626667073579"/>
        <bgColor theme="0"/>
      </patternFill>
    </fill>
    <fill>
      <patternFill patternType="solid">
        <fgColor indexed="65"/>
        <bgColor theme="0" tint="-0.34998626667073579"/>
      </patternFill>
    </fill>
    <fill>
      <patternFill patternType="solid">
        <fgColor indexed="65"/>
        <bgColor indexed="64"/>
      </patternFill>
    </fill>
    <fill>
      <patternFill patternType="solid">
        <fgColor theme="6" tint="0.39994506668294322"/>
        <bgColor theme="0"/>
      </patternFill>
    </fill>
    <fill>
      <patternFill patternType="solid">
        <fgColor indexed="9"/>
        <bgColor indexed="64"/>
      </patternFill>
    </fill>
    <fill>
      <patternFill patternType="solid">
        <fgColor indexed="22"/>
        <bgColor indexed="64"/>
      </patternFill>
    </fill>
    <fill>
      <patternFill patternType="solid">
        <fgColor theme="0" tint="-0.14999847407452621"/>
        <bgColor indexed="64"/>
      </patternFill>
    </fill>
    <fill>
      <patternFill patternType="solid">
        <fgColor indexed="53"/>
        <bgColor indexed="64"/>
      </patternFill>
    </fill>
    <fill>
      <patternFill patternType="solid">
        <fgColor rgb="FF33CCCC"/>
        <bgColor indexed="64"/>
      </patternFill>
    </fill>
    <fill>
      <patternFill patternType="solid">
        <fgColor indexed="40"/>
        <bgColor indexed="64"/>
      </patternFill>
    </fill>
    <fill>
      <patternFill patternType="solid">
        <fgColor indexed="42"/>
        <bgColor indexed="64"/>
      </patternFill>
    </fill>
    <fill>
      <patternFill patternType="solid">
        <fgColor indexed="11"/>
        <bgColor indexed="64"/>
      </patternFill>
    </fill>
    <fill>
      <patternFill patternType="solid">
        <fgColor rgb="FF006600"/>
        <bgColor indexed="64"/>
      </patternFill>
    </fill>
    <fill>
      <patternFill patternType="solid">
        <fgColor indexed="49"/>
        <bgColor indexed="64"/>
      </patternFill>
    </fill>
    <fill>
      <patternFill patternType="solid">
        <fgColor rgb="FF0099FF"/>
        <bgColor indexed="64"/>
      </patternFill>
    </fill>
    <fill>
      <patternFill patternType="solid">
        <fgColor indexed="43"/>
        <bgColor indexed="64"/>
      </patternFill>
    </fill>
    <fill>
      <patternFill patternType="solid">
        <fgColor rgb="FFFF6600"/>
        <bgColor indexed="64"/>
      </patternFill>
    </fill>
    <fill>
      <patternFill patternType="solid">
        <fgColor indexed="30"/>
        <bgColor indexed="64"/>
      </patternFill>
    </fill>
    <fill>
      <patternFill patternType="solid">
        <fgColor rgb="FF0066CC"/>
        <bgColor indexed="64"/>
      </patternFill>
    </fill>
    <fill>
      <patternFill patternType="solid">
        <fgColor rgb="FF0033CC"/>
        <bgColor indexed="64"/>
      </patternFill>
    </fill>
    <fill>
      <patternFill patternType="solid">
        <fgColor indexed="62"/>
        <bgColor indexed="64"/>
      </patternFill>
    </fill>
    <fill>
      <patternFill patternType="solid">
        <fgColor indexed="44"/>
        <bgColor indexed="64"/>
      </patternFill>
    </fill>
    <fill>
      <patternFill patternType="solid">
        <fgColor indexed="15"/>
        <bgColor indexed="64"/>
      </patternFill>
    </fill>
    <fill>
      <patternFill patternType="solid">
        <fgColor indexed="49"/>
        <bgColor indexed="9"/>
      </patternFill>
    </fill>
    <fill>
      <patternFill patternType="solid">
        <fgColor indexed="50"/>
        <bgColor indexed="64"/>
      </patternFill>
    </fill>
    <fill>
      <patternFill patternType="solid">
        <fgColor indexed="9"/>
        <bgColor indexed="9"/>
      </patternFill>
    </fill>
    <fill>
      <patternFill patternType="lightUp">
        <fgColor theme="0" tint="-0.34998626667073579"/>
        <bgColor theme="6" tint="0.39997558519241921"/>
      </patternFill>
    </fill>
    <fill>
      <patternFill patternType="solid">
        <fgColor theme="0" tint="-0.34998626667073579"/>
        <bgColor indexed="64"/>
      </patternFill>
    </fill>
    <fill>
      <patternFill patternType="solid">
        <fgColor theme="0"/>
        <bgColor theme="0"/>
      </patternFill>
    </fill>
    <fill>
      <patternFill patternType="solid">
        <fgColor theme="5" tint="0.59999389629810485"/>
        <bgColor indexed="64"/>
      </patternFill>
    </fill>
    <fill>
      <patternFill patternType="solid">
        <fgColor theme="5" tint="0.39997558519241921"/>
        <bgColor indexed="64"/>
      </patternFill>
    </fill>
    <fill>
      <patternFill patternType="solid">
        <fgColor theme="4"/>
      </patternFill>
    </fill>
    <fill>
      <patternFill patternType="solid">
        <fgColor theme="6" tint="0.39994506668294322"/>
        <bgColor indexed="64"/>
      </patternFill>
    </fill>
    <fill>
      <patternFill patternType="solid">
        <fgColor rgb="FFFFFFFF"/>
        <bgColor indexed="64"/>
      </patternFill>
    </fill>
  </fills>
  <borders count="157">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top style="thin">
        <color indexed="64"/>
      </top>
      <bottom/>
      <diagonal/>
    </border>
    <border>
      <left/>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diagonal/>
    </border>
    <border>
      <left style="hair">
        <color indexed="64"/>
      </left>
      <right style="thin">
        <color indexed="64"/>
      </right>
      <top/>
      <bottom/>
      <diagonal/>
    </border>
    <border>
      <left style="thin">
        <color indexed="22"/>
      </left>
      <right/>
      <top/>
      <bottom style="thin">
        <color indexed="22"/>
      </bottom>
      <diagonal/>
    </border>
    <border>
      <left style="thin">
        <color indexed="22"/>
      </left>
      <right/>
      <top/>
      <bottom/>
      <diagonal/>
    </border>
    <border>
      <left style="thin">
        <color indexed="64"/>
      </left>
      <right/>
      <top/>
      <bottom style="hair">
        <color indexed="64"/>
      </bottom>
      <diagonal/>
    </border>
    <border>
      <left/>
      <right/>
      <top style="thin">
        <color indexed="23"/>
      </top>
      <bottom style="thin">
        <color indexed="12"/>
      </bottom>
      <diagonal/>
    </border>
    <border>
      <left/>
      <right/>
      <top style="thin">
        <color indexed="21"/>
      </top>
      <bottom/>
      <diagonal/>
    </border>
    <border>
      <left style="hair">
        <color indexed="64"/>
      </left>
      <right/>
      <top/>
      <bottom style="hair">
        <color indexed="64"/>
      </bottom>
      <diagonal/>
    </border>
    <border>
      <left/>
      <right style="thin">
        <color indexed="64"/>
      </right>
      <top style="medium">
        <color indexed="64"/>
      </top>
      <bottom/>
      <diagonal/>
    </border>
    <border>
      <left/>
      <right style="medium">
        <color indexed="64"/>
      </right>
      <top/>
      <bottom style="medium">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top/>
      <bottom/>
      <diagonal/>
    </border>
    <border>
      <left style="thin">
        <color indexed="64"/>
      </left>
      <right style="medium">
        <color indexed="64"/>
      </right>
      <top style="thin">
        <color indexed="64"/>
      </top>
      <bottom/>
      <diagonal/>
    </border>
    <border>
      <left style="thin">
        <color indexed="64"/>
      </left>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right style="thin">
        <color auto="1"/>
      </right>
      <top/>
      <bottom style="thin">
        <color auto="1"/>
      </bottom>
      <diagonal/>
    </border>
    <border>
      <left/>
      <right/>
      <top/>
      <bottom style="thin">
        <color indexed="64"/>
      </bottom>
      <diagonal/>
    </border>
    <border>
      <left style="thin">
        <color indexed="64"/>
      </left>
      <right style="thin">
        <color indexed="64"/>
      </right>
      <top/>
      <bottom style="medium">
        <color indexed="64"/>
      </bottom>
      <diagonal/>
    </border>
    <border>
      <left style="thin">
        <color indexed="22"/>
      </left>
      <right/>
      <top/>
      <bottom style="thin">
        <color indexed="22"/>
      </bottom>
      <diagonal/>
    </border>
    <border>
      <left style="thin">
        <color indexed="22"/>
      </left>
      <right/>
      <top/>
      <bottom style="thin">
        <color indexed="22"/>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right/>
      <top/>
      <bottom style="dashDotDot">
        <color indexed="64"/>
      </bottom>
      <diagonal/>
    </border>
    <border>
      <left style="dashDotDot">
        <color indexed="64"/>
      </left>
      <right style="dashDotDot">
        <color indexed="64"/>
      </right>
      <top style="dashDotDot">
        <color indexed="64"/>
      </top>
      <bottom style="dashDotDot">
        <color indexed="64"/>
      </bottom>
      <diagonal/>
    </border>
    <border>
      <left style="dashDotDot">
        <color indexed="64"/>
      </left>
      <right style="dashDotDot">
        <color indexed="64"/>
      </right>
      <top style="dashDotDot">
        <color indexed="64"/>
      </top>
      <bottom/>
      <diagonal/>
    </border>
    <border>
      <left/>
      <right style="dashDotDot">
        <color indexed="64"/>
      </right>
      <top style="dashDotDot">
        <color indexed="64"/>
      </top>
      <bottom style="dashDotDot">
        <color indexed="64"/>
      </bottom>
      <diagonal/>
    </border>
    <border>
      <left style="dashDotDot">
        <color indexed="64"/>
      </left>
      <right/>
      <top style="dashDotDot">
        <color indexed="64"/>
      </top>
      <bottom style="dashDotDot">
        <color indexed="64"/>
      </bottom>
      <diagonal/>
    </border>
    <border>
      <left style="dashDotDot">
        <color indexed="64"/>
      </left>
      <right/>
      <top style="dashDotDot">
        <color indexed="64"/>
      </top>
      <bottom/>
      <diagonal/>
    </border>
    <border>
      <left/>
      <right/>
      <top style="dashDotDot">
        <color indexed="64"/>
      </top>
      <bottom/>
      <diagonal/>
    </border>
    <border>
      <left style="dashDotDot">
        <color indexed="64"/>
      </left>
      <right/>
      <top/>
      <bottom style="dashDotDot">
        <color indexed="64"/>
      </bottom>
      <diagonal/>
    </border>
    <border>
      <left/>
      <right style="dashDotDot">
        <color indexed="64"/>
      </right>
      <top style="thin">
        <color indexed="64"/>
      </top>
      <bottom style="thin">
        <color indexed="64"/>
      </bottom>
      <diagonal/>
    </border>
    <border>
      <left style="dashDotDot">
        <color indexed="64"/>
      </left>
      <right style="dashDotDot">
        <color indexed="64"/>
      </right>
      <top/>
      <bottom style="dashDotDot">
        <color indexed="64"/>
      </bottom>
      <diagonal/>
    </border>
    <border>
      <left/>
      <right style="dashDotDot">
        <color indexed="64"/>
      </right>
      <top/>
      <bottom/>
      <diagonal/>
    </border>
    <border>
      <left/>
      <right style="dashDotDot">
        <color indexed="64"/>
      </right>
      <top/>
      <bottom style="thin">
        <color indexed="64"/>
      </bottom>
      <diagonal/>
    </border>
    <border>
      <left/>
      <right style="dashDotDot">
        <color indexed="64"/>
      </right>
      <top style="thin">
        <color indexed="64"/>
      </top>
      <bottom/>
      <diagonal/>
    </border>
    <border>
      <left/>
      <right/>
      <top style="dashDotDot">
        <color indexed="64"/>
      </top>
      <bottom style="dashDotDot">
        <color indexed="64"/>
      </bottom>
      <diagonal/>
    </border>
    <border>
      <left/>
      <right/>
      <top style="dashDotDot">
        <color indexed="64"/>
      </top>
      <bottom style="thin">
        <color indexed="64"/>
      </bottom>
      <diagonal/>
    </border>
    <border>
      <left/>
      <right/>
      <top/>
      <bottom style="thin">
        <color auto="1"/>
      </bottom>
      <diagonal/>
    </border>
    <border>
      <left style="dashDotDot">
        <color indexed="64"/>
      </left>
      <right/>
      <top/>
      <bottom/>
      <diagonal/>
    </border>
    <border>
      <left style="medium">
        <color indexed="64"/>
      </left>
      <right style="thin">
        <color theme="0" tint="-0.499984740745262"/>
      </right>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medium">
        <color indexed="64"/>
      </left>
      <right style="thin">
        <color theme="0" tint="-0.499984740745262"/>
      </right>
      <top/>
      <bottom style="thin">
        <color indexed="64"/>
      </bottom>
      <diagonal/>
    </border>
    <border>
      <left style="thin">
        <color theme="0" tint="-0.499984740745262"/>
      </left>
      <right style="thin">
        <color theme="0" tint="-0.499984740745262"/>
      </right>
      <top/>
      <bottom/>
      <diagonal/>
    </border>
    <border>
      <left style="thin">
        <color theme="0" tint="-0.499984740745262"/>
      </left>
      <right/>
      <top/>
      <bottom/>
      <diagonal/>
    </border>
    <border>
      <left style="thin">
        <color indexed="64"/>
      </left>
      <right style="thin">
        <color theme="0" tint="-0.499984740745262"/>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right/>
      <top style="thin">
        <color indexed="23"/>
      </top>
      <bottom style="thin">
        <color indexed="12"/>
      </bottom>
      <diagonal/>
    </border>
    <border>
      <left/>
      <right/>
      <top style="thin">
        <color indexed="21"/>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24994659260841701"/>
      </left>
      <right style="thin">
        <color theme="0" tint="-0.24994659260841701"/>
      </right>
      <top style="thin">
        <color theme="0" tint="-0.24994659260841701"/>
      </top>
      <bottom style="thin">
        <color theme="0" tint="-0.24994659260841701"/>
      </bottom>
      <diagonal/>
    </border>
    <border>
      <left/>
      <right style="medium">
        <color theme="0" tint="-0.24994659260841701"/>
      </right>
      <top/>
      <bottom/>
      <diagonal/>
    </border>
    <border>
      <left style="medium">
        <color theme="0" tint="-0.24994659260841701"/>
      </left>
      <right/>
      <top/>
      <bottom/>
      <diagonal/>
    </border>
    <border>
      <left style="medium">
        <color theme="0" tint="-0.24994659260841701"/>
      </left>
      <right/>
      <top/>
      <bottom style="medium">
        <color theme="0" tint="-0.24994659260841701"/>
      </bottom>
      <diagonal/>
    </border>
    <border>
      <left/>
      <right/>
      <top/>
      <bottom style="medium">
        <color theme="0" tint="-0.24994659260841701"/>
      </bottom>
      <diagonal/>
    </border>
    <border>
      <left/>
      <right style="medium">
        <color theme="0" tint="-0.24994659260841701"/>
      </right>
      <top/>
      <bottom style="medium">
        <color theme="0" tint="-0.24994659260841701"/>
      </bottom>
      <diagonal/>
    </border>
    <border>
      <left style="medium">
        <color theme="0" tint="-0.24994659260841701"/>
      </left>
      <right/>
      <top style="medium">
        <color indexed="64"/>
      </top>
      <bottom style="medium">
        <color theme="0" tint="-0.24994659260841701"/>
      </bottom>
      <diagonal/>
    </border>
    <border>
      <left/>
      <right/>
      <top style="medium">
        <color indexed="64"/>
      </top>
      <bottom style="medium">
        <color theme="0" tint="-0.24994659260841701"/>
      </bottom>
      <diagonal/>
    </border>
    <border>
      <left/>
      <right style="medium">
        <color theme="0" tint="-0.24994659260841701"/>
      </right>
      <top style="medium">
        <color indexed="64"/>
      </top>
      <bottom style="medium">
        <color theme="0" tint="-0.24994659260841701"/>
      </bottom>
      <diagonal/>
    </border>
    <border>
      <left style="medium">
        <color theme="0" tint="-0.24994659260841701"/>
      </left>
      <right/>
      <top style="medium">
        <color theme="0" tint="-0.24994659260841701"/>
      </top>
      <bottom style="medium">
        <color theme="0" tint="-0.24994659260841701"/>
      </bottom>
      <diagonal/>
    </border>
    <border>
      <left/>
      <right/>
      <top style="medium">
        <color theme="0" tint="-0.24994659260841701"/>
      </top>
      <bottom style="medium">
        <color theme="0" tint="-0.24994659260841701"/>
      </bottom>
      <diagonal/>
    </border>
    <border>
      <left/>
      <right style="medium">
        <color theme="0" tint="-0.24994659260841701"/>
      </right>
      <top style="medium">
        <color theme="0" tint="-0.24994659260841701"/>
      </top>
      <bottom style="medium">
        <color theme="0" tint="-0.24994659260841701"/>
      </bottom>
      <diagonal/>
    </border>
    <border>
      <left/>
      <right style="thin">
        <color auto="1"/>
      </right>
      <top/>
      <bottom style="thin">
        <color auto="1"/>
      </bottom>
      <diagonal/>
    </border>
    <border>
      <left style="medium">
        <color indexed="64"/>
      </left>
      <right style="medium">
        <color indexed="64"/>
      </right>
      <top/>
      <bottom style="thin">
        <color auto="1"/>
      </bottom>
      <diagonal/>
    </border>
    <border>
      <left style="thin">
        <color indexed="64"/>
      </left>
      <right/>
      <top/>
      <bottom style="thin">
        <color indexed="64"/>
      </bottom>
      <diagonal/>
    </border>
    <border>
      <left style="medium">
        <color indexed="64"/>
      </left>
      <right style="medium">
        <color indexed="64"/>
      </right>
      <top style="thin">
        <color auto="1"/>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s>
  <cellStyleXfs count="720">
    <xf numFmtId="0" fontId="0" fillId="0" borderId="0"/>
    <xf numFmtId="9" fontId="12"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9" borderId="0" applyNumberFormat="0" applyBorder="0" applyAlignment="0" applyProtection="0"/>
    <xf numFmtId="0" fontId="11" fillId="12" borderId="0" applyNumberFormat="0" applyBorder="0" applyAlignment="0" applyProtection="0"/>
    <xf numFmtId="0" fontId="16" fillId="13"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20" borderId="0" applyNumberFormat="0" applyBorder="0" applyAlignment="0" applyProtection="0"/>
    <xf numFmtId="0" fontId="17" fillId="4" borderId="0" applyNumberFormat="0" applyBorder="0" applyAlignment="0" applyProtection="0"/>
    <xf numFmtId="0" fontId="18" fillId="21" borderId="52" applyNumberFormat="0" applyAlignment="0" applyProtection="0"/>
    <xf numFmtId="0" fontId="19" fillId="22" borderId="53"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0" fillId="0" borderId="0" applyNumberFormat="0" applyFill="0" applyBorder="0" applyAlignment="0" applyProtection="0"/>
    <xf numFmtId="0" fontId="21" fillId="5" borderId="0" applyNumberFormat="0" applyBorder="0" applyAlignment="0" applyProtection="0"/>
    <xf numFmtId="0" fontId="22" fillId="0" borderId="54" applyNumberFormat="0" applyFill="0" applyAlignment="0" applyProtection="0"/>
    <xf numFmtId="0" fontId="23" fillId="0" borderId="55" applyNumberFormat="0" applyFill="0" applyAlignment="0" applyProtection="0"/>
    <xf numFmtId="0" fontId="24" fillId="0" borderId="56" applyNumberFormat="0" applyFill="0" applyAlignment="0" applyProtection="0"/>
    <xf numFmtId="0" fontId="24" fillId="0" borderId="0" applyNumberFormat="0" applyFill="0" applyBorder="0" applyAlignment="0" applyProtection="0"/>
    <xf numFmtId="0" fontId="25" fillId="8" borderId="52" applyNumberFormat="0" applyAlignment="0" applyProtection="0"/>
    <xf numFmtId="0" fontId="26" fillId="0" borderId="57" applyNumberFormat="0" applyFill="0" applyAlignment="0" applyProtection="0"/>
    <xf numFmtId="0" fontId="27" fillId="23" borderId="0" applyNumberFormat="0" applyBorder="0" applyAlignment="0" applyProtection="0"/>
    <xf numFmtId="0" fontId="13" fillId="0" borderId="0"/>
    <xf numFmtId="0" fontId="13" fillId="24" borderId="58" applyNumberFormat="0" applyFont="0" applyAlignment="0" applyProtection="0"/>
    <xf numFmtId="0" fontId="28" fillId="21" borderId="59" applyNumberFormat="0" applyAlignment="0" applyProtection="0"/>
    <xf numFmtId="9" fontId="13" fillId="0" borderId="0" applyFont="0" applyFill="0" applyBorder="0" applyAlignment="0" applyProtection="0"/>
    <xf numFmtId="0" fontId="29" fillId="0" borderId="0" applyNumberFormat="0" applyFill="0" applyBorder="0" applyAlignment="0" applyProtection="0"/>
    <xf numFmtId="0" fontId="30" fillId="0" borderId="60" applyNumberFormat="0" applyFill="0" applyAlignment="0" applyProtection="0"/>
    <xf numFmtId="0" fontId="15" fillId="0" borderId="0" applyNumberFormat="0" applyFill="0" applyBorder="0" applyAlignment="0" applyProtection="0"/>
    <xf numFmtId="0" fontId="13" fillId="0" borderId="0"/>
    <xf numFmtId="9" fontId="13" fillId="0" borderId="0" applyFont="0" applyFill="0" applyBorder="0" applyAlignment="0" applyProtection="0"/>
    <xf numFmtId="44" fontId="12"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10" fontId="36" fillId="0" borderId="71" applyFont="0" applyFill="0" applyBorder="0" applyAlignment="0" applyProtection="0">
      <alignment horizontal="right"/>
    </xf>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3" fontId="37" fillId="0" borderId="0" applyNumberFormat="0" applyFill="0" applyBorder="0" applyAlignment="0" applyProtection="0"/>
    <xf numFmtId="3" fontId="38" fillId="0" borderId="0" applyNumberFormat="0" applyFill="0" applyBorder="0" applyAlignment="0" applyProtection="0"/>
    <xf numFmtId="166" fontId="36" fillId="0" borderId="72" applyNumberFormat="0" applyFont="0" applyFill="0" applyAlignment="0">
      <protection locked="0"/>
    </xf>
    <xf numFmtId="0" fontId="18" fillId="21" borderId="52" applyNumberFormat="0" applyAlignment="0" applyProtection="0"/>
    <xf numFmtId="0" fontId="18" fillId="21" borderId="52" applyNumberFormat="0" applyAlignment="0" applyProtection="0"/>
    <xf numFmtId="0" fontId="18" fillId="21" borderId="52" applyNumberFormat="0" applyAlignment="0" applyProtection="0"/>
    <xf numFmtId="0" fontId="18" fillId="21" borderId="52" applyNumberFormat="0" applyAlignment="0" applyProtection="0"/>
    <xf numFmtId="0" fontId="18" fillId="21" borderId="52" applyNumberFormat="0" applyAlignment="0" applyProtection="0"/>
    <xf numFmtId="0" fontId="18" fillId="21" borderId="52" applyNumberFormat="0" applyAlignment="0" applyProtection="0"/>
    <xf numFmtId="0" fontId="18" fillId="21" borderId="52" applyNumberFormat="0" applyAlignment="0" applyProtection="0"/>
    <xf numFmtId="0" fontId="18" fillId="21" borderId="52" applyNumberFormat="0" applyAlignment="0" applyProtection="0"/>
    <xf numFmtId="0" fontId="18" fillId="21" borderId="52" applyNumberFormat="0" applyAlignment="0" applyProtection="0"/>
    <xf numFmtId="0" fontId="18" fillId="21" borderId="52" applyNumberFormat="0" applyAlignment="0" applyProtection="0"/>
    <xf numFmtId="0" fontId="18" fillId="21" borderId="52" applyNumberFormat="0" applyAlignment="0" applyProtection="0"/>
    <xf numFmtId="0" fontId="19" fillId="22" borderId="53" applyNumberFormat="0" applyAlignment="0" applyProtection="0"/>
    <xf numFmtId="0" fontId="19" fillId="22" borderId="53" applyNumberFormat="0" applyAlignment="0" applyProtection="0"/>
    <xf numFmtId="0" fontId="19" fillId="22" borderId="53" applyNumberFormat="0" applyAlignment="0" applyProtection="0"/>
    <xf numFmtId="0" fontId="19" fillId="22" borderId="53" applyNumberFormat="0" applyAlignment="0" applyProtection="0"/>
    <xf numFmtId="0" fontId="19" fillId="22" borderId="53" applyNumberFormat="0" applyAlignment="0" applyProtection="0"/>
    <xf numFmtId="0" fontId="19" fillId="22" borderId="53" applyNumberFormat="0" applyAlignment="0" applyProtection="0"/>
    <xf numFmtId="0" fontId="19" fillId="22" borderId="53" applyNumberFormat="0" applyAlignment="0" applyProtection="0"/>
    <xf numFmtId="0" fontId="19" fillId="22" borderId="53" applyNumberFormat="0" applyAlignment="0" applyProtection="0"/>
    <xf numFmtId="0" fontId="19" fillId="22" borderId="53" applyNumberFormat="0" applyAlignment="0" applyProtection="0"/>
    <xf numFmtId="0" fontId="19" fillId="22" borderId="53" applyNumberFormat="0" applyAlignment="0" applyProtection="0"/>
    <xf numFmtId="0" fontId="19" fillId="22" borderId="53"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1" fontId="13" fillId="0" borderId="0" applyFont="0" applyBorder="0" applyAlignment="0">
      <alignment horizontal="center"/>
    </xf>
    <xf numFmtId="171" fontId="13" fillId="0" borderId="0" applyFont="0" applyBorder="0" applyAlignment="0">
      <alignment horizontal="center"/>
    </xf>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2" fillId="0" borderId="54" applyNumberFormat="0" applyFill="0" applyAlignment="0" applyProtection="0"/>
    <xf numFmtId="0" fontId="22" fillId="0" borderId="54" applyNumberFormat="0" applyFill="0" applyAlignment="0" applyProtection="0"/>
    <xf numFmtId="0" fontId="22" fillId="0" borderId="54" applyNumberFormat="0" applyFill="0" applyAlignment="0" applyProtection="0"/>
    <xf numFmtId="0" fontId="22" fillId="0" borderId="54" applyNumberFormat="0" applyFill="0" applyAlignment="0" applyProtection="0"/>
    <xf numFmtId="0" fontId="22" fillId="0" borderId="54" applyNumberFormat="0" applyFill="0" applyAlignment="0" applyProtection="0"/>
    <xf numFmtId="0" fontId="22" fillId="0" borderId="54" applyNumberFormat="0" applyFill="0" applyAlignment="0" applyProtection="0"/>
    <xf numFmtId="0" fontId="22" fillId="0" borderId="54" applyNumberFormat="0" applyFill="0" applyAlignment="0" applyProtection="0"/>
    <xf numFmtId="0" fontId="22" fillId="0" borderId="54" applyNumberFormat="0" applyFill="0" applyAlignment="0" applyProtection="0"/>
    <xf numFmtId="0" fontId="22" fillId="0" borderId="54" applyNumberFormat="0" applyFill="0" applyAlignment="0" applyProtection="0"/>
    <xf numFmtId="0" fontId="22" fillId="0" borderId="54" applyNumberFormat="0" applyFill="0" applyAlignment="0" applyProtection="0"/>
    <xf numFmtId="0" fontId="22" fillId="0" borderId="54" applyNumberFormat="0" applyFill="0" applyAlignment="0" applyProtection="0"/>
    <xf numFmtId="0" fontId="23" fillId="0" borderId="55" applyNumberFormat="0" applyFill="0" applyAlignment="0" applyProtection="0"/>
    <xf numFmtId="0" fontId="23" fillId="0" borderId="55" applyNumberFormat="0" applyFill="0" applyAlignment="0" applyProtection="0"/>
    <xf numFmtId="0" fontId="23" fillId="0" borderId="55" applyNumberFormat="0" applyFill="0" applyAlignment="0" applyProtection="0"/>
    <xf numFmtId="0" fontId="23" fillId="0" borderId="55" applyNumberFormat="0" applyFill="0" applyAlignment="0" applyProtection="0"/>
    <xf numFmtId="0" fontId="23" fillId="0" borderId="55" applyNumberFormat="0" applyFill="0" applyAlignment="0" applyProtection="0"/>
    <xf numFmtId="0" fontId="23" fillId="0" borderId="55" applyNumberFormat="0" applyFill="0" applyAlignment="0" applyProtection="0"/>
    <xf numFmtId="0" fontId="23" fillId="0" borderId="55" applyNumberFormat="0" applyFill="0" applyAlignment="0" applyProtection="0"/>
    <xf numFmtId="0" fontId="23" fillId="0" borderId="55" applyNumberFormat="0" applyFill="0" applyAlignment="0" applyProtection="0"/>
    <xf numFmtId="0" fontId="23" fillId="0" borderId="55" applyNumberFormat="0" applyFill="0" applyAlignment="0" applyProtection="0"/>
    <xf numFmtId="0" fontId="23" fillId="0" borderId="55" applyNumberFormat="0" applyFill="0" applyAlignment="0" applyProtection="0"/>
    <xf numFmtId="0" fontId="23" fillId="0" borderId="55" applyNumberFormat="0" applyFill="0" applyAlignment="0" applyProtection="0"/>
    <xf numFmtId="0" fontId="24" fillId="0" borderId="56" applyNumberFormat="0" applyFill="0" applyAlignment="0" applyProtection="0"/>
    <xf numFmtId="0" fontId="24" fillId="0" borderId="56" applyNumberFormat="0" applyFill="0" applyAlignment="0" applyProtection="0"/>
    <xf numFmtId="0" fontId="24" fillId="0" borderId="56" applyNumberFormat="0" applyFill="0" applyAlignment="0" applyProtection="0"/>
    <xf numFmtId="0" fontId="24" fillId="0" borderId="56" applyNumberFormat="0" applyFill="0" applyAlignment="0" applyProtection="0"/>
    <xf numFmtId="0" fontId="24" fillId="0" borderId="56" applyNumberFormat="0" applyFill="0" applyAlignment="0" applyProtection="0"/>
    <xf numFmtId="0" fontId="24" fillId="0" borderId="56" applyNumberFormat="0" applyFill="0" applyAlignment="0" applyProtection="0"/>
    <xf numFmtId="0" fontId="24" fillId="0" borderId="56" applyNumberFormat="0" applyFill="0" applyAlignment="0" applyProtection="0"/>
    <xf numFmtId="0" fontId="24" fillId="0" borderId="56" applyNumberFormat="0" applyFill="0" applyAlignment="0" applyProtection="0"/>
    <xf numFmtId="0" fontId="24" fillId="0" borderId="56" applyNumberFormat="0" applyFill="0" applyAlignment="0" applyProtection="0"/>
    <xf numFmtId="0" fontId="24" fillId="0" borderId="56" applyNumberFormat="0" applyFill="0" applyAlignment="0" applyProtection="0"/>
    <xf numFmtId="0" fontId="24" fillId="0" borderId="56"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39" fillId="0" borderId="0" applyNumberFormat="0" applyFill="0" applyBorder="0" applyAlignment="0" applyProtection="0">
      <alignment vertical="top"/>
      <protection locked="0"/>
    </xf>
    <xf numFmtId="0" fontId="25" fillId="8" borderId="52" applyNumberFormat="0" applyAlignment="0" applyProtection="0"/>
    <xf numFmtId="0" fontId="25" fillId="8" borderId="52" applyNumberFormat="0" applyAlignment="0" applyProtection="0"/>
    <xf numFmtId="0" fontId="25" fillId="8" borderId="52" applyNumberFormat="0" applyAlignment="0" applyProtection="0"/>
    <xf numFmtId="0" fontId="25" fillId="8" borderId="52" applyNumberFormat="0" applyAlignment="0" applyProtection="0"/>
    <xf numFmtId="0" fontId="25" fillId="8" borderId="52" applyNumberFormat="0" applyAlignment="0" applyProtection="0"/>
    <xf numFmtId="0" fontId="25" fillId="8" borderId="52" applyNumberFormat="0" applyAlignment="0" applyProtection="0"/>
    <xf numFmtId="0" fontId="25" fillId="8" borderId="52" applyNumberFormat="0" applyAlignment="0" applyProtection="0"/>
    <xf numFmtId="0" fontId="25" fillId="8" borderId="52" applyNumberFormat="0" applyAlignment="0" applyProtection="0"/>
    <xf numFmtId="0" fontId="25" fillId="8" borderId="52" applyNumberFormat="0" applyAlignment="0" applyProtection="0"/>
    <xf numFmtId="0" fontId="25" fillId="8" borderId="52" applyNumberFormat="0" applyAlignment="0" applyProtection="0"/>
    <xf numFmtId="0" fontId="25" fillId="8" borderId="52" applyNumberFormat="0" applyAlignment="0" applyProtection="0"/>
    <xf numFmtId="4" fontId="37" fillId="28" borderId="73" applyNumberFormat="0" applyFont="0" applyBorder="0" applyAlignment="0" applyProtection="0"/>
    <xf numFmtId="0" fontId="26" fillId="0" borderId="57" applyNumberFormat="0" applyFill="0" applyAlignment="0" applyProtection="0"/>
    <xf numFmtId="0" fontId="26" fillId="0" borderId="57" applyNumberFormat="0" applyFill="0" applyAlignment="0" applyProtection="0"/>
    <xf numFmtId="0" fontId="26" fillId="0" borderId="57" applyNumberFormat="0" applyFill="0" applyAlignment="0" applyProtection="0"/>
    <xf numFmtId="0" fontId="26" fillId="0" borderId="57" applyNumberFormat="0" applyFill="0" applyAlignment="0" applyProtection="0"/>
    <xf numFmtId="0" fontId="26" fillId="0" borderId="57" applyNumberFormat="0" applyFill="0" applyAlignment="0" applyProtection="0"/>
    <xf numFmtId="0" fontId="26" fillId="0" borderId="57" applyNumberFormat="0" applyFill="0" applyAlignment="0" applyProtection="0"/>
    <xf numFmtId="0" fontId="26" fillId="0" borderId="57" applyNumberFormat="0" applyFill="0" applyAlignment="0" applyProtection="0"/>
    <xf numFmtId="0" fontId="26" fillId="0" borderId="57" applyNumberFormat="0" applyFill="0" applyAlignment="0" applyProtection="0"/>
    <xf numFmtId="0" fontId="26" fillId="0" borderId="57" applyNumberFormat="0" applyFill="0" applyAlignment="0" applyProtection="0"/>
    <xf numFmtId="0" fontId="26" fillId="0" borderId="57" applyNumberFormat="0" applyFill="0" applyAlignment="0" applyProtection="0"/>
    <xf numFmtId="0" fontId="26" fillId="0" borderId="57" applyNumberFormat="0" applyFill="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4" borderId="58" applyNumberFormat="0" applyFont="0" applyAlignment="0" applyProtection="0"/>
    <xf numFmtId="0" fontId="13" fillId="24" borderId="58" applyNumberFormat="0" applyFont="0" applyAlignment="0" applyProtection="0"/>
    <xf numFmtId="0" fontId="13" fillId="24" borderId="58" applyNumberFormat="0" applyFont="0" applyAlignment="0" applyProtection="0"/>
    <xf numFmtId="0" fontId="13" fillId="24" borderId="58" applyNumberFormat="0" applyFont="0" applyAlignment="0" applyProtection="0"/>
    <xf numFmtId="0" fontId="13" fillId="24" borderId="58" applyNumberFormat="0" applyFont="0" applyAlignment="0" applyProtection="0"/>
    <xf numFmtId="0" fontId="13" fillId="24" borderId="58" applyNumberFormat="0" applyFont="0" applyAlignment="0" applyProtection="0"/>
    <xf numFmtId="0" fontId="13" fillId="24" borderId="58" applyNumberFormat="0" applyFont="0" applyAlignment="0" applyProtection="0"/>
    <xf numFmtId="0" fontId="13" fillId="24" borderId="58" applyNumberFormat="0" applyFont="0" applyAlignment="0" applyProtection="0"/>
    <xf numFmtId="0" fontId="13" fillId="24" borderId="58" applyNumberFormat="0" applyFont="0" applyAlignment="0" applyProtection="0"/>
    <xf numFmtId="0" fontId="13" fillId="24" borderId="58" applyNumberFormat="0" applyFont="0" applyAlignment="0" applyProtection="0"/>
    <xf numFmtId="0" fontId="13" fillId="24" borderId="58" applyNumberFormat="0" applyFont="0" applyAlignment="0" applyProtection="0"/>
    <xf numFmtId="0" fontId="13" fillId="24" borderId="58" applyNumberFormat="0" applyFont="0" applyAlignment="0" applyProtection="0"/>
    <xf numFmtId="0" fontId="13" fillId="24" borderId="58" applyNumberFormat="0" applyFont="0" applyAlignment="0" applyProtection="0"/>
    <xf numFmtId="0" fontId="13" fillId="24" borderId="58" applyNumberFormat="0" applyFont="0" applyAlignment="0" applyProtection="0"/>
    <xf numFmtId="0" fontId="13" fillId="24" borderId="58" applyNumberFormat="0" applyFont="0" applyAlignment="0" applyProtection="0"/>
    <xf numFmtId="0" fontId="13" fillId="24" borderId="58" applyNumberFormat="0" applyFont="0" applyAlignment="0" applyProtection="0"/>
    <xf numFmtId="0" fontId="13" fillId="24" borderId="58" applyNumberFormat="0" applyFont="0" applyAlignment="0" applyProtection="0"/>
    <xf numFmtId="0" fontId="13" fillId="24" borderId="58" applyNumberFormat="0" applyFont="0" applyAlignment="0" applyProtection="0"/>
    <xf numFmtId="172" fontId="13" fillId="0" borderId="41" applyFont="0" applyFill="0" applyBorder="0" applyAlignment="0" applyProtection="0">
      <alignment horizontal="center"/>
    </xf>
    <xf numFmtId="172" fontId="13" fillId="0" borderId="41" applyFont="0" applyFill="0" applyBorder="0" applyAlignment="0" applyProtection="0">
      <alignment horizontal="center"/>
    </xf>
    <xf numFmtId="3" fontId="36" fillId="29" borderId="73" applyNumberFormat="0" applyFont="0" applyBorder="0" applyAlignment="0" applyProtection="0"/>
    <xf numFmtId="0" fontId="28" fillId="21" borderId="59" applyNumberFormat="0" applyAlignment="0" applyProtection="0"/>
    <xf numFmtId="0" fontId="28" fillId="21" borderId="59" applyNumberFormat="0" applyAlignment="0" applyProtection="0"/>
    <xf numFmtId="0" fontId="28" fillId="21" borderId="59" applyNumberFormat="0" applyAlignment="0" applyProtection="0"/>
    <xf numFmtId="0" fontId="28" fillId="21" borderId="59" applyNumberFormat="0" applyAlignment="0" applyProtection="0"/>
    <xf numFmtId="0" fontId="28" fillId="21" borderId="59" applyNumberFormat="0" applyAlignment="0" applyProtection="0"/>
    <xf numFmtId="0" fontId="28" fillId="21" borderId="59" applyNumberFormat="0" applyAlignment="0" applyProtection="0"/>
    <xf numFmtId="0" fontId="28" fillId="21" borderId="59" applyNumberFormat="0" applyAlignment="0" applyProtection="0"/>
    <xf numFmtId="0" fontId="28" fillId="21" borderId="59" applyNumberFormat="0" applyAlignment="0" applyProtection="0"/>
    <xf numFmtId="0" fontId="28" fillId="21" borderId="59" applyNumberFormat="0" applyAlignment="0" applyProtection="0"/>
    <xf numFmtId="0" fontId="28" fillId="21" borderId="59" applyNumberFormat="0" applyAlignment="0" applyProtection="0"/>
    <xf numFmtId="0" fontId="28" fillId="21" borderId="59" applyNumberForma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35" fillId="0" borderId="0" applyFont="0" applyFill="0" applyBorder="0" applyAlignment="0" applyProtection="0"/>
    <xf numFmtId="10" fontId="36" fillId="30" borderId="0" applyNumberFormat="0" applyFont="0" applyBorder="0" applyAlignment="0" applyProtection="0"/>
    <xf numFmtId="3" fontId="40" fillId="0" borderId="74" applyNumberFormat="0" applyFill="0" applyBorder="0" applyAlignment="0" applyProtection="0">
      <protection locked="0"/>
    </xf>
    <xf numFmtId="165" fontId="37" fillId="0" borderId="75" applyNumberFormat="0" applyFon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3" fontId="36" fillId="0" borderId="76" applyNumberFormat="0" applyFont="0" applyFill="0" applyAlignment="0" applyProtection="0">
      <alignment horizontal="right"/>
    </xf>
    <xf numFmtId="0" fontId="30" fillId="0" borderId="60" applyNumberFormat="0" applyFill="0" applyAlignment="0" applyProtection="0"/>
    <xf numFmtId="0" fontId="30" fillId="0" borderId="60" applyNumberFormat="0" applyFill="0" applyAlignment="0" applyProtection="0"/>
    <xf numFmtId="0" fontId="30" fillId="0" borderId="60" applyNumberFormat="0" applyFill="0" applyAlignment="0" applyProtection="0"/>
    <xf numFmtId="0" fontId="30" fillId="0" borderId="60" applyNumberFormat="0" applyFill="0" applyAlignment="0" applyProtection="0"/>
    <xf numFmtId="0" fontId="30" fillId="0" borderId="60" applyNumberFormat="0" applyFill="0" applyAlignment="0" applyProtection="0"/>
    <xf numFmtId="0" fontId="30" fillId="0" borderId="60" applyNumberFormat="0" applyFill="0" applyAlignment="0" applyProtection="0"/>
    <xf numFmtId="0" fontId="30" fillId="0" borderId="60" applyNumberFormat="0" applyFill="0" applyAlignment="0" applyProtection="0"/>
    <xf numFmtId="0" fontId="30" fillId="0" borderId="60" applyNumberFormat="0" applyFill="0" applyAlignment="0" applyProtection="0"/>
    <xf numFmtId="0" fontId="30" fillId="0" borderId="60" applyNumberFormat="0" applyFill="0" applyAlignment="0" applyProtection="0"/>
    <xf numFmtId="0" fontId="30" fillId="0" borderId="60" applyNumberFormat="0" applyFill="0" applyAlignment="0" applyProtection="0"/>
    <xf numFmtId="0" fontId="30" fillId="0" borderId="60" applyNumberFormat="0" applyFill="0" applyAlignment="0" applyProtection="0"/>
    <xf numFmtId="0" fontId="41" fillId="0" borderId="77" applyNumberFormat="0" applyFont="0" applyFill="0" applyAlignment="0">
      <protection locked="0"/>
    </xf>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43" fontId="12" fillId="0" borderId="0" applyFont="0" applyFill="0" applyBorder="0" applyAlignment="0" applyProtection="0"/>
    <xf numFmtId="0" fontId="12" fillId="0" borderId="0"/>
    <xf numFmtId="0" fontId="48" fillId="0" borderId="0" applyNumberFormat="0" applyFill="0" applyBorder="0" applyAlignment="0" applyProtection="0">
      <alignment vertical="top"/>
      <protection locked="0"/>
    </xf>
    <xf numFmtId="0" fontId="49" fillId="0" borderId="0"/>
    <xf numFmtId="44" fontId="13" fillId="0" borderId="0" applyFont="0" applyFill="0" applyBorder="0" applyAlignment="0" applyProtection="0"/>
    <xf numFmtId="166" fontId="36" fillId="0" borderId="96" applyNumberFormat="0" applyFont="0" applyFill="0" applyAlignment="0">
      <protection locked="0"/>
    </xf>
    <xf numFmtId="166" fontId="36" fillId="0" borderId="95" applyNumberFormat="0" applyFont="0" applyFill="0" applyAlignment="0">
      <protection locked="0"/>
    </xf>
    <xf numFmtId="0" fontId="13" fillId="0" borderId="0"/>
    <xf numFmtId="0" fontId="35" fillId="0" borderId="0"/>
    <xf numFmtId="0" fontId="120" fillId="0" borderId="0"/>
    <xf numFmtId="0" fontId="35" fillId="0" borderId="0"/>
    <xf numFmtId="0" fontId="141" fillId="0" borderId="0" applyNumberFormat="0" applyFill="0" applyBorder="0" applyAlignment="0" applyProtection="0"/>
    <xf numFmtId="10" fontId="142" fillId="0" borderId="71" applyFont="0" applyFill="0" applyBorder="0" applyAlignment="0" applyProtection="0">
      <alignment horizontal="right"/>
    </xf>
    <xf numFmtId="3" fontId="143" fillId="0" borderId="0" applyNumberFormat="0" applyFill="0" applyBorder="0" applyAlignment="0" applyProtection="0"/>
    <xf numFmtId="3" fontId="144" fillId="0" borderId="0" applyNumberFormat="0" applyFill="0" applyBorder="0" applyAlignment="0" applyProtection="0"/>
    <xf numFmtId="166" fontId="142" fillId="0" borderId="72" applyNumberFormat="0" applyFont="0" applyFill="0" applyAlignment="0">
      <protection locked="0"/>
    </xf>
    <xf numFmtId="4" fontId="143" fillId="28" borderId="73" applyNumberFormat="0" applyFont="0" applyBorder="0" applyAlignment="0" applyProtection="0"/>
    <xf numFmtId="3" fontId="142" fillId="29" borderId="73" applyNumberFormat="0" applyFont="0" applyBorder="0" applyAlignment="0" applyProtection="0"/>
    <xf numFmtId="10" fontId="142" fillId="30" borderId="0" applyNumberFormat="0" applyFont="0" applyBorder="0" applyAlignment="0" applyProtection="0"/>
    <xf numFmtId="3" fontId="145" fillId="0" borderId="74" applyNumberFormat="0" applyFill="0" applyBorder="0" applyAlignment="0" applyProtection="0">
      <protection locked="0"/>
    </xf>
    <xf numFmtId="165" fontId="143" fillId="0" borderId="75" applyNumberFormat="0" applyFont="0" applyFill="0" applyAlignment="0" applyProtection="0"/>
    <xf numFmtId="3" fontId="142" fillId="0" borderId="76" applyNumberFormat="0" applyFont="0" applyFill="0" applyAlignment="0" applyProtection="0">
      <alignment horizontal="right"/>
    </xf>
    <xf numFmtId="0" fontId="146" fillId="0" borderId="77" applyNumberFormat="0" applyFont="0" applyFill="0" applyAlignment="0">
      <protection locked="0"/>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1" fontId="13" fillId="0" borderId="0" applyFont="0" applyBorder="0" applyAlignment="0">
      <alignment horizontal="center"/>
    </xf>
    <xf numFmtId="171" fontId="13" fillId="0" borderId="0" applyFont="0" applyBorder="0" applyAlignment="0">
      <alignment horizontal="center"/>
    </xf>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13"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4" borderId="125" applyNumberFormat="0" applyFont="0" applyAlignment="0" applyProtection="0"/>
    <xf numFmtId="0" fontId="13" fillId="24" borderId="125" applyNumberFormat="0" applyFont="0" applyAlignment="0" applyProtection="0"/>
    <xf numFmtId="0" fontId="13" fillId="24" borderId="125" applyNumberFormat="0" applyFont="0" applyAlignment="0" applyProtection="0"/>
    <xf numFmtId="0" fontId="13" fillId="24" borderId="125" applyNumberFormat="0" applyFont="0" applyAlignment="0" applyProtection="0"/>
    <xf numFmtId="0" fontId="13" fillId="24" borderId="125" applyNumberFormat="0" applyFont="0" applyAlignment="0" applyProtection="0"/>
    <xf numFmtId="0" fontId="13" fillId="24" borderId="125" applyNumberFormat="0" applyFont="0" applyAlignment="0" applyProtection="0"/>
    <xf numFmtId="0" fontId="13" fillId="24" borderId="125" applyNumberFormat="0" applyFont="0" applyAlignment="0" applyProtection="0"/>
    <xf numFmtId="172" fontId="13" fillId="0" borderId="41" applyFont="0" applyFill="0" applyBorder="0" applyAlignment="0" applyProtection="0">
      <alignment horizontal="center"/>
    </xf>
    <xf numFmtId="172" fontId="13" fillId="0" borderId="41" applyFont="0" applyFill="0" applyBorder="0" applyAlignment="0" applyProtection="0">
      <alignment horizontal="center"/>
    </xf>
    <xf numFmtId="172" fontId="13" fillId="0" borderId="41" applyFont="0" applyFill="0" applyBorder="0" applyAlignment="0" applyProtection="0">
      <alignment horizontal="center"/>
    </xf>
    <xf numFmtId="172" fontId="13" fillId="0" borderId="41" applyFont="0" applyFill="0" applyBorder="0" applyAlignment="0" applyProtection="0">
      <alignment horizontal="center"/>
    </xf>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165" fontId="143" fillId="0" borderId="126" applyNumberFormat="0" applyFont="0" applyFill="0" applyAlignment="0" applyProtection="0"/>
    <xf numFmtId="3" fontId="142" fillId="0" borderId="127" applyNumberFormat="0" applyFont="0" applyFill="0" applyAlignment="0" applyProtection="0">
      <alignment horizontal="right"/>
    </xf>
    <xf numFmtId="0" fontId="12" fillId="0" borderId="0"/>
    <xf numFmtId="44" fontId="12" fillId="0" borderId="0" applyFont="0" applyFill="0" applyBorder="0" applyAlignment="0" applyProtection="0"/>
    <xf numFmtId="9" fontId="12" fillId="0" borderId="0" applyFont="0" applyFill="0" applyBorder="0" applyAlignment="0" applyProtection="0"/>
    <xf numFmtId="0" fontId="55" fillId="67" borderId="0" applyNumberFormat="0" applyBorder="0" applyAlignment="0" applyProtection="0"/>
    <xf numFmtId="0" fontId="18" fillId="21" borderId="128" applyNumberFormat="0" applyAlignment="0" applyProtection="0"/>
    <xf numFmtId="0" fontId="25" fillId="8" borderId="128" applyNumberFormat="0" applyAlignment="0" applyProtection="0"/>
    <xf numFmtId="0" fontId="13" fillId="0" borderId="0"/>
    <xf numFmtId="0" fontId="28" fillId="21" borderId="129" applyNumberFormat="0" applyAlignment="0" applyProtection="0"/>
    <xf numFmtId="0" fontId="30" fillId="0" borderId="130" applyNumberFormat="0" applyFill="0" applyAlignment="0" applyProtection="0"/>
    <xf numFmtId="0" fontId="149" fillId="0" borderId="0" applyNumberFormat="0" applyFill="0" applyBorder="0" applyAlignment="0" applyProtection="0"/>
  </cellStyleXfs>
  <cellXfs count="2952">
    <xf numFmtId="0" fontId="0" fillId="0" borderId="0" xfId="0"/>
    <xf numFmtId="0" fontId="6" fillId="2" borderId="4" xfId="0" applyFont="1" applyFill="1" applyBorder="1" applyAlignment="1">
      <alignment vertical="center" textRotation="90" wrapText="1"/>
    </xf>
    <xf numFmtId="0" fontId="2" fillId="2" borderId="21" xfId="0" applyNumberFormat="1" applyFont="1" applyFill="1" applyBorder="1" applyAlignment="1" applyProtection="1">
      <alignment horizontal="left" wrapText="1"/>
    </xf>
    <xf numFmtId="0" fontId="7" fillId="0" borderId="13" xfId="0" applyNumberFormat="1" applyFont="1" applyFill="1" applyBorder="1" applyAlignment="1" applyProtection="1">
      <alignment horizontal="center" vertical="center" wrapText="1"/>
    </xf>
    <xf numFmtId="0" fontId="2" fillId="0" borderId="6" xfId="0" applyNumberFormat="1" applyFont="1" applyFill="1" applyBorder="1" applyAlignment="1" applyProtection="1">
      <alignment horizontal="center" vertical="center" wrapText="1"/>
    </xf>
    <xf numFmtId="0" fontId="5" fillId="0" borderId="10" xfId="0" applyNumberFormat="1" applyFont="1" applyFill="1" applyBorder="1" applyAlignment="1" applyProtection="1">
      <alignment horizontal="left" vertical="top" wrapText="1"/>
    </xf>
    <xf numFmtId="0" fontId="2" fillId="0" borderId="13" xfId="0" applyNumberFormat="1" applyFont="1" applyFill="1" applyBorder="1" applyAlignment="1" applyProtection="1">
      <alignment horizontal="center" wrapText="1"/>
    </xf>
    <xf numFmtId="0" fontId="2" fillId="0" borderId="29" xfId="0" applyNumberFormat="1" applyFont="1" applyFill="1" applyBorder="1" applyAlignment="1" applyProtection="1">
      <alignment horizontal="center" vertical="center" wrapText="1"/>
    </xf>
    <xf numFmtId="0" fontId="2" fillId="0" borderId="14" xfId="0" applyNumberFormat="1" applyFont="1" applyFill="1" applyBorder="1" applyAlignment="1" applyProtection="1">
      <alignment horizontal="center" vertical="center" wrapText="1"/>
    </xf>
    <xf numFmtId="0" fontId="2" fillId="0" borderId="13" xfId="0" applyNumberFormat="1" applyFont="1" applyFill="1" applyBorder="1" applyAlignment="1" applyProtection="1">
      <alignment horizontal="center" vertical="center" wrapText="1"/>
    </xf>
    <xf numFmtId="0" fontId="10" fillId="0" borderId="0" xfId="0" applyFont="1"/>
    <xf numFmtId="0" fontId="0" fillId="0" borderId="0" xfId="0" applyFont="1"/>
    <xf numFmtId="0" fontId="0" fillId="0" borderId="0" xfId="0" applyFont="1" applyAlignment="1">
      <alignment horizontal="center"/>
    </xf>
    <xf numFmtId="0" fontId="0" fillId="0" borderId="0" xfId="0" applyFont="1" applyFill="1"/>
    <xf numFmtId="0" fontId="2" fillId="25" borderId="29" xfId="0" applyNumberFormat="1" applyFont="1" applyFill="1" applyBorder="1" applyAlignment="1" applyProtection="1">
      <alignment horizontal="center" vertical="center" wrapText="1"/>
    </xf>
    <xf numFmtId="0" fontId="2" fillId="0" borderId="13" xfId="0" applyNumberFormat="1" applyFont="1" applyFill="1" applyBorder="1" applyAlignment="1" applyProtection="1">
      <alignment horizontal="left" vertical="center" wrapText="1"/>
    </xf>
    <xf numFmtId="0" fontId="2" fillId="25" borderId="1" xfId="0" applyNumberFormat="1" applyFont="1" applyFill="1" applyBorder="1" applyAlignment="1" applyProtection="1">
      <alignment horizontal="center" vertical="center" wrapText="1"/>
    </xf>
    <xf numFmtId="0" fontId="5" fillId="25" borderId="13" xfId="0" applyNumberFormat="1" applyFont="1" applyFill="1" applyBorder="1" applyAlignment="1" applyProtection="1">
      <alignment horizontal="left" vertical="center" wrapText="1"/>
    </xf>
    <xf numFmtId="0" fontId="2" fillId="25" borderId="9" xfId="0" applyNumberFormat="1" applyFont="1" applyFill="1" applyBorder="1" applyAlignment="1" applyProtection="1">
      <alignment horizontal="center" vertical="center" wrapText="1"/>
    </xf>
    <xf numFmtId="0" fontId="3" fillId="25" borderId="12" xfId="0" applyNumberFormat="1" applyFont="1" applyFill="1" applyBorder="1" applyAlignment="1" applyProtection="1">
      <alignment horizontal="left" vertical="center" wrapText="1"/>
    </xf>
    <xf numFmtId="1" fontId="10" fillId="25" borderId="4" xfId="0" applyNumberFormat="1" applyFont="1" applyFill="1" applyBorder="1" applyAlignment="1">
      <alignment horizontal="center"/>
    </xf>
    <xf numFmtId="9" fontId="5" fillId="25" borderId="13" xfId="0" applyNumberFormat="1" applyFont="1" applyFill="1" applyBorder="1" applyAlignment="1" applyProtection="1">
      <alignment horizontal="left" vertical="center" wrapText="1"/>
    </xf>
    <xf numFmtId="9" fontId="5" fillId="25" borderId="14" xfId="0" applyNumberFormat="1" applyFont="1" applyFill="1" applyBorder="1" applyAlignment="1" applyProtection="1">
      <alignment horizontal="left" vertical="center" wrapText="1"/>
    </xf>
    <xf numFmtId="0" fontId="5" fillId="0" borderId="13" xfId="0" applyNumberFormat="1" applyFont="1" applyFill="1" applyBorder="1" applyAlignment="1" applyProtection="1">
      <alignment horizontal="left" vertical="center" wrapText="1"/>
    </xf>
    <xf numFmtId="0" fontId="2" fillId="0" borderId="1" xfId="0" applyNumberFormat="1" applyFont="1" applyFill="1" applyBorder="1" applyAlignment="1" applyProtection="1">
      <alignment horizontal="center" vertical="center" wrapText="1"/>
    </xf>
    <xf numFmtId="0" fontId="0" fillId="0" borderId="0" xfId="0" applyFont="1" applyBorder="1"/>
    <xf numFmtId="0" fontId="0" fillId="0" borderId="70" xfId="0" applyBorder="1"/>
    <xf numFmtId="0" fontId="13" fillId="0" borderId="0" xfId="0" applyFont="1" applyFill="1" applyBorder="1"/>
    <xf numFmtId="0" fontId="0" fillId="0" borderId="0" xfId="0" applyFont="1" applyFill="1" applyBorder="1"/>
    <xf numFmtId="0" fontId="32" fillId="25" borderId="0" xfId="54" applyFont="1" applyFill="1" applyBorder="1"/>
    <xf numFmtId="170" fontId="2" fillId="0" borderId="1" xfId="1" applyNumberFormat="1" applyFont="1" applyFill="1" applyBorder="1" applyAlignment="1" applyProtection="1">
      <alignment horizontal="center" vertical="center" wrapText="1"/>
    </xf>
    <xf numFmtId="44" fontId="2" fillId="0" borderId="6" xfId="53" applyFont="1" applyFill="1" applyBorder="1" applyAlignment="1" applyProtection="1">
      <alignment horizontal="center" vertical="center" wrapText="1"/>
    </xf>
    <xf numFmtId="44" fontId="2" fillId="25" borderId="1" xfId="53" applyFont="1" applyFill="1" applyBorder="1" applyAlignment="1" applyProtection="1">
      <alignment horizontal="center" vertical="center" wrapText="1"/>
    </xf>
    <xf numFmtId="44" fontId="2" fillId="0" borderId="1" xfId="53" applyFont="1" applyFill="1" applyBorder="1" applyAlignment="1" applyProtection="1">
      <alignment horizontal="center" vertical="center" wrapText="1"/>
    </xf>
    <xf numFmtId="44" fontId="2" fillId="25" borderId="9" xfId="53" applyFont="1" applyFill="1" applyBorder="1" applyAlignment="1" applyProtection="1">
      <alignment horizontal="center" vertical="center" wrapText="1"/>
    </xf>
    <xf numFmtId="165" fontId="2" fillId="0" borderId="6" xfId="0" applyNumberFormat="1" applyFont="1" applyFill="1" applyBorder="1" applyAlignment="1" applyProtection="1">
      <alignment horizontal="center" vertical="center" wrapText="1"/>
    </xf>
    <xf numFmtId="165" fontId="2" fillId="25" borderId="1" xfId="0" applyNumberFormat="1" applyFont="1" applyFill="1" applyBorder="1" applyAlignment="1" applyProtection="1">
      <alignment horizontal="center" vertical="center" wrapText="1"/>
    </xf>
    <xf numFmtId="165" fontId="2" fillId="0" borderId="1" xfId="0" applyNumberFormat="1" applyFont="1" applyFill="1" applyBorder="1" applyAlignment="1" applyProtection="1">
      <alignment horizontal="center" vertical="center" wrapText="1"/>
    </xf>
    <xf numFmtId="165" fontId="2" fillId="25" borderId="9" xfId="0" applyNumberFormat="1" applyFont="1" applyFill="1" applyBorder="1" applyAlignment="1" applyProtection="1">
      <alignment horizontal="center" vertical="center" wrapText="1"/>
    </xf>
    <xf numFmtId="0" fontId="0" fillId="0" borderId="0" xfId="0"/>
    <xf numFmtId="0" fontId="0" fillId="0" borderId="0" xfId="0" applyBorder="1"/>
    <xf numFmtId="0" fontId="2" fillId="0" borderId="29" xfId="0" applyNumberFormat="1" applyFont="1" applyFill="1" applyBorder="1" applyAlignment="1" applyProtection="1">
      <alignment horizontal="center" wrapText="1"/>
    </xf>
    <xf numFmtId="0" fontId="3" fillId="0" borderId="11" xfId="0" applyNumberFormat="1" applyFont="1" applyFill="1" applyBorder="1" applyAlignment="1" applyProtection="1">
      <alignment horizontal="left" vertical="center" wrapText="1"/>
    </xf>
    <xf numFmtId="2" fontId="0" fillId="0" borderId="1" xfId="0" applyNumberFormat="1" applyFont="1" applyBorder="1" applyAlignment="1">
      <alignment horizontal="center"/>
    </xf>
    <xf numFmtId="0" fontId="6" fillId="0" borderId="11" xfId="0" applyFont="1" applyBorder="1" applyAlignment="1">
      <alignment horizontal="left" vertical="center" wrapText="1"/>
    </xf>
    <xf numFmtId="0" fontId="2" fillId="2" borderId="4" xfId="0" applyNumberFormat="1" applyFont="1" applyFill="1" applyBorder="1" applyAlignment="1" applyProtection="1">
      <alignment horizontal="left" wrapText="1"/>
    </xf>
    <xf numFmtId="0" fontId="5" fillId="2" borderId="4" xfId="0" applyNumberFormat="1" applyFont="1" applyFill="1" applyBorder="1" applyAlignment="1" applyProtection="1">
      <alignment horizontal="center" vertical="center" wrapText="1"/>
    </xf>
    <xf numFmtId="0" fontId="5" fillId="2" borderId="23" xfId="0" applyNumberFormat="1" applyFont="1" applyFill="1" applyBorder="1" applyAlignment="1" applyProtection="1">
      <alignment horizontal="center" vertical="center" wrapText="1"/>
    </xf>
    <xf numFmtId="0" fontId="31" fillId="25" borderId="0" xfId="0" applyNumberFormat="1" applyFont="1" applyFill="1" applyBorder="1" applyAlignment="1" applyProtection="1">
      <alignment vertical="center" wrapText="1"/>
    </xf>
    <xf numFmtId="0" fontId="2" fillId="0" borderId="17" xfId="0" applyNumberFormat="1" applyFont="1" applyFill="1" applyBorder="1" applyAlignment="1" applyProtection="1">
      <alignment horizontal="center" vertical="center" wrapText="1"/>
    </xf>
    <xf numFmtId="0" fontId="4" fillId="0" borderId="10" xfId="0" applyNumberFormat="1" applyFont="1" applyFill="1" applyBorder="1" applyAlignment="1" applyProtection="1">
      <alignment horizontal="left" vertical="center" wrapText="1"/>
    </xf>
    <xf numFmtId="0" fontId="2" fillId="2" borderId="46" xfId="0" applyNumberFormat="1" applyFont="1" applyFill="1" applyBorder="1" applyAlignment="1" applyProtection="1">
      <alignment horizontal="left" wrapText="1"/>
    </xf>
    <xf numFmtId="0" fontId="2" fillId="2" borderId="47" xfId="0" applyNumberFormat="1" applyFont="1" applyFill="1" applyBorder="1" applyAlignment="1" applyProtection="1">
      <alignment horizontal="left" wrapText="1"/>
    </xf>
    <xf numFmtId="0" fontId="5" fillId="2" borderId="23" xfId="0" applyNumberFormat="1" applyFont="1" applyFill="1" applyBorder="1" applyAlignment="1" applyProtection="1">
      <alignment horizontal="left" wrapText="1"/>
    </xf>
    <xf numFmtId="0" fontId="5" fillId="2" borderId="65" xfId="0" applyNumberFormat="1" applyFont="1" applyFill="1" applyBorder="1" applyAlignment="1" applyProtection="1">
      <alignment horizontal="center" vertical="center" wrapText="1"/>
    </xf>
    <xf numFmtId="0" fontId="5" fillId="2" borderId="66" xfId="0" applyNumberFormat="1" applyFont="1" applyFill="1" applyBorder="1" applyAlignment="1" applyProtection="1">
      <alignment horizontal="center" vertical="center" wrapText="1"/>
    </xf>
    <xf numFmtId="0" fontId="5" fillId="2" borderId="4" xfId="0" applyNumberFormat="1" applyFont="1" applyFill="1" applyBorder="1" applyAlignment="1" applyProtection="1">
      <alignment horizontal="left" wrapText="1"/>
    </xf>
    <xf numFmtId="0" fontId="1" fillId="0" borderId="29" xfId="0" applyFont="1" applyBorder="1" applyAlignment="1">
      <alignment horizontal="left" vertical="center"/>
    </xf>
    <xf numFmtId="0" fontId="4" fillId="0" borderId="29" xfId="0" applyNumberFormat="1" applyFont="1" applyFill="1" applyBorder="1" applyAlignment="1" applyProtection="1">
      <alignment horizontal="left" vertical="center" wrapText="1"/>
    </xf>
    <xf numFmtId="0" fontId="7" fillId="0" borderId="0" xfId="0" applyNumberFormat="1" applyFont="1" applyFill="1" applyBorder="1" applyAlignment="1" applyProtection="1">
      <alignment horizontal="center" vertical="center" wrapText="1"/>
    </xf>
    <xf numFmtId="0" fontId="7" fillId="0" borderId="30" xfId="0" applyNumberFormat="1" applyFont="1" applyFill="1" applyBorder="1" applyAlignment="1" applyProtection="1">
      <alignment horizontal="center" vertical="center" wrapText="1"/>
    </xf>
    <xf numFmtId="0" fontId="7" fillId="0" borderId="17" xfId="0" applyNumberFormat="1" applyFont="1" applyFill="1" applyBorder="1" applyAlignment="1" applyProtection="1">
      <alignment vertical="center" wrapText="1"/>
    </xf>
    <xf numFmtId="0" fontId="7" fillId="0" borderId="29" xfId="0" applyNumberFormat="1" applyFont="1" applyFill="1" applyBorder="1" applyAlignment="1" applyProtection="1">
      <alignment vertical="center" wrapText="1"/>
    </xf>
    <xf numFmtId="0" fontId="7" fillId="0" borderId="38" xfId="0" applyNumberFormat="1" applyFont="1" applyFill="1" applyBorder="1" applyAlignment="1" applyProtection="1">
      <alignment horizontal="center" vertical="center" wrapText="1"/>
    </xf>
    <xf numFmtId="0" fontId="34" fillId="25" borderId="4" xfId="0" applyNumberFormat="1" applyFont="1" applyFill="1" applyBorder="1" applyAlignment="1" applyProtection="1">
      <alignment horizontal="right" vertical="center" wrapText="1"/>
    </xf>
    <xf numFmtId="0" fontId="0" fillId="2" borderId="0" xfId="0" applyFill="1"/>
    <xf numFmtId="0" fontId="0" fillId="0" borderId="34" xfId="0" applyFont="1" applyBorder="1" applyAlignment="1">
      <alignment horizontal="center"/>
    </xf>
    <xf numFmtId="0" fontId="32" fillId="0" borderId="0" xfId="0" applyFont="1" applyAlignment="1" applyProtection="1">
      <protection locked="0"/>
    </xf>
    <xf numFmtId="0" fontId="32" fillId="0" borderId="0" xfId="0" applyFont="1" applyFill="1" applyBorder="1" applyAlignment="1" applyProtection="1">
      <protection locked="0"/>
    </xf>
    <xf numFmtId="0" fontId="33" fillId="33" borderId="85" xfId="44" applyFont="1" applyFill="1" applyBorder="1" applyAlignment="1">
      <alignment vertical="center" wrapText="1"/>
    </xf>
    <xf numFmtId="1" fontId="1" fillId="25" borderId="6" xfId="0" applyNumberFormat="1" applyFont="1" applyFill="1" applyBorder="1" applyAlignment="1">
      <alignment horizontal="center" vertical="center"/>
    </xf>
    <xf numFmtId="0" fontId="1" fillId="25" borderId="6" xfId="0" applyFont="1" applyFill="1" applyBorder="1" applyAlignment="1">
      <alignment horizontal="center" vertical="center"/>
    </xf>
    <xf numFmtId="170" fontId="1" fillId="25" borderId="6" xfId="1" applyNumberFormat="1" applyFont="1" applyFill="1" applyBorder="1" applyAlignment="1">
      <alignment horizontal="center" vertical="center"/>
    </xf>
    <xf numFmtId="44" fontId="1" fillId="25" borderId="6" xfId="53" applyFont="1" applyFill="1" applyBorder="1" applyAlignment="1">
      <alignment horizontal="center" vertical="center"/>
    </xf>
    <xf numFmtId="165" fontId="1" fillId="25" borderId="6" xfId="0" applyNumberFormat="1" applyFont="1" applyFill="1" applyBorder="1" applyAlignment="1">
      <alignment horizontal="center" vertical="center"/>
    </xf>
    <xf numFmtId="1" fontId="1" fillId="25" borderId="7" xfId="0" applyNumberFormat="1" applyFont="1" applyFill="1" applyBorder="1" applyAlignment="1">
      <alignment horizontal="center" vertical="center"/>
    </xf>
    <xf numFmtId="1" fontId="1" fillId="25" borderId="42" xfId="0" applyNumberFormat="1" applyFont="1" applyFill="1" applyBorder="1" applyAlignment="1">
      <alignment horizontal="center" vertical="center"/>
    </xf>
    <xf numFmtId="1" fontId="1" fillId="25" borderId="1" xfId="0" applyNumberFormat="1" applyFont="1" applyFill="1" applyBorder="1" applyAlignment="1">
      <alignment horizontal="center" vertical="center"/>
    </xf>
    <xf numFmtId="0" fontId="1" fillId="25" borderId="1" xfId="0" applyFont="1" applyFill="1" applyBorder="1" applyAlignment="1">
      <alignment horizontal="center" vertical="center"/>
    </xf>
    <xf numFmtId="170" fontId="1" fillId="25" borderId="1" xfId="1" applyNumberFormat="1" applyFont="1" applyFill="1" applyBorder="1" applyAlignment="1">
      <alignment horizontal="center" vertical="center"/>
    </xf>
    <xf numFmtId="2" fontId="1" fillId="25" borderId="1" xfId="0" applyNumberFormat="1" applyFont="1" applyFill="1" applyBorder="1" applyAlignment="1">
      <alignment horizontal="center" vertical="center"/>
    </xf>
    <xf numFmtId="44" fontId="1" fillId="25" borderId="1" xfId="53" applyFont="1" applyFill="1" applyBorder="1" applyAlignment="1">
      <alignment horizontal="center" vertical="center"/>
    </xf>
    <xf numFmtId="165" fontId="1" fillId="25" borderId="1" xfId="0" applyNumberFormat="1" applyFont="1" applyFill="1" applyBorder="1" applyAlignment="1">
      <alignment horizontal="center" vertical="center"/>
    </xf>
    <xf numFmtId="1" fontId="1" fillId="25" borderId="9" xfId="0" applyNumberFormat="1" applyFont="1" applyFill="1" applyBorder="1" applyAlignment="1">
      <alignment horizontal="center" vertical="center"/>
    </xf>
    <xf numFmtId="0" fontId="1" fillId="25" borderId="9" xfId="0" applyFont="1" applyFill="1" applyBorder="1" applyAlignment="1">
      <alignment horizontal="center" vertical="center"/>
    </xf>
    <xf numFmtId="44" fontId="1" fillId="25" borderId="9" xfId="53" applyFont="1" applyFill="1" applyBorder="1" applyAlignment="1">
      <alignment horizontal="center" vertical="center"/>
    </xf>
    <xf numFmtId="165" fontId="1" fillId="25" borderId="9" xfId="0" applyNumberFormat="1" applyFont="1" applyFill="1" applyBorder="1" applyAlignment="1">
      <alignment horizontal="center" vertical="center"/>
    </xf>
    <xf numFmtId="1" fontId="1" fillId="0" borderId="78" xfId="0" applyNumberFormat="1" applyFont="1" applyBorder="1" applyAlignment="1">
      <alignment horizontal="center" vertical="center"/>
    </xf>
    <xf numFmtId="1" fontId="1" fillId="0" borderId="7" xfId="0" applyNumberFormat="1" applyFont="1" applyBorder="1" applyAlignment="1">
      <alignment horizontal="center" vertical="center"/>
    </xf>
    <xf numFmtId="1" fontId="1" fillId="0" borderId="1" xfId="0" applyNumberFormat="1" applyFont="1" applyBorder="1" applyAlignment="1">
      <alignment horizontal="center" vertical="center"/>
    </xf>
    <xf numFmtId="0" fontId="1" fillId="0" borderId="42" xfId="0" applyFont="1" applyBorder="1" applyAlignment="1">
      <alignment horizontal="center" vertical="center"/>
    </xf>
    <xf numFmtId="0" fontId="1" fillId="0" borderId="1" xfId="0" applyFont="1" applyBorder="1" applyAlignment="1">
      <alignment horizontal="center" vertical="center"/>
    </xf>
    <xf numFmtId="170" fontId="1" fillId="0" borderId="1" xfId="1" applyNumberFormat="1" applyFont="1" applyBorder="1" applyAlignment="1">
      <alignment horizontal="center" vertical="center"/>
    </xf>
    <xf numFmtId="44" fontId="1" fillId="0" borderId="1" xfId="53" applyFont="1" applyBorder="1" applyAlignment="1">
      <alignment horizontal="center" vertical="center"/>
    </xf>
    <xf numFmtId="165" fontId="1" fillId="0" borderId="1" xfId="0" applyNumberFormat="1" applyFont="1" applyBorder="1" applyAlignment="1">
      <alignment horizontal="center" vertical="center"/>
    </xf>
    <xf numFmtId="0" fontId="1" fillId="0" borderId="1" xfId="0" applyFont="1" applyFill="1" applyBorder="1" applyAlignment="1">
      <alignment horizontal="center" vertical="center"/>
    </xf>
    <xf numFmtId="44" fontId="1" fillId="0" borderId="1" xfId="53" applyFont="1" applyFill="1" applyBorder="1" applyAlignment="1">
      <alignment horizontal="center" vertical="center"/>
    </xf>
    <xf numFmtId="165" fontId="1" fillId="0" borderId="1" xfId="0" applyNumberFormat="1" applyFont="1" applyFill="1" applyBorder="1" applyAlignment="1">
      <alignment horizontal="center" vertical="center"/>
    </xf>
    <xf numFmtId="0" fontId="1" fillId="25" borderId="42" xfId="0" applyFont="1" applyFill="1" applyBorder="1" applyAlignment="1">
      <alignment horizontal="center" vertical="center"/>
    </xf>
    <xf numFmtId="0" fontId="1" fillId="0" borderId="40" xfId="0" applyFont="1" applyFill="1" applyBorder="1" applyAlignment="1">
      <alignment horizontal="center" vertical="center"/>
    </xf>
    <xf numFmtId="0" fontId="1" fillId="0" borderId="3" xfId="0" applyFont="1" applyFill="1" applyBorder="1" applyAlignment="1">
      <alignment horizontal="center" vertical="center"/>
    </xf>
    <xf numFmtId="1" fontId="1" fillId="25" borderId="42" xfId="0" quotePrefix="1" applyNumberFormat="1" applyFont="1" applyFill="1" applyBorder="1" applyAlignment="1">
      <alignment horizontal="center" vertical="center"/>
    </xf>
    <xf numFmtId="167" fontId="32" fillId="33" borderId="39" xfId="44" applyNumberFormat="1" applyFont="1" applyFill="1" applyBorder="1" applyAlignment="1">
      <alignment horizontal="center" vertical="center"/>
    </xf>
    <xf numFmtId="0" fontId="2" fillId="32" borderId="2" xfId="0" applyFont="1" applyFill="1" applyBorder="1" applyAlignment="1" applyProtection="1">
      <alignment wrapText="1"/>
    </xf>
    <xf numFmtId="0" fontId="2" fillId="32" borderId="84" xfId="0" applyFont="1" applyFill="1" applyBorder="1" applyAlignment="1" applyProtection="1">
      <alignment wrapText="1"/>
    </xf>
    <xf numFmtId="0" fontId="2" fillId="32" borderId="0" xfId="0" applyFont="1" applyFill="1" applyBorder="1" applyAlignment="1" applyProtection="1">
      <alignment wrapText="1"/>
    </xf>
    <xf numFmtId="170" fontId="2" fillId="0" borderId="3" xfId="1" applyNumberFormat="1" applyFont="1" applyFill="1" applyBorder="1" applyAlignment="1" applyProtection="1">
      <alignment horizontal="center" vertical="center" wrapText="1"/>
    </xf>
    <xf numFmtId="44" fontId="1" fillId="0" borderId="3" xfId="53" applyFont="1" applyFill="1" applyBorder="1" applyAlignment="1">
      <alignment horizontal="center" vertical="center"/>
    </xf>
    <xf numFmtId="165" fontId="1" fillId="0" borderId="3" xfId="0" applyNumberFormat="1" applyFont="1" applyFill="1" applyBorder="1" applyAlignment="1">
      <alignment horizontal="center" vertical="center"/>
    </xf>
    <xf numFmtId="0" fontId="1" fillId="0" borderId="50" xfId="0" applyFont="1" applyFill="1" applyBorder="1" applyAlignment="1">
      <alignment horizontal="center" vertical="center"/>
    </xf>
    <xf numFmtId="0" fontId="1" fillId="0" borderId="35" xfId="0" applyFont="1" applyFill="1" applyBorder="1" applyAlignment="1">
      <alignment horizontal="center" vertical="center"/>
    </xf>
    <xf numFmtId="170" fontId="1" fillId="0" borderId="35" xfId="1" applyNumberFormat="1" applyFont="1" applyBorder="1" applyAlignment="1">
      <alignment horizontal="center" vertical="center"/>
    </xf>
    <xf numFmtId="44" fontId="1" fillId="0" borderId="35" xfId="53" applyFont="1" applyFill="1" applyBorder="1" applyAlignment="1">
      <alignment horizontal="center" vertical="center"/>
    </xf>
    <xf numFmtId="165" fontId="1" fillId="0" borderId="35" xfId="0" applyNumberFormat="1" applyFont="1" applyFill="1" applyBorder="1" applyAlignment="1">
      <alignment horizontal="center" vertical="center"/>
    </xf>
    <xf numFmtId="0" fontId="1" fillId="32" borderId="0" xfId="0" applyFont="1" applyFill="1" applyBorder="1" applyAlignment="1">
      <alignment horizontal="center" vertical="center"/>
    </xf>
    <xf numFmtId="170" fontId="2" fillId="32" borderId="0" xfId="1" applyNumberFormat="1" applyFont="1" applyFill="1" applyBorder="1" applyAlignment="1" applyProtection="1">
      <alignment horizontal="center" vertical="center" wrapText="1"/>
    </xf>
    <xf numFmtId="2" fontId="1" fillId="32" borderId="0" xfId="0" applyNumberFormat="1" applyFont="1" applyFill="1" applyBorder="1" applyAlignment="1">
      <alignment horizontal="center" vertical="center"/>
    </xf>
    <xf numFmtId="44" fontId="1" fillId="32" borderId="0" xfId="53" applyFont="1" applyFill="1" applyBorder="1" applyAlignment="1">
      <alignment horizontal="center" vertical="center"/>
    </xf>
    <xf numFmtId="165" fontId="1" fillId="32" borderId="0" xfId="0" applyNumberFormat="1" applyFont="1" applyFill="1" applyBorder="1" applyAlignment="1">
      <alignment horizontal="center" vertical="center"/>
    </xf>
    <xf numFmtId="0" fontId="5" fillId="25" borderId="13" xfId="0" applyNumberFormat="1" applyFont="1" applyFill="1" applyBorder="1" applyAlignment="1" applyProtection="1">
      <alignment horizontal="left" vertical="top" wrapText="1"/>
    </xf>
    <xf numFmtId="0" fontId="51" fillId="0" borderId="13" xfId="0" applyNumberFormat="1" applyFont="1" applyFill="1" applyBorder="1" applyAlignment="1" applyProtection="1">
      <alignment horizontal="center" vertical="center" wrapText="1"/>
    </xf>
    <xf numFmtId="0" fontId="1" fillId="0" borderId="7" xfId="0" applyFont="1" applyFill="1" applyBorder="1" applyAlignment="1">
      <alignment horizontal="center" vertical="center"/>
    </xf>
    <xf numFmtId="0" fontId="50" fillId="0" borderId="17" xfId="0" applyNumberFormat="1" applyFont="1" applyFill="1" applyBorder="1" applyAlignment="1" applyProtection="1">
      <alignment vertical="center" wrapText="1"/>
    </xf>
    <xf numFmtId="2" fontId="0" fillId="0" borderId="0" xfId="0" applyNumberFormat="1" applyFont="1"/>
    <xf numFmtId="165" fontId="0" fillId="0" borderId="0" xfId="0" applyNumberFormat="1" applyFont="1"/>
    <xf numFmtId="0" fontId="7" fillId="0" borderId="29"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3" fillId="0" borderId="13" xfId="0" applyNumberFormat="1" applyFont="1" applyFill="1" applyBorder="1" applyAlignment="1" applyProtection="1">
      <alignment horizontal="left" vertical="top" wrapText="1"/>
    </xf>
    <xf numFmtId="0" fontId="5" fillId="0" borderId="13" xfId="0" applyNumberFormat="1" applyFont="1" applyFill="1" applyBorder="1" applyAlignment="1" applyProtection="1">
      <alignment horizontal="left" vertical="top" wrapText="1"/>
    </xf>
    <xf numFmtId="0" fontId="5" fillId="0" borderId="14" xfId="0" applyNumberFormat="1" applyFont="1" applyFill="1" applyBorder="1" applyAlignment="1" applyProtection="1">
      <alignment horizontal="left" vertical="top" wrapText="1"/>
    </xf>
    <xf numFmtId="0" fontId="5" fillId="25" borderId="12" xfId="0" applyNumberFormat="1" applyFont="1" applyFill="1" applyBorder="1" applyAlignment="1" applyProtection="1">
      <alignment horizontal="left" vertical="center" wrapText="1"/>
    </xf>
    <xf numFmtId="44" fontId="4" fillId="25" borderId="9" xfId="53" applyFont="1" applyFill="1" applyBorder="1" applyAlignment="1" applyProtection="1">
      <alignment horizontal="center" vertical="center" wrapText="1"/>
    </xf>
    <xf numFmtId="44" fontId="4" fillId="25" borderId="1" xfId="53" applyFont="1" applyFill="1" applyBorder="1" applyAlignment="1" applyProtection="1">
      <alignment horizontal="center" vertical="center" wrapText="1"/>
    </xf>
    <xf numFmtId="44" fontId="4" fillId="25" borderId="3" xfId="53" applyFont="1" applyFill="1" applyBorder="1" applyAlignment="1" applyProtection="1">
      <alignment horizontal="center" vertical="center" wrapText="1"/>
    </xf>
    <xf numFmtId="44" fontId="4" fillId="25" borderId="94" xfId="53" applyFont="1" applyFill="1" applyBorder="1" applyAlignment="1" applyProtection="1">
      <alignment horizontal="center" vertical="center" wrapText="1"/>
    </xf>
    <xf numFmtId="44" fontId="1" fillId="0" borderId="35" xfId="53" applyFont="1" applyBorder="1" applyAlignment="1">
      <alignment horizontal="center" vertical="center"/>
    </xf>
    <xf numFmtId="44" fontId="4" fillId="25" borderId="50" xfId="53" applyFont="1" applyFill="1" applyBorder="1" applyAlignment="1" applyProtection="1">
      <alignment horizontal="center" vertical="center" wrapText="1"/>
    </xf>
    <xf numFmtId="0" fontId="7" fillId="0" borderId="33" xfId="0" applyNumberFormat="1" applyFont="1" applyFill="1" applyBorder="1" applyAlignment="1" applyProtection="1">
      <alignment horizontal="center" vertical="center" wrapText="1"/>
    </xf>
    <xf numFmtId="0" fontId="6" fillId="0" borderId="29" xfId="0" applyFont="1" applyBorder="1" applyAlignment="1">
      <alignment horizontal="left" vertical="center" wrapText="1"/>
    </xf>
    <xf numFmtId="0" fontId="1" fillId="32" borderId="36" xfId="0" applyFont="1" applyFill="1" applyBorder="1" applyAlignment="1">
      <alignment horizontal="center" vertical="center"/>
    </xf>
    <xf numFmtId="0" fontId="14" fillId="0" borderId="33" xfId="0" applyFont="1" applyBorder="1" applyAlignment="1">
      <alignment horizontal="center" wrapText="1"/>
    </xf>
    <xf numFmtId="0" fontId="14" fillId="0" borderId="31" xfId="0" applyFont="1" applyBorder="1" applyAlignment="1">
      <alignment horizontal="center" wrapText="1"/>
    </xf>
    <xf numFmtId="0" fontId="5" fillId="25" borderId="61" xfId="0" applyNumberFormat="1" applyFont="1" applyFill="1" applyBorder="1" applyAlignment="1" applyProtection="1">
      <alignment horizontal="left" vertical="center" wrapText="1"/>
    </xf>
    <xf numFmtId="0" fontId="3" fillId="25" borderId="10" xfId="0" applyNumberFormat="1" applyFont="1" applyFill="1" applyBorder="1" applyAlignment="1" applyProtection="1">
      <alignment horizontal="left" vertical="center" wrapText="1"/>
    </xf>
    <xf numFmtId="0" fontId="5" fillId="25" borderId="20" xfId="0" applyNumberFormat="1" applyFont="1" applyFill="1" applyBorder="1" applyAlignment="1" applyProtection="1">
      <alignment horizontal="left" vertical="center" wrapText="1"/>
    </xf>
    <xf numFmtId="44" fontId="4" fillId="25" borderId="6" xfId="53" applyFont="1" applyFill="1" applyBorder="1" applyAlignment="1" applyProtection="1">
      <alignment horizontal="center" vertical="center" wrapText="1"/>
    </xf>
    <xf numFmtId="165" fontId="1" fillId="25" borderId="49" xfId="0" applyNumberFormat="1" applyFont="1" applyFill="1" applyBorder="1" applyAlignment="1">
      <alignment horizontal="center" vertical="center"/>
    </xf>
    <xf numFmtId="165" fontId="1" fillId="25" borderId="34" xfId="0" applyNumberFormat="1" applyFont="1" applyFill="1" applyBorder="1" applyAlignment="1">
      <alignment horizontal="center" vertical="center"/>
    </xf>
    <xf numFmtId="165" fontId="1" fillId="25" borderId="37" xfId="0" applyNumberFormat="1" applyFont="1" applyFill="1" applyBorder="1" applyAlignment="1">
      <alignment horizontal="center" vertical="center"/>
    </xf>
    <xf numFmtId="44" fontId="4" fillId="25" borderId="48" xfId="53" applyFont="1" applyFill="1" applyBorder="1" applyAlignment="1" applyProtection="1">
      <alignment horizontal="center" vertical="center" wrapText="1"/>
    </xf>
    <xf numFmtId="165" fontId="1" fillId="0" borderId="34" xfId="0" applyNumberFormat="1" applyFont="1" applyBorder="1" applyAlignment="1">
      <alignment horizontal="center" vertical="center"/>
    </xf>
    <xf numFmtId="0" fontId="1" fillId="25" borderId="7" xfId="0" applyFont="1" applyFill="1" applyBorder="1" applyAlignment="1">
      <alignment horizontal="center" vertical="center"/>
    </xf>
    <xf numFmtId="165" fontId="2" fillId="0" borderId="49" xfId="0" applyNumberFormat="1" applyFont="1" applyFill="1" applyBorder="1" applyAlignment="1" applyProtection="1">
      <alignment horizontal="center" vertical="center" wrapText="1"/>
    </xf>
    <xf numFmtId="165" fontId="2" fillId="25" borderId="34" xfId="0" applyNumberFormat="1" applyFont="1" applyFill="1" applyBorder="1" applyAlignment="1" applyProtection="1">
      <alignment horizontal="center" vertical="center" wrapText="1"/>
    </xf>
    <xf numFmtId="165" fontId="2" fillId="0" borderId="34" xfId="0" applyNumberFormat="1" applyFont="1" applyFill="1" applyBorder="1" applyAlignment="1" applyProtection="1">
      <alignment horizontal="center" vertical="center" wrapText="1"/>
    </xf>
    <xf numFmtId="165" fontId="2" fillId="25" borderId="37" xfId="0" applyNumberFormat="1" applyFont="1" applyFill="1" applyBorder="1" applyAlignment="1" applyProtection="1">
      <alignment horizontal="center" vertical="center" wrapText="1"/>
    </xf>
    <xf numFmtId="165" fontId="1" fillId="32" borderId="47" xfId="0" applyNumberFormat="1" applyFont="1" applyFill="1" applyBorder="1" applyAlignment="1">
      <alignment horizontal="center" vertical="center"/>
    </xf>
    <xf numFmtId="165" fontId="1" fillId="0" borderId="63" xfId="0" applyNumberFormat="1" applyFont="1" applyFill="1" applyBorder="1" applyAlignment="1">
      <alignment horizontal="center" vertical="center"/>
    </xf>
    <xf numFmtId="165" fontId="1" fillId="0" borderId="34" xfId="0" applyNumberFormat="1" applyFont="1" applyFill="1" applyBorder="1" applyAlignment="1">
      <alignment horizontal="center" vertical="center"/>
    </xf>
    <xf numFmtId="165" fontId="1" fillId="0" borderId="87" xfId="0" applyNumberFormat="1" applyFont="1" applyFill="1" applyBorder="1" applyAlignment="1">
      <alignment horizontal="center" vertical="center"/>
    </xf>
    <xf numFmtId="0" fontId="5" fillId="25" borderId="12" xfId="0" applyNumberFormat="1" applyFont="1" applyFill="1" applyBorder="1" applyAlignment="1" applyProtection="1">
      <alignment horizontal="left" vertical="center" wrapText="1"/>
    </xf>
    <xf numFmtId="0" fontId="5" fillId="25" borderId="14" xfId="0" applyNumberFormat="1" applyFont="1" applyFill="1" applyBorder="1" applyAlignment="1" applyProtection="1">
      <alignment horizontal="left" vertical="center" wrapText="1"/>
    </xf>
    <xf numFmtId="0" fontId="1" fillId="0" borderId="89" xfId="0" applyFont="1" applyFill="1" applyBorder="1" applyAlignment="1">
      <alignment horizontal="center" vertical="center"/>
    </xf>
    <xf numFmtId="1" fontId="1" fillId="0" borderId="3" xfId="0" applyNumberFormat="1" applyFont="1" applyBorder="1" applyAlignment="1">
      <alignment horizontal="center" vertical="center"/>
    </xf>
    <xf numFmtId="44" fontId="4" fillId="25" borderId="35" xfId="53" applyFont="1" applyFill="1" applyBorder="1" applyAlignment="1" applyProtection="1">
      <alignment horizontal="center" vertical="center" wrapText="1"/>
    </xf>
    <xf numFmtId="0" fontId="1" fillId="0" borderId="11" xfId="0" applyFont="1" applyFill="1" applyBorder="1" applyAlignment="1">
      <alignment horizontal="center" vertical="center"/>
    </xf>
    <xf numFmtId="1" fontId="1" fillId="25" borderId="68" xfId="0" applyNumberFormat="1" applyFont="1" applyFill="1" applyBorder="1" applyAlignment="1">
      <alignment horizontal="center" vertical="center"/>
    </xf>
    <xf numFmtId="1" fontId="1" fillId="25" borderId="94" xfId="0" applyNumberFormat="1" applyFont="1" applyFill="1" applyBorder="1" applyAlignment="1">
      <alignment horizontal="center" vertical="center"/>
    </xf>
    <xf numFmtId="0" fontId="1" fillId="25" borderId="94" xfId="0" applyFont="1" applyFill="1" applyBorder="1" applyAlignment="1">
      <alignment horizontal="center" vertical="center"/>
    </xf>
    <xf numFmtId="170" fontId="1" fillId="25" borderId="94" xfId="1" applyNumberFormat="1" applyFont="1" applyFill="1" applyBorder="1" applyAlignment="1">
      <alignment horizontal="center" vertical="center"/>
    </xf>
    <xf numFmtId="44" fontId="1" fillId="25" borderId="94" xfId="53" applyFont="1" applyFill="1" applyBorder="1" applyAlignment="1">
      <alignment horizontal="center" vertical="center"/>
    </xf>
    <xf numFmtId="165" fontId="1" fillId="25" borderId="94" xfId="0" applyNumberFormat="1" applyFont="1" applyFill="1" applyBorder="1" applyAlignment="1">
      <alignment horizontal="center" vertical="center"/>
    </xf>
    <xf numFmtId="165" fontId="1" fillId="25" borderId="69" xfId="0" applyNumberFormat="1" applyFont="1" applyFill="1" applyBorder="1" applyAlignment="1">
      <alignment horizontal="center" vertical="center"/>
    </xf>
    <xf numFmtId="0" fontId="2" fillId="0" borderId="84" xfId="0" applyNumberFormat="1" applyFont="1" applyFill="1" applyBorder="1" applyAlignment="1" applyProtection="1">
      <alignment horizontal="left" vertical="center" wrapText="1"/>
    </xf>
    <xf numFmtId="0" fontId="50" fillId="0" borderId="12" xfId="0" applyNumberFormat="1" applyFont="1" applyFill="1" applyBorder="1" applyAlignment="1" applyProtection="1">
      <alignment horizontal="center" vertical="center" wrapText="1"/>
    </xf>
    <xf numFmtId="0" fontId="51" fillId="0" borderId="12" xfId="0" applyNumberFormat="1" applyFont="1" applyFill="1" applyBorder="1" applyAlignment="1" applyProtection="1">
      <alignment horizontal="center" vertical="center" wrapText="1"/>
    </xf>
    <xf numFmtId="0" fontId="3" fillId="34" borderId="12" xfId="0" applyNumberFormat="1" applyFont="1" applyFill="1" applyBorder="1" applyAlignment="1" applyProtection="1">
      <alignment horizontal="left" vertical="center" wrapText="1"/>
    </xf>
    <xf numFmtId="44" fontId="4" fillId="34" borderId="35" xfId="53" applyFont="1" applyFill="1" applyBorder="1" applyAlignment="1" applyProtection="1">
      <alignment horizontal="center" vertical="center" wrapText="1"/>
    </xf>
    <xf numFmtId="0" fontId="3" fillId="34" borderId="13" xfId="0" applyNumberFormat="1" applyFont="1" applyFill="1" applyBorder="1" applyAlignment="1" applyProtection="1">
      <alignment horizontal="left" vertical="center" wrapText="1"/>
    </xf>
    <xf numFmtId="0" fontId="4" fillId="34" borderId="1" xfId="0" applyNumberFormat="1" applyFont="1" applyFill="1" applyBorder="1" applyAlignment="1" applyProtection="1">
      <alignment horizontal="center" vertical="center" wrapText="1"/>
    </xf>
    <xf numFmtId="170" fontId="4" fillId="34" borderId="35" xfId="1" applyNumberFormat="1" applyFont="1" applyFill="1" applyBorder="1" applyAlignment="1" applyProtection="1">
      <alignment horizontal="center" vertical="center" wrapText="1"/>
    </xf>
    <xf numFmtId="44" fontId="4" fillId="34" borderId="1" xfId="53" applyFont="1" applyFill="1" applyBorder="1" applyAlignment="1" applyProtection="1">
      <alignment horizontal="center" vertical="center" wrapText="1"/>
    </xf>
    <xf numFmtId="165" fontId="4" fillId="34" borderId="1" xfId="0" applyNumberFormat="1" applyFont="1" applyFill="1" applyBorder="1" applyAlignment="1" applyProtection="1">
      <alignment horizontal="center" vertical="center" wrapText="1"/>
    </xf>
    <xf numFmtId="165" fontId="4" fillId="34" borderId="34" xfId="0" applyNumberFormat="1" applyFont="1" applyFill="1" applyBorder="1" applyAlignment="1" applyProtection="1">
      <alignment horizontal="center" vertical="center" wrapText="1"/>
    </xf>
    <xf numFmtId="0" fontId="3" fillId="34" borderId="14" xfId="0" applyNumberFormat="1" applyFont="1" applyFill="1" applyBorder="1" applyAlignment="1" applyProtection="1">
      <alignment horizontal="left" vertical="center" wrapText="1"/>
    </xf>
    <xf numFmtId="1" fontId="4" fillId="34" borderId="9" xfId="0" applyNumberFormat="1" applyFont="1" applyFill="1" applyBorder="1" applyAlignment="1" applyProtection="1">
      <alignment horizontal="center" vertical="center" wrapText="1"/>
    </xf>
    <xf numFmtId="0" fontId="4" fillId="34" borderId="9" xfId="0" applyNumberFormat="1" applyFont="1" applyFill="1" applyBorder="1" applyAlignment="1" applyProtection="1">
      <alignment horizontal="center" vertical="center" wrapText="1"/>
    </xf>
    <xf numFmtId="170" fontId="4" fillId="34" borderId="94" xfId="1" applyNumberFormat="1" applyFont="1" applyFill="1" applyBorder="1" applyAlignment="1" applyProtection="1">
      <alignment horizontal="center" vertical="center" wrapText="1"/>
    </xf>
    <xf numFmtId="170" fontId="4" fillId="34" borderId="9" xfId="1" applyNumberFormat="1" applyFont="1" applyFill="1" applyBorder="1" applyAlignment="1" applyProtection="1">
      <alignment horizontal="center" vertical="center" wrapText="1"/>
    </xf>
    <xf numFmtId="44" fontId="4" fillId="34" borderId="9" xfId="53" applyFont="1" applyFill="1" applyBorder="1" applyAlignment="1" applyProtection="1">
      <alignment horizontal="center" vertical="center" wrapText="1"/>
    </xf>
    <xf numFmtId="44" fontId="4" fillId="34" borderId="94" xfId="53" applyFont="1" applyFill="1" applyBorder="1" applyAlignment="1" applyProtection="1">
      <alignment horizontal="center" vertical="center" wrapText="1"/>
    </xf>
    <xf numFmtId="165" fontId="4" fillId="34" borderId="9" xfId="0" applyNumberFormat="1" applyFont="1" applyFill="1" applyBorder="1" applyAlignment="1" applyProtection="1">
      <alignment horizontal="center" vertical="center" wrapText="1"/>
    </xf>
    <xf numFmtId="165" fontId="4" fillId="34" borderId="37" xfId="0" applyNumberFormat="1" applyFont="1" applyFill="1" applyBorder="1" applyAlignment="1" applyProtection="1">
      <alignment horizontal="center" vertical="center" wrapText="1"/>
    </xf>
    <xf numFmtId="1" fontId="1" fillId="34" borderId="35" xfId="0" applyNumberFormat="1" applyFont="1" applyFill="1" applyBorder="1" applyAlignment="1">
      <alignment horizontal="center" vertical="center"/>
    </xf>
    <xf numFmtId="0" fontId="1" fillId="34" borderId="35" xfId="0" applyFont="1" applyFill="1" applyBorder="1" applyAlignment="1">
      <alignment horizontal="center" vertical="center"/>
    </xf>
    <xf numFmtId="44" fontId="1" fillId="34" borderId="35" xfId="53" applyFont="1" applyFill="1" applyBorder="1" applyAlignment="1">
      <alignment horizontal="center" vertical="center"/>
    </xf>
    <xf numFmtId="165" fontId="1" fillId="34" borderId="35" xfId="0" applyNumberFormat="1" applyFont="1" applyFill="1" applyBorder="1" applyAlignment="1">
      <alignment horizontal="center" vertical="center"/>
    </xf>
    <xf numFmtId="165" fontId="1" fillId="34" borderId="63" xfId="0" applyNumberFormat="1" applyFont="1" applyFill="1" applyBorder="1" applyAlignment="1">
      <alignment horizontal="center" vertical="center"/>
    </xf>
    <xf numFmtId="1" fontId="1" fillId="34" borderId="1" xfId="0" applyNumberFormat="1" applyFont="1" applyFill="1" applyBorder="1" applyAlignment="1">
      <alignment horizontal="center" vertical="center"/>
    </xf>
    <xf numFmtId="0" fontId="1" fillId="34" borderId="1" xfId="0" applyFont="1" applyFill="1" applyBorder="1" applyAlignment="1">
      <alignment horizontal="center" vertical="center"/>
    </xf>
    <xf numFmtId="44" fontId="1" fillId="34" borderId="1" xfId="53" applyFont="1" applyFill="1" applyBorder="1" applyAlignment="1">
      <alignment horizontal="center" vertical="center"/>
    </xf>
    <xf numFmtId="165" fontId="1" fillId="34" borderId="1" xfId="0" applyNumberFormat="1" applyFont="1" applyFill="1" applyBorder="1" applyAlignment="1">
      <alignment horizontal="center" vertical="center"/>
    </xf>
    <xf numFmtId="165" fontId="1" fillId="34" borderId="34" xfId="0" applyNumberFormat="1" applyFont="1" applyFill="1" applyBorder="1" applyAlignment="1">
      <alignment horizontal="center" vertical="center"/>
    </xf>
    <xf numFmtId="0" fontId="5" fillId="34" borderId="14" xfId="0" applyNumberFormat="1" applyFont="1" applyFill="1" applyBorder="1" applyAlignment="1" applyProtection="1">
      <alignment horizontal="left" vertical="center" wrapText="1"/>
    </xf>
    <xf numFmtId="1" fontId="1" fillId="34" borderId="3" xfId="0" applyNumberFormat="1" applyFont="1" applyFill="1" applyBorder="1" applyAlignment="1">
      <alignment horizontal="center" vertical="center"/>
    </xf>
    <xf numFmtId="0" fontId="1" fillId="34" borderId="3" xfId="0" applyFont="1" applyFill="1" applyBorder="1" applyAlignment="1">
      <alignment horizontal="center" vertical="center"/>
    </xf>
    <xf numFmtId="44" fontId="1" fillId="34" borderId="3" xfId="53" applyFont="1" applyFill="1" applyBorder="1" applyAlignment="1">
      <alignment horizontal="center" vertical="center"/>
    </xf>
    <xf numFmtId="44" fontId="4" fillId="34" borderId="3" xfId="53" applyFont="1" applyFill="1" applyBorder="1" applyAlignment="1" applyProtection="1">
      <alignment horizontal="center" vertical="center" wrapText="1"/>
    </xf>
    <xf numFmtId="165" fontId="1" fillId="34" borderId="3" xfId="0" applyNumberFormat="1" applyFont="1" applyFill="1" applyBorder="1" applyAlignment="1">
      <alignment horizontal="center" vertical="center"/>
    </xf>
    <xf numFmtId="165" fontId="1" fillId="34" borderId="87" xfId="0" applyNumberFormat="1" applyFont="1" applyFill="1" applyBorder="1" applyAlignment="1">
      <alignment horizontal="center" vertical="center"/>
    </xf>
    <xf numFmtId="0" fontId="5" fillId="34" borderId="15" xfId="0" applyNumberFormat="1" applyFont="1" applyFill="1" applyBorder="1" applyAlignment="1" applyProtection="1">
      <alignment horizontal="left" vertical="center" wrapText="1"/>
    </xf>
    <xf numFmtId="0" fontId="5" fillId="34" borderId="10" xfId="0" applyNumberFormat="1" applyFont="1" applyFill="1" applyBorder="1" applyAlignment="1" applyProtection="1">
      <alignment horizontal="left" vertical="center" wrapText="1"/>
    </xf>
    <xf numFmtId="0" fontId="5" fillId="34" borderId="23" xfId="0" applyNumberFormat="1" applyFont="1" applyFill="1" applyBorder="1" applyAlignment="1" applyProtection="1">
      <alignment horizontal="center" vertical="center" wrapText="1"/>
    </xf>
    <xf numFmtId="0" fontId="5" fillId="34" borderId="4" xfId="0" applyNumberFormat="1" applyFont="1" applyFill="1" applyBorder="1" applyAlignment="1" applyProtection="1">
      <alignment horizontal="left" vertical="center" wrapText="1"/>
    </xf>
    <xf numFmtId="1" fontId="1" fillId="34" borderId="64" xfId="0" applyNumberFormat="1" applyFont="1" applyFill="1" applyBorder="1" applyAlignment="1">
      <alignment horizontal="center" vertical="center"/>
    </xf>
    <xf numFmtId="44" fontId="1" fillId="34" borderId="64" xfId="53" applyFont="1" applyFill="1" applyBorder="1" applyAlignment="1">
      <alignment horizontal="center" vertical="center"/>
    </xf>
    <xf numFmtId="44" fontId="4" fillId="34" borderId="64" xfId="53" applyFont="1" applyFill="1" applyBorder="1" applyAlignment="1" applyProtection="1">
      <alignment horizontal="center" vertical="center" wrapText="1"/>
    </xf>
    <xf numFmtId="165" fontId="1" fillId="34" borderId="65" xfId="0" applyNumberFormat="1" applyFont="1" applyFill="1" applyBorder="1" applyAlignment="1">
      <alignment horizontal="center" vertical="center"/>
    </xf>
    <xf numFmtId="0" fontId="3" fillId="34" borderId="15" xfId="0" applyNumberFormat="1" applyFont="1" applyFill="1" applyBorder="1" applyAlignment="1" applyProtection="1">
      <alignment horizontal="center" vertical="center" wrapText="1"/>
    </xf>
    <xf numFmtId="0" fontId="6" fillId="34" borderId="29" xfId="0" applyFont="1" applyFill="1" applyBorder="1" applyAlignment="1">
      <alignment horizontal="left" vertical="center" wrapText="1"/>
    </xf>
    <xf numFmtId="0" fontId="7" fillId="0" borderId="30"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10" fillId="0" borderId="0" xfId="0" applyFont="1" applyBorder="1"/>
    <xf numFmtId="0" fontId="14" fillId="0" borderId="14" xfId="0" applyFont="1" applyBorder="1" applyAlignment="1">
      <alignment horizontal="center" wrapText="1"/>
    </xf>
    <xf numFmtId="1" fontId="2" fillId="0" borderId="48" xfId="0" applyNumberFormat="1" applyFont="1" applyFill="1" applyBorder="1" applyAlignment="1" applyProtection="1">
      <alignment horizontal="center" vertical="center" wrapText="1"/>
    </xf>
    <xf numFmtId="1" fontId="2" fillId="25" borderId="1" xfId="0" applyNumberFormat="1" applyFont="1" applyFill="1" applyBorder="1" applyAlignment="1" applyProtection="1">
      <alignment horizontal="center" vertical="center" wrapText="1"/>
    </xf>
    <xf numFmtId="1" fontId="2" fillId="0" borderId="1" xfId="0" applyNumberFormat="1" applyFont="1" applyFill="1" applyBorder="1" applyAlignment="1" applyProtection="1">
      <alignment horizontal="center" vertical="center" wrapText="1"/>
    </xf>
    <xf numFmtId="1" fontId="2" fillId="25" borderId="9" xfId="0" applyNumberFormat="1" applyFont="1" applyFill="1" applyBorder="1" applyAlignment="1" applyProtection="1">
      <alignment horizontal="center" vertical="center" wrapText="1"/>
    </xf>
    <xf numFmtId="1" fontId="4" fillId="34" borderId="1" xfId="0" applyNumberFormat="1" applyFont="1" applyFill="1" applyBorder="1" applyAlignment="1" applyProtection="1">
      <alignment horizontal="center" vertical="center" wrapText="1"/>
    </xf>
    <xf numFmtId="1" fontId="1" fillId="32" borderId="0" xfId="0" applyNumberFormat="1" applyFont="1" applyFill="1" applyBorder="1" applyAlignment="1">
      <alignment horizontal="center" vertical="center"/>
    </xf>
    <xf numFmtId="1" fontId="1" fillId="0" borderId="3" xfId="0" applyNumberFormat="1" applyFont="1" applyFill="1" applyBorder="1" applyAlignment="1">
      <alignment horizontal="center" vertical="center"/>
    </xf>
    <xf numFmtId="1" fontId="1" fillId="0" borderId="35" xfId="0" applyNumberFormat="1" applyFont="1" applyFill="1" applyBorder="1" applyAlignment="1">
      <alignment horizontal="center" vertical="center"/>
    </xf>
    <xf numFmtId="1" fontId="1" fillId="0" borderId="1" xfId="0" applyNumberFormat="1" applyFont="1" applyFill="1" applyBorder="1" applyAlignment="1">
      <alignment horizontal="center" vertical="center"/>
    </xf>
    <xf numFmtId="0" fontId="5" fillId="25" borderId="10" xfId="0" applyNumberFormat="1" applyFont="1" applyFill="1" applyBorder="1" applyAlignment="1" applyProtection="1">
      <alignment horizontal="left" vertical="center" wrapText="1"/>
    </xf>
    <xf numFmtId="0" fontId="43" fillId="25" borderId="1" xfId="0" applyNumberFormat="1" applyFont="1" applyFill="1" applyBorder="1" applyAlignment="1" applyProtection="1">
      <alignment horizontal="center" vertical="center" wrapText="1"/>
    </xf>
    <xf numFmtId="0" fontId="0" fillId="0" borderId="0" xfId="0"/>
    <xf numFmtId="0" fontId="0" fillId="0" borderId="1" xfId="0" applyBorder="1"/>
    <xf numFmtId="0" fontId="0" fillId="0" borderId="1" xfId="0" applyFont="1" applyBorder="1" applyAlignment="1">
      <alignment horizontal="center"/>
    </xf>
    <xf numFmtId="0" fontId="0" fillId="25" borderId="1" xfId="0" applyFont="1" applyFill="1" applyBorder="1" applyAlignment="1">
      <alignment horizontal="center"/>
    </xf>
    <xf numFmtId="0" fontId="0" fillId="0" borderId="16" xfId="0" applyFont="1" applyBorder="1" applyAlignment="1">
      <alignment horizontal="center"/>
    </xf>
    <xf numFmtId="0" fontId="0" fillId="25" borderId="16" xfId="0" applyFont="1" applyFill="1" applyBorder="1" applyAlignment="1">
      <alignment horizontal="center"/>
    </xf>
    <xf numFmtId="0" fontId="0" fillId="0" borderId="0" xfId="0"/>
    <xf numFmtId="1" fontId="1" fillId="25" borderId="39" xfId="0" applyNumberFormat="1" applyFont="1" applyFill="1" applyBorder="1" applyAlignment="1">
      <alignment horizontal="center" vertical="center"/>
    </xf>
    <xf numFmtId="44" fontId="1" fillId="0" borderId="35" xfId="53" applyFont="1" applyBorder="1" applyAlignment="1">
      <alignment horizontal="center" vertical="center"/>
    </xf>
    <xf numFmtId="1" fontId="1" fillId="0" borderId="35" xfId="0" applyNumberFormat="1" applyFont="1" applyBorder="1" applyAlignment="1">
      <alignment horizontal="center" vertical="center"/>
    </xf>
    <xf numFmtId="165" fontId="1" fillId="0" borderId="35" xfId="0" applyNumberFormat="1" applyFont="1" applyBorder="1" applyAlignment="1">
      <alignment horizontal="center" vertical="center"/>
    </xf>
    <xf numFmtId="165" fontId="1" fillId="0" borderId="63" xfId="0" applyNumberFormat="1" applyFont="1" applyBorder="1" applyAlignment="1">
      <alignment horizontal="center" vertical="center"/>
    </xf>
    <xf numFmtId="0" fontId="55" fillId="0" borderId="0" xfId="0" applyFont="1"/>
    <xf numFmtId="0" fontId="34" fillId="2" borderId="22" xfId="0" applyFont="1" applyFill="1" applyBorder="1" applyAlignment="1">
      <alignment horizontal="center"/>
    </xf>
    <xf numFmtId="1" fontId="5" fillId="2" borderId="22" xfId="0" applyNumberFormat="1" applyFont="1" applyFill="1" applyBorder="1" applyAlignment="1">
      <alignment horizontal="center" vertical="center"/>
    </xf>
    <xf numFmtId="0" fontId="5" fillId="2" borderId="22" xfId="0" applyFont="1" applyFill="1" applyBorder="1" applyAlignment="1">
      <alignment horizontal="center" vertical="center"/>
    </xf>
    <xf numFmtId="164" fontId="5" fillId="2" borderId="45" xfId="0" applyNumberFormat="1" applyFont="1" applyFill="1" applyBorder="1" applyAlignment="1">
      <alignment horizontal="center" vertical="center"/>
    </xf>
    <xf numFmtId="2" fontId="5" fillId="2" borderId="22" xfId="0" applyNumberFormat="1" applyFont="1" applyFill="1" applyBorder="1" applyAlignment="1">
      <alignment horizontal="center" vertical="center"/>
    </xf>
    <xf numFmtId="2" fontId="5" fillId="2" borderId="79" xfId="0" applyNumberFormat="1" applyFont="1" applyFill="1" applyBorder="1" applyAlignment="1">
      <alignment horizontal="center" vertical="center"/>
    </xf>
    <xf numFmtId="2" fontId="5" fillId="2" borderId="45" xfId="0" applyNumberFormat="1" applyFont="1" applyFill="1" applyBorder="1" applyAlignment="1">
      <alignment horizontal="center" vertical="center"/>
    </xf>
    <xf numFmtId="44" fontId="5" fillId="2" borderId="22" xfId="53" applyFont="1" applyFill="1" applyBorder="1" applyAlignment="1">
      <alignment horizontal="center" vertical="center"/>
    </xf>
    <xf numFmtId="174" fontId="5" fillId="2" borderId="22" xfId="610" applyNumberFormat="1" applyFont="1" applyFill="1" applyBorder="1" applyAlignment="1">
      <alignment horizontal="center" vertical="center"/>
    </xf>
    <xf numFmtId="174" fontId="5" fillId="2" borderId="22" xfId="610" applyNumberFormat="1" applyFont="1" applyFill="1" applyBorder="1" applyAlignment="1">
      <alignment vertical="center"/>
    </xf>
    <xf numFmtId="0" fontId="44" fillId="0" borderId="0" xfId="0" applyFont="1"/>
    <xf numFmtId="0" fontId="34" fillId="2" borderId="4" xfId="0" applyFont="1" applyFill="1" applyBorder="1" applyAlignment="1">
      <alignment horizontal="center"/>
    </xf>
    <xf numFmtId="0" fontId="34" fillId="2" borderId="4" xfId="0" applyFont="1" applyFill="1" applyBorder="1" applyAlignment="1">
      <alignment horizontal="center" wrapText="1"/>
    </xf>
    <xf numFmtId="0" fontId="14" fillId="0" borderId="47" xfId="0" applyFont="1" applyBorder="1" applyAlignment="1">
      <alignment horizontal="center" wrapText="1"/>
    </xf>
    <xf numFmtId="0" fontId="1" fillId="32" borderId="2" xfId="0" applyFont="1" applyFill="1" applyBorder="1" applyAlignment="1">
      <alignment horizontal="center" vertical="center"/>
    </xf>
    <xf numFmtId="1" fontId="1" fillId="32" borderId="2" xfId="0" applyNumberFormat="1" applyFont="1" applyFill="1" applyBorder="1" applyAlignment="1">
      <alignment horizontal="center" vertical="center"/>
    </xf>
    <xf numFmtId="1" fontId="1" fillId="34" borderId="6" xfId="0" applyNumberFormat="1" applyFont="1" applyFill="1" applyBorder="1" applyAlignment="1">
      <alignment horizontal="center" vertical="center"/>
    </xf>
    <xf numFmtId="44" fontId="1" fillId="34" borderId="6" xfId="53" applyFont="1" applyFill="1" applyBorder="1" applyAlignment="1">
      <alignment horizontal="center" vertical="center"/>
    </xf>
    <xf numFmtId="165" fontId="1" fillId="34" borderId="6" xfId="0" applyNumberFormat="1" applyFont="1" applyFill="1" applyBorder="1" applyAlignment="1">
      <alignment horizontal="center" vertical="center"/>
    </xf>
    <xf numFmtId="44" fontId="0" fillId="0" borderId="0" xfId="53" applyFont="1"/>
    <xf numFmtId="0" fontId="14" fillId="0" borderId="12" xfId="0" applyFont="1" applyBorder="1" applyAlignment="1">
      <alignment horizontal="center" wrapText="1"/>
    </xf>
    <xf numFmtId="0" fontId="14" fillId="0" borderId="13" xfId="0" applyFont="1" applyBorder="1" applyAlignment="1">
      <alignment horizontal="center" wrapText="1"/>
    </xf>
    <xf numFmtId="0" fontId="1" fillId="25" borderId="10" xfId="0" applyFont="1" applyFill="1" applyBorder="1" applyAlignment="1">
      <alignment horizontal="center" vertical="center"/>
    </xf>
    <xf numFmtId="1" fontId="1" fillId="25" borderId="40" xfId="0" quotePrefix="1" applyNumberFormat="1" applyFont="1" applyFill="1" applyBorder="1" applyAlignment="1">
      <alignment horizontal="center" vertical="center"/>
    </xf>
    <xf numFmtId="1" fontId="1" fillId="25" borderId="3" xfId="0" applyNumberFormat="1" applyFont="1" applyFill="1" applyBorder="1" applyAlignment="1">
      <alignment horizontal="center" vertical="center"/>
    </xf>
    <xf numFmtId="0" fontId="1" fillId="0" borderId="3" xfId="0" applyFont="1" applyBorder="1" applyAlignment="1">
      <alignment horizontal="center" vertical="center"/>
    </xf>
    <xf numFmtId="170" fontId="1" fillId="25" borderId="3" xfId="1" applyNumberFormat="1" applyFont="1" applyFill="1" applyBorder="1" applyAlignment="1">
      <alignment horizontal="center" vertical="center"/>
    </xf>
    <xf numFmtId="44" fontId="1" fillId="0" borderId="3" xfId="53" applyFont="1" applyBorder="1" applyAlignment="1">
      <alignment horizontal="center" vertical="center"/>
    </xf>
    <xf numFmtId="165" fontId="1" fillId="0" borderId="3" xfId="0" applyNumberFormat="1" applyFont="1" applyBorder="1" applyAlignment="1">
      <alignment horizontal="center" vertical="center"/>
    </xf>
    <xf numFmtId="170" fontId="1" fillId="25" borderId="35" xfId="1" applyNumberFormat="1" applyFont="1" applyFill="1" applyBorder="1" applyAlignment="1">
      <alignment horizontal="center" vertical="center"/>
    </xf>
    <xf numFmtId="165" fontId="1" fillId="34" borderId="25" xfId="0" applyNumberFormat="1" applyFont="1" applyFill="1" applyBorder="1" applyAlignment="1">
      <alignment horizontal="center" vertical="center"/>
    </xf>
    <xf numFmtId="165" fontId="1" fillId="0" borderId="16" xfId="0" applyNumberFormat="1" applyFont="1" applyBorder="1" applyAlignment="1">
      <alignment horizontal="center" vertical="center"/>
    </xf>
    <xf numFmtId="165" fontId="1" fillId="0" borderId="28" xfId="0" applyNumberFormat="1" applyFont="1" applyBorder="1" applyAlignment="1">
      <alignment horizontal="center" vertical="center"/>
    </xf>
    <xf numFmtId="165" fontId="1" fillId="0" borderId="27" xfId="0" applyNumberFormat="1" applyFont="1" applyBorder="1" applyAlignment="1">
      <alignment horizontal="center" vertical="center"/>
    </xf>
    <xf numFmtId="0" fontId="14" fillId="0" borderId="29" xfId="0" applyFont="1" applyBorder="1" applyAlignment="1">
      <alignment horizontal="center" wrapText="1"/>
    </xf>
    <xf numFmtId="0" fontId="2" fillId="0" borderId="42" xfId="0" applyNumberFormat="1" applyFont="1" applyFill="1" applyBorder="1" applyAlignment="1" applyProtection="1">
      <alignment horizontal="center" vertical="center" wrapText="1"/>
    </xf>
    <xf numFmtId="1" fontId="2" fillId="25" borderId="67" xfId="0" applyNumberFormat="1" applyFont="1" applyFill="1" applyBorder="1" applyAlignment="1" applyProtection="1">
      <alignment horizontal="center" vertical="center" wrapText="1"/>
    </xf>
    <xf numFmtId="1" fontId="2" fillId="25" borderId="6" xfId="0" applyNumberFormat="1" applyFont="1" applyFill="1" applyBorder="1" applyAlignment="1" applyProtection="1">
      <alignment horizontal="center" vertical="center" wrapText="1"/>
    </xf>
    <xf numFmtId="1" fontId="2" fillId="25" borderId="42" xfId="0" applyNumberFormat="1" applyFont="1" applyFill="1" applyBorder="1" applyAlignment="1" applyProtection="1">
      <alignment horizontal="center" vertical="center" wrapText="1"/>
    </xf>
    <xf numFmtId="1" fontId="2" fillId="25" borderId="51" xfId="0" applyNumberFormat="1" applyFont="1" applyFill="1" applyBorder="1" applyAlignment="1" applyProtection="1">
      <alignment horizontal="center" vertical="center" wrapText="1"/>
    </xf>
    <xf numFmtId="1" fontId="1" fillId="25" borderId="5" xfId="0" applyNumberFormat="1" applyFont="1" applyFill="1" applyBorder="1" applyAlignment="1">
      <alignment horizontal="center" vertical="center"/>
    </xf>
    <xf numFmtId="1" fontId="1" fillId="25" borderId="8" xfId="0" applyNumberFormat="1" applyFont="1" applyFill="1" applyBorder="1" applyAlignment="1">
      <alignment horizontal="center" vertical="center"/>
    </xf>
    <xf numFmtId="1" fontId="1" fillId="25" borderId="35" xfId="0" applyNumberFormat="1" applyFont="1" applyFill="1" applyBorder="1" applyAlignment="1">
      <alignment horizontal="center" vertical="center"/>
    </xf>
    <xf numFmtId="1" fontId="1" fillId="25" borderId="40" xfId="0" applyNumberFormat="1" applyFont="1" applyFill="1" applyBorder="1" applyAlignment="1">
      <alignment horizontal="center" vertical="center"/>
    </xf>
    <xf numFmtId="2" fontId="1" fillId="25" borderId="48" xfId="0" applyNumberFormat="1" applyFont="1" applyFill="1" applyBorder="1" applyAlignment="1">
      <alignment horizontal="center" vertical="center"/>
    </xf>
    <xf numFmtId="2" fontId="1" fillId="25" borderId="6" xfId="0" applyNumberFormat="1" applyFont="1" applyFill="1" applyBorder="1" applyAlignment="1">
      <alignment horizontal="center" vertical="center"/>
    </xf>
    <xf numFmtId="2" fontId="1" fillId="25" borderId="9" xfId="0" applyNumberFormat="1" applyFont="1" applyFill="1" applyBorder="1" applyAlignment="1">
      <alignment horizontal="center" vertical="center"/>
    </xf>
    <xf numFmtId="2" fontId="1" fillId="25" borderId="35" xfId="0" applyNumberFormat="1" applyFont="1" applyFill="1" applyBorder="1" applyAlignment="1">
      <alignment horizontal="center" vertical="center"/>
    </xf>
    <xf numFmtId="2" fontId="1" fillId="25" borderId="3" xfId="0" applyNumberFormat="1" applyFont="1" applyFill="1" applyBorder="1" applyAlignment="1">
      <alignment horizontal="center" vertical="center"/>
    </xf>
    <xf numFmtId="1" fontId="1" fillId="25" borderId="32" xfId="0" applyNumberFormat="1" applyFont="1" applyFill="1" applyBorder="1" applyAlignment="1">
      <alignment horizontal="center" vertical="center"/>
    </xf>
    <xf numFmtId="2" fontId="1" fillId="25" borderId="50" xfId="0" applyNumberFormat="1" applyFont="1" applyFill="1" applyBorder="1" applyAlignment="1">
      <alignment horizontal="center" vertical="center"/>
    </xf>
    <xf numFmtId="0" fontId="1" fillId="25" borderId="35" xfId="0" applyFont="1" applyFill="1" applyBorder="1" applyAlignment="1">
      <alignment horizontal="center" vertical="center"/>
    </xf>
    <xf numFmtId="1" fontId="1" fillId="25" borderId="50" xfId="0" applyNumberFormat="1" applyFont="1" applyFill="1" applyBorder="1" applyAlignment="1">
      <alignment horizontal="center" vertical="center"/>
    </xf>
    <xf numFmtId="0" fontId="14" fillId="25" borderId="33" xfId="0" applyFont="1" applyFill="1" applyBorder="1" applyAlignment="1">
      <alignment horizontal="center"/>
    </xf>
    <xf numFmtId="1" fontId="1" fillId="25" borderId="39" xfId="0" quotePrefix="1" applyNumberFormat="1" applyFont="1" applyFill="1" applyBorder="1" applyAlignment="1">
      <alignment horizontal="center" vertical="center"/>
    </xf>
    <xf numFmtId="9" fontId="10" fillId="25" borderId="4" xfId="1" applyFont="1" applyFill="1" applyBorder="1" applyAlignment="1">
      <alignment horizontal="center" vertical="center"/>
    </xf>
    <xf numFmtId="0" fontId="14" fillId="34" borderId="33" xfId="0" applyFont="1" applyFill="1" applyBorder="1" applyAlignment="1">
      <alignment horizontal="center" wrapText="1"/>
    </xf>
    <xf numFmtId="1" fontId="4" fillId="34" borderId="42" xfId="0" applyNumberFormat="1" applyFont="1" applyFill="1" applyBorder="1" applyAlignment="1" applyProtection="1">
      <alignment horizontal="center" vertical="center" wrapText="1"/>
    </xf>
    <xf numFmtId="2" fontId="4" fillId="34" borderId="1" xfId="0" applyNumberFormat="1" applyFont="1" applyFill="1" applyBorder="1" applyAlignment="1" applyProtection="1">
      <alignment horizontal="center" vertical="center" wrapText="1"/>
    </xf>
    <xf numFmtId="0" fontId="14" fillId="34" borderId="31" xfId="0" applyFont="1" applyFill="1" applyBorder="1" applyAlignment="1">
      <alignment horizontal="center" wrapText="1"/>
    </xf>
    <xf numFmtId="1" fontId="4" fillId="34" borderId="51" xfId="0" applyNumberFormat="1" applyFont="1" applyFill="1" applyBorder="1" applyAlignment="1" applyProtection="1">
      <alignment horizontal="center" vertical="center" wrapText="1"/>
    </xf>
    <xf numFmtId="2" fontId="4" fillId="34" borderId="9" xfId="0" applyNumberFormat="1" applyFont="1" applyFill="1" applyBorder="1" applyAlignment="1" applyProtection="1">
      <alignment horizontal="center" vertical="center" wrapText="1"/>
    </xf>
    <xf numFmtId="1" fontId="1" fillId="34" borderId="39" xfId="0" applyNumberFormat="1" applyFont="1" applyFill="1" applyBorder="1" applyAlignment="1">
      <alignment horizontal="center" vertical="center"/>
    </xf>
    <xf numFmtId="170" fontId="1" fillId="34" borderId="35" xfId="1" applyNumberFormat="1" applyFont="1" applyFill="1" applyBorder="1" applyAlignment="1">
      <alignment horizontal="center" vertical="center"/>
    </xf>
    <xf numFmtId="2" fontId="1" fillId="34" borderId="35" xfId="0" applyNumberFormat="1" applyFont="1" applyFill="1" applyBorder="1" applyAlignment="1">
      <alignment horizontal="center" vertical="center"/>
    </xf>
    <xf numFmtId="1" fontId="1" fillId="34" borderId="42" xfId="0" applyNumberFormat="1" applyFont="1" applyFill="1" applyBorder="1" applyAlignment="1">
      <alignment horizontal="center" vertical="center"/>
    </xf>
    <xf numFmtId="170" fontId="1" fillId="34" borderId="1" xfId="1" applyNumberFormat="1" applyFont="1" applyFill="1" applyBorder="1" applyAlignment="1">
      <alignment horizontal="center" vertical="center"/>
    </xf>
    <xf numFmtId="2" fontId="1" fillId="34" borderId="1" xfId="0" applyNumberFormat="1" applyFont="1" applyFill="1" applyBorder="1" applyAlignment="1">
      <alignment horizontal="center" vertical="center"/>
    </xf>
    <xf numFmtId="1" fontId="1" fillId="34" borderId="40" xfId="0" applyNumberFormat="1" applyFont="1" applyFill="1" applyBorder="1" applyAlignment="1">
      <alignment horizontal="center" vertical="center"/>
    </xf>
    <xf numFmtId="170" fontId="1" fillId="34" borderId="3" xfId="1" applyNumberFormat="1" applyFont="1" applyFill="1" applyBorder="1" applyAlignment="1">
      <alignment horizontal="center" vertical="center"/>
    </xf>
    <xf numFmtId="2" fontId="1" fillId="34" borderId="3" xfId="0" applyNumberFormat="1" applyFont="1" applyFill="1" applyBorder="1" applyAlignment="1">
      <alignment horizontal="center" vertical="center"/>
    </xf>
    <xf numFmtId="0" fontId="14" fillId="34" borderId="43" xfId="0" applyFont="1" applyFill="1" applyBorder="1" applyAlignment="1">
      <alignment horizontal="center" wrapText="1"/>
    </xf>
    <xf numFmtId="1" fontId="1" fillId="34" borderId="11" xfId="0" applyNumberFormat="1" applyFont="1" applyFill="1" applyBorder="1" applyAlignment="1">
      <alignment horizontal="center" vertical="center"/>
    </xf>
    <xf numFmtId="1" fontId="1" fillId="34" borderId="7" xfId="0" applyNumberFormat="1" applyFont="1" applyFill="1" applyBorder="1" applyAlignment="1">
      <alignment horizontal="center" vertical="center"/>
    </xf>
    <xf numFmtId="1" fontId="1" fillId="34" borderId="89" xfId="0" applyNumberFormat="1" applyFont="1" applyFill="1" applyBorder="1" applyAlignment="1">
      <alignment horizontal="center" vertical="center"/>
    </xf>
    <xf numFmtId="0" fontId="14" fillId="34" borderId="24" xfId="0" applyFont="1" applyFill="1" applyBorder="1" applyAlignment="1">
      <alignment horizontal="center" wrapText="1"/>
    </xf>
    <xf numFmtId="0" fontId="1" fillId="34" borderId="64" xfId="0" applyFont="1" applyFill="1" applyBorder="1" applyAlignment="1">
      <alignment horizontal="center" vertical="center"/>
    </xf>
    <xf numFmtId="170" fontId="1" fillId="34" borderId="64" xfId="1" applyNumberFormat="1" applyFont="1" applyFill="1" applyBorder="1" applyAlignment="1">
      <alignment horizontal="center" vertical="center"/>
    </xf>
    <xf numFmtId="2" fontId="1" fillId="34" borderId="64" xfId="0" applyNumberFormat="1" applyFont="1" applyFill="1" applyBorder="1" applyAlignment="1">
      <alignment horizontal="center" vertical="center"/>
    </xf>
    <xf numFmtId="1" fontId="1" fillId="34" borderId="67" xfId="0" applyNumberFormat="1" applyFont="1" applyFill="1" applyBorder="1" applyAlignment="1">
      <alignment horizontal="center" vertical="center"/>
    </xf>
    <xf numFmtId="0" fontId="1" fillId="34" borderId="6" xfId="0" applyFont="1" applyFill="1" applyBorder="1" applyAlignment="1">
      <alignment horizontal="center" vertical="center"/>
    </xf>
    <xf numFmtId="170" fontId="1" fillId="34" borderId="6" xfId="1" applyNumberFormat="1" applyFont="1" applyFill="1" applyBorder="1" applyAlignment="1">
      <alignment horizontal="center" vertical="center"/>
    </xf>
    <xf numFmtId="2" fontId="1" fillId="34" borderId="6" xfId="0" applyNumberFormat="1" applyFont="1" applyFill="1" applyBorder="1" applyAlignment="1">
      <alignment horizontal="center" vertical="center"/>
    </xf>
    <xf numFmtId="0" fontId="2" fillId="0" borderId="30" xfId="0" applyNumberFormat="1" applyFont="1" applyFill="1" applyBorder="1" applyAlignment="1" applyProtection="1">
      <alignment horizontal="center" vertical="center" wrapText="1"/>
    </xf>
    <xf numFmtId="0" fontId="2" fillId="32" borderId="36" xfId="0" applyFont="1" applyFill="1" applyBorder="1" applyAlignment="1" applyProtection="1">
      <alignment horizontal="center" wrapText="1"/>
    </xf>
    <xf numFmtId="0" fontId="2" fillId="32" borderId="47" xfId="0" applyFont="1" applyFill="1" applyBorder="1" applyAlignment="1" applyProtection="1">
      <alignment horizontal="center" wrapText="1"/>
    </xf>
    <xf numFmtId="0" fontId="2" fillId="0" borderId="2" xfId="0" applyNumberFormat="1" applyFont="1" applyFill="1" applyBorder="1" applyAlignment="1" applyProtection="1">
      <alignment horizontal="left" vertical="center" wrapText="1"/>
    </xf>
    <xf numFmtId="0" fontId="5" fillId="25" borderId="14" xfId="0" applyNumberFormat="1" applyFont="1" applyFill="1" applyBorder="1" applyAlignment="1" applyProtection="1">
      <alignment horizontal="left" vertical="center" wrapText="1"/>
    </xf>
    <xf numFmtId="0" fontId="2" fillId="25" borderId="31" xfId="0" applyNumberFormat="1" applyFont="1" applyFill="1" applyBorder="1" applyAlignment="1" applyProtection="1">
      <alignment horizontal="center" vertical="center" wrapText="1"/>
    </xf>
    <xf numFmtId="0" fontId="0" fillId="0" borderId="1" xfId="0" applyBorder="1" applyAlignment="1">
      <alignment horizontal="center"/>
    </xf>
    <xf numFmtId="0" fontId="2" fillId="0" borderId="29" xfId="0" applyNumberFormat="1" applyFont="1" applyFill="1" applyBorder="1" applyAlignment="1" applyProtection="1">
      <alignment vertical="center" wrapText="1"/>
    </xf>
    <xf numFmtId="0" fontId="2" fillId="0" borderId="13" xfId="0" applyNumberFormat="1" applyFont="1" applyFill="1" applyBorder="1" applyAlignment="1" applyProtection="1">
      <alignment vertical="center" wrapText="1"/>
    </xf>
    <xf numFmtId="0" fontId="2" fillId="0" borderId="81" xfId="0" applyNumberFormat="1" applyFont="1" applyFill="1" applyBorder="1" applyAlignment="1" applyProtection="1">
      <alignment horizontal="left" vertical="center" wrapText="1"/>
    </xf>
    <xf numFmtId="0" fontId="2" fillId="0" borderId="12" xfId="0" applyNumberFormat="1" applyFont="1" applyFill="1" applyBorder="1" applyAlignment="1" applyProtection="1">
      <alignment horizontal="center" vertical="center" wrapText="1"/>
    </xf>
    <xf numFmtId="0" fontId="51" fillId="0" borderId="14" xfId="0" applyNumberFormat="1" applyFont="1" applyFill="1" applyBorder="1" applyAlignment="1" applyProtection="1">
      <alignment horizontal="center" vertical="center" wrapText="1"/>
    </xf>
    <xf numFmtId="0" fontId="5" fillId="25" borderId="30" xfId="0" applyNumberFormat="1" applyFont="1" applyFill="1" applyBorder="1" applyAlignment="1" applyProtection="1">
      <alignment horizontal="left" vertical="center" wrapText="1"/>
    </xf>
    <xf numFmtId="1" fontId="2" fillId="25" borderId="40" xfId="0" applyNumberFormat="1" applyFont="1" applyFill="1" applyBorder="1" applyAlignment="1" applyProtection="1">
      <alignment horizontal="center" vertical="center" wrapText="1"/>
    </xf>
    <xf numFmtId="1" fontId="2" fillId="25" borderId="3" xfId="0" applyNumberFormat="1" applyFont="1" applyFill="1" applyBorder="1" applyAlignment="1" applyProtection="1">
      <alignment horizontal="center" vertical="center" wrapText="1"/>
    </xf>
    <xf numFmtId="0" fontId="2" fillId="25" borderId="3" xfId="0" applyNumberFormat="1" applyFont="1" applyFill="1" applyBorder="1" applyAlignment="1" applyProtection="1">
      <alignment horizontal="center" vertical="center" wrapText="1"/>
    </xf>
    <xf numFmtId="44" fontId="2" fillId="25" borderId="3" xfId="53" applyFont="1" applyFill="1" applyBorder="1" applyAlignment="1" applyProtection="1">
      <alignment horizontal="center" vertical="center" wrapText="1"/>
    </xf>
    <xf numFmtId="165" fontId="2" fillId="25" borderId="3" xfId="0" applyNumberFormat="1" applyFont="1" applyFill="1" applyBorder="1" applyAlignment="1" applyProtection="1">
      <alignment horizontal="center" vertical="center" wrapText="1"/>
    </xf>
    <xf numFmtId="165" fontId="2" fillId="25" borderId="87" xfId="0" applyNumberFormat="1" applyFont="1" applyFill="1" applyBorder="1" applyAlignment="1" applyProtection="1">
      <alignment horizontal="center" vertical="center" wrapText="1"/>
    </xf>
    <xf numFmtId="0" fontId="3" fillId="34" borderId="29" xfId="0" applyNumberFormat="1" applyFont="1" applyFill="1" applyBorder="1" applyAlignment="1" applyProtection="1">
      <alignment horizontal="left" vertical="center" wrapText="1"/>
    </xf>
    <xf numFmtId="1" fontId="4" fillId="34" borderId="92" xfId="0" applyNumberFormat="1" applyFont="1" applyFill="1" applyBorder="1" applyAlignment="1" applyProtection="1">
      <alignment horizontal="center" vertical="center" wrapText="1"/>
    </xf>
    <xf numFmtId="1" fontId="4" fillId="34" borderId="35" xfId="0" applyNumberFormat="1" applyFont="1" applyFill="1" applyBorder="1" applyAlignment="1" applyProtection="1">
      <alignment horizontal="center" vertical="center" wrapText="1"/>
    </xf>
    <xf numFmtId="0" fontId="4" fillId="34" borderId="35" xfId="0" applyNumberFormat="1" applyFont="1" applyFill="1" applyBorder="1" applyAlignment="1" applyProtection="1">
      <alignment horizontal="center" vertical="center" wrapText="1"/>
    </xf>
    <xf numFmtId="2" fontId="4" fillId="34" borderId="35" xfId="0" applyNumberFormat="1" applyFont="1" applyFill="1" applyBorder="1" applyAlignment="1" applyProtection="1">
      <alignment horizontal="center" vertical="center" wrapText="1"/>
    </xf>
    <xf numFmtId="165" fontId="4" fillId="34" borderId="35" xfId="0" applyNumberFormat="1" applyFont="1" applyFill="1" applyBorder="1" applyAlignment="1" applyProtection="1">
      <alignment horizontal="center" vertical="center" wrapText="1"/>
    </xf>
    <xf numFmtId="165" fontId="4" fillId="34" borderId="63" xfId="0" applyNumberFormat="1" applyFont="1" applyFill="1" applyBorder="1" applyAlignment="1" applyProtection="1">
      <alignment horizontal="center" vertical="center" wrapText="1"/>
    </xf>
    <xf numFmtId="0" fontId="14" fillId="0" borderId="83" xfId="0" applyFont="1" applyBorder="1" applyAlignment="1">
      <alignment horizontal="center" wrapText="1"/>
    </xf>
    <xf numFmtId="0" fontId="2" fillId="25" borderId="13" xfId="0" applyNumberFormat="1" applyFont="1" applyFill="1" applyBorder="1" applyAlignment="1" applyProtection="1">
      <alignment horizontal="left" vertical="center" wrapText="1"/>
    </xf>
    <xf numFmtId="0" fontId="2" fillId="25" borderId="14" xfId="0" applyNumberFormat="1" applyFont="1" applyFill="1" applyBorder="1" applyAlignment="1" applyProtection="1">
      <alignment horizontal="center" vertical="center" wrapText="1"/>
    </xf>
    <xf numFmtId="0" fontId="2" fillId="25" borderId="42" xfId="0" applyNumberFormat="1" applyFont="1" applyFill="1" applyBorder="1" applyAlignment="1" applyProtection="1">
      <alignment horizontal="center" vertical="center" wrapText="1"/>
    </xf>
    <xf numFmtId="0" fontId="4" fillId="0" borderId="13" xfId="0" applyNumberFormat="1" applyFont="1" applyFill="1" applyBorder="1" applyAlignment="1" applyProtection="1">
      <alignment vertical="center" wrapText="1"/>
    </xf>
    <xf numFmtId="9" fontId="2" fillId="0" borderId="13" xfId="0" applyNumberFormat="1" applyFont="1" applyFill="1" applyBorder="1" applyAlignment="1" applyProtection="1">
      <alignment vertical="center" wrapText="1"/>
    </xf>
    <xf numFmtId="9" fontId="2" fillId="0" borderId="14" xfId="0" applyNumberFormat="1" applyFont="1" applyFill="1" applyBorder="1" applyAlignment="1" applyProtection="1">
      <alignment vertical="center" wrapText="1"/>
    </xf>
    <xf numFmtId="0" fontId="2" fillId="0" borderId="30" xfId="0" applyNumberFormat="1" applyFont="1" applyFill="1" applyBorder="1" applyAlignment="1" applyProtection="1">
      <alignment horizontal="left" vertical="center" wrapText="1"/>
    </xf>
    <xf numFmtId="0" fontId="2" fillId="0" borderId="15" xfId="0" applyNumberFormat="1" applyFont="1" applyFill="1" applyBorder="1" applyAlignment="1" applyProtection="1">
      <alignment horizontal="left" vertical="center" wrapText="1"/>
    </xf>
    <xf numFmtId="0" fontId="2" fillId="0" borderId="22" xfId="0" applyNumberFormat="1" applyFont="1" applyFill="1" applyBorder="1" applyAlignment="1" applyProtection="1">
      <alignment horizontal="left" vertical="center" wrapText="1"/>
    </xf>
    <xf numFmtId="0" fontId="2" fillId="0" borderId="39" xfId="0" applyNumberFormat="1" applyFont="1" applyFill="1" applyBorder="1" applyAlignment="1" applyProtection="1">
      <alignment horizontal="center" vertical="center" wrapText="1"/>
    </xf>
    <xf numFmtId="0" fontId="2" fillId="0" borderId="35" xfId="0" applyNumberFormat="1" applyFont="1" applyFill="1" applyBorder="1" applyAlignment="1" applyProtection="1">
      <alignment horizontal="center" vertical="center" wrapText="1"/>
    </xf>
    <xf numFmtId="1" fontId="1" fillId="25" borderId="11" xfId="0" applyNumberFormat="1" applyFont="1" applyFill="1" applyBorder="1" applyAlignment="1">
      <alignment horizontal="center" vertical="center"/>
    </xf>
    <xf numFmtId="44" fontId="1" fillId="25" borderId="35" xfId="53" applyFont="1" applyFill="1" applyBorder="1" applyAlignment="1">
      <alignment horizontal="center" vertical="center"/>
    </xf>
    <xf numFmtId="165" fontId="1" fillId="25" borderId="35" xfId="0" applyNumberFormat="1" applyFont="1" applyFill="1" applyBorder="1" applyAlignment="1">
      <alignment horizontal="center" vertical="center"/>
    </xf>
    <xf numFmtId="165" fontId="1" fillId="25" borderId="63" xfId="0" applyNumberFormat="1" applyFont="1" applyFill="1" applyBorder="1" applyAlignment="1">
      <alignment horizontal="center" vertical="center"/>
    </xf>
    <xf numFmtId="1" fontId="1" fillId="25" borderId="89" xfId="0" applyNumberFormat="1" applyFont="1" applyFill="1" applyBorder="1" applyAlignment="1">
      <alignment horizontal="center" vertical="center"/>
    </xf>
    <xf numFmtId="0" fontId="1" fillId="25" borderId="3" xfId="0" applyFont="1" applyFill="1" applyBorder="1" applyAlignment="1">
      <alignment horizontal="center" vertical="center"/>
    </xf>
    <xf numFmtId="44" fontId="1" fillId="25" borderId="3" xfId="53" applyFont="1" applyFill="1" applyBorder="1" applyAlignment="1">
      <alignment horizontal="center" vertical="center"/>
    </xf>
    <xf numFmtId="165" fontId="1" fillId="25" borderId="3" xfId="0" applyNumberFormat="1" applyFont="1" applyFill="1" applyBorder="1" applyAlignment="1">
      <alignment horizontal="center" vertical="center"/>
    </xf>
    <xf numFmtId="165" fontId="1" fillId="25" borderId="87" xfId="0" applyNumberFormat="1" applyFont="1" applyFill="1" applyBorder="1" applyAlignment="1">
      <alignment horizontal="center" vertical="center"/>
    </xf>
    <xf numFmtId="1" fontId="1" fillId="32" borderId="10" xfId="0" applyNumberFormat="1" applyFont="1" applyFill="1" applyBorder="1" applyAlignment="1">
      <alignment horizontal="center" vertical="center"/>
    </xf>
    <xf numFmtId="170" fontId="1" fillId="32" borderId="2" xfId="1" applyNumberFormat="1" applyFont="1" applyFill="1" applyBorder="1" applyAlignment="1">
      <alignment horizontal="center" vertical="center"/>
    </xf>
    <xf numFmtId="2" fontId="1" fillId="32" borderId="2" xfId="0" applyNumberFormat="1" applyFont="1" applyFill="1" applyBorder="1" applyAlignment="1">
      <alignment horizontal="center" vertical="center"/>
    </xf>
    <xf numFmtId="44" fontId="1" fillId="32" borderId="2" xfId="53" applyFont="1" applyFill="1" applyBorder="1" applyAlignment="1">
      <alignment horizontal="center" vertical="center"/>
    </xf>
    <xf numFmtId="165" fontId="1" fillId="32" borderId="2" xfId="0" applyNumberFormat="1" applyFont="1" applyFill="1" applyBorder="1" applyAlignment="1">
      <alignment horizontal="center" vertical="center"/>
    </xf>
    <xf numFmtId="165" fontId="1" fillId="32" borderId="31" xfId="0" applyNumberFormat="1" applyFont="1" applyFill="1" applyBorder="1" applyAlignment="1">
      <alignment horizontal="center" vertical="center"/>
    </xf>
    <xf numFmtId="0" fontId="14" fillId="32" borderId="13" xfId="0" applyFont="1" applyFill="1" applyBorder="1" applyAlignment="1">
      <alignment horizontal="center" wrapText="1"/>
    </xf>
    <xf numFmtId="0" fontId="1" fillId="32" borderId="15" xfId="0" applyFont="1" applyFill="1" applyBorder="1" applyAlignment="1">
      <alignment horizontal="center" vertical="center"/>
    </xf>
    <xf numFmtId="0" fontId="1" fillId="32" borderId="93" xfId="0" applyFont="1" applyFill="1" applyBorder="1" applyAlignment="1">
      <alignment horizontal="center" vertical="center"/>
    </xf>
    <xf numFmtId="170" fontId="2" fillId="32" borderId="93" xfId="1" applyNumberFormat="1" applyFont="1" applyFill="1" applyBorder="1" applyAlignment="1" applyProtection="1">
      <alignment horizontal="center" vertical="center" wrapText="1"/>
    </xf>
    <xf numFmtId="1" fontId="1" fillId="32" borderId="93" xfId="0" applyNumberFormat="1" applyFont="1" applyFill="1" applyBorder="1" applyAlignment="1">
      <alignment horizontal="center" vertical="center"/>
    </xf>
    <xf numFmtId="44" fontId="1" fillId="32" borderId="93" xfId="53" applyFont="1" applyFill="1" applyBorder="1" applyAlignment="1">
      <alignment horizontal="center" vertical="center"/>
    </xf>
    <xf numFmtId="165" fontId="1" fillId="32" borderId="93" xfId="0" applyNumberFormat="1" applyFont="1" applyFill="1" applyBorder="1" applyAlignment="1">
      <alignment horizontal="center" vertical="center"/>
    </xf>
    <xf numFmtId="165" fontId="1" fillId="32" borderId="33" xfId="0" applyNumberFormat="1" applyFont="1" applyFill="1" applyBorder="1" applyAlignment="1">
      <alignment horizontal="center" vertical="center"/>
    </xf>
    <xf numFmtId="0" fontId="2" fillId="32" borderId="4" xfId="0" applyFont="1" applyFill="1" applyBorder="1" applyAlignment="1" applyProtection="1">
      <alignment wrapText="1"/>
    </xf>
    <xf numFmtId="0" fontId="34" fillId="2" borderId="79" xfId="0" applyFont="1" applyFill="1" applyBorder="1" applyAlignment="1">
      <alignment horizontal="center"/>
    </xf>
    <xf numFmtId="0" fontId="5" fillId="25" borderId="10" xfId="0" applyNumberFormat="1" applyFont="1" applyFill="1" applyBorder="1" applyAlignment="1" applyProtection="1">
      <alignment horizontal="left" vertical="top" wrapText="1"/>
    </xf>
    <xf numFmtId="0" fontId="1" fillId="25" borderId="89" xfId="0" applyFont="1" applyFill="1" applyBorder="1" applyAlignment="1">
      <alignment horizontal="center" vertical="center"/>
    </xf>
    <xf numFmtId="0" fontId="14" fillId="34" borderId="29" xfId="0" applyFont="1" applyFill="1" applyBorder="1" applyAlignment="1">
      <alignment horizontal="center" wrapText="1"/>
    </xf>
    <xf numFmtId="0" fontId="0" fillId="0" borderId="1" xfId="0" applyFont="1" applyBorder="1"/>
    <xf numFmtId="0" fontId="0" fillId="0" borderId="1" xfId="0" applyFont="1" applyFill="1" applyBorder="1" applyAlignment="1">
      <alignment horizontal="center"/>
    </xf>
    <xf numFmtId="0" fontId="0" fillId="0" borderId="1" xfId="0" applyFont="1" applyBorder="1" applyAlignment="1">
      <alignment horizontal="center" wrapText="1"/>
    </xf>
    <xf numFmtId="0" fontId="0" fillId="0" borderId="1" xfId="0" applyFont="1" applyBorder="1" applyAlignment="1">
      <alignment horizontal="center"/>
    </xf>
    <xf numFmtId="0" fontId="0" fillId="0" borderId="16" xfId="0" applyFont="1" applyBorder="1" applyAlignment="1">
      <alignment horizontal="center"/>
    </xf>
    <xf numFmtId="0" fontId="0" fillId="0" borderId="3" xfId="0" applyFont="1" applyBorder="1"/>
    <xf numFmtId="0" fontId="1" fillId="0" borderId="42" xfId="0" applyFont="1" applyBorder="1"/>
    <xf numFmtId="0" fontId="1" fillId="0" borderId="0" xfId="0" applyFont="1"/>
    <xf numFmtId="0" fontId="0" fillId="0" borderId="27" xfId="0" applyFont="1" applyBorder="1" applyAlignment="1">
      <alignment horizontal="center"/>
    </xf>
    <xf numFmtId="0" fontId="10" fillId="35" borderId="25" xfId="0" applyFont="1" applyFill="1" applyBorder="1" applyAlignment="1">
      <alignment horizontal="center"/>
    </xf>
    <xf numFmtId="0" fontId="10" fillId="35" borderId="81" xfId="0" applyFont="1" applyFill="1" applyBorder="1" applyAlignment="1">
      <alignment horizontal="center"/>
    </xf>
    <xf numFmtId="0" fontId="10" fillId="35" borderId="67" xfId="0" applyFont="1" applyFill="1" applyBorder="1" applyAlignment="1">
      <alignment horizontal="center"/>
    </xf>
    <xf numFmtId="0" fontId="10" fillId="35" borderId="27" xfId="0" applyFont="1" applyFill="1" applyBorder="1" applyAlignment="1">
      <alignment horizontal="center"/>
    </xf>
    <xf numFmtId="0" fontId="10" fillId="35" borderId="93" xfId="0" applyFont="1" applyFill="1" applyBorder="1" applyAlignment="1">
      <alignment horizontal="center"/>
    </xf>
    <xf numFmtId="0" fontId="10" fillId="35" borderId="92" xfId="0" applyFont="1" applyFill="1" applyBorder="1" applyAlignment="1">
      <alignment horizontal="center"/>
    </xf>
    <xf numFmtId="0" fontId="0" fillId="2" borderId="1" xfId="0" applyFont="1" applyFill="1" applyBorder="1"/>
    <xf numFmtId="0" fontId="58" fillId="25" borderId="0" xfId="0" applyNumberFormat="1" applyFont="1" applyFill="1" applyBorder="1" applyAlignment="1" applyProtection="1">
      <alignment horizontal="left" wrapText="1"/>
    </xf>
    <xf numFmtId="0" fontId="10" fillId="35" borderId="86" xfId="0" applyFont="1" applyFill="1" applyBorder="1" applyAlignment="1">
      <alignment horizontal="center"/>
    </xf>
    <xf numFmtId="0" fontId="10" fillId="35" borderId="0" xfId="0" applyFont="1" applyFill="1" applyBorder="1" applyAlignment="1">
      <alignment horizontal="center"/>
    </xf>
    <xf numFmtId="0" fontId="10" fillId="35" borderId="41" xfId="0" applyFont="1" applyFill="1" applyBorder="1" applyAlignment="1">
      <alignment horizontal="center"/>
    </xf>
    <xf numFmtId="44" fontId="0" fillId="0" borderId="34" xfId="53" applyFont="1" applyBorder="1"/>
    <xf numFmtId="0" fontId="0" fillId="0" borderId="9" xfId="0" applyFont="1" applyBorder="1" applyAlignment="1">
      <alignment horizontal="center"/>
    </xf>
    <xf numFmtId="0" fontId="0" fillId="0" borderId="7" xfId="0" applyFont="1" applyBorder="1"/>
    <xf numFmtId="0" fontId="0" fillId="0" borderId="35" xfId="0" applyFont="1" applyBorder="1" applyAlignment="1">
      <alignment horizontal="center"/>
    </xf>
    <xf numFmtId="0" fontId="0" fillId="0" borderId="42" xfId="0" applyFont="1" applyBorder="1" applyAlignment="1">
      <alignment horizontal="center"/>
    </xf>
    <xf numFmtId="0" fontId="0" fillId="35" borderId="6" xfId="0" applyFont="1" applyFill="1" applyBorder="1" applyAlignment="1">
      <alignment horizontal="center"/>
    </xf>
    <xf numFmtId="0" fontId="0" fillId="35" borderId="49" xfId="0" applyFont="1" applyFill="1" applyBorder="1" applyAlignment="1">
      <alignment horizontal="center"/>
    </xf>
    <xf numFmtId="0" fontId="0" fillId="35" borderId="1" xfId="0" applyFont="1" applyFill="1" applyBorder="1" applyAlignment="1">
      <alignment horizontal="center"/>
    </xf>
    <xf numFmtId="0" fontId="0" fillId="35" borderId="34" xfId="0" applyFont="1" applyFill="1" applyBorder="1" applyAlignment="1">
      <alignment horizontal="center"/>
    </xf>
    <xf numFmtId="0" fontId="0" fillId="35" borderId="9" xfId="0" applyFont="1" applyFill="1" applyBorder="1" applyAlignment="1">
      <alignment horizontal="center"/>
    </xf>
    <xf numFmtId="0" fontId="0" fillId="35" borderId="37" xfId="0" applyFont="1" applyFill="1" applyBorder="1" applyAlignment="1">
      <alignment horizontal="center"/>
    </xf>
    <xf numFmtId="0" fontId="0" fillId="35" borderId="42" xfId="0" applyFont="1" applyFill="1" applyBorder="1" applyAlignment="1">
      <alignment horizontal="center"/>
    </xf>
    <xf numFmtId="0" fontId="0" fillId="36" borderId="1" xfId="0" applyFont="1" applyFill="1" applyBorder="1" applyAlignment="1">
      <alignment horizontal="center"/>
    </xf>
    <xf numFmtId="0" fontId="10" fillId="2" borderId="98" xfId="0" applyFont="1" applyFill="1" applyBorder="1" applyAlignment="1">
      <alignment horizontal="center" vertical="center" wrapText="1"/>
    </xf>
    <xf numFmtId="0" fontId="10" fillId="2" borderId="64" xfId="0" applyFont="1" applyFill="1" applyBorder="1" applyAlignment="1">
      <alignment horizontal="center" vertical="center" wrapText="1"/>
    </xf>
    <xf numFmtId="0" fontId="10" fillId="2" borderId="65" xfId="0" applyFont="1" applyFill="1" applyBorder="1" applyAlignment="1">
      <alignment horizontal="center" vertical="center" wrapText="1"/>
    </xf>
    <xf numFmtId="0" fontId="10" fillId="2" borderId="66" xfId="0" applyFont="1" applyFill="1" applyBorder="1" applyAlignment="1">
      <alignment horizontal="center" vertical="center" wrapText="1"/>
    </xf>
    <xf numFmtId="0" fontId="0" fillId="35" borderId="67" xfId="0" applyFont="1" applyFill="1" applyBorder="1" applyAlignment="1">
      <alignment horizontal="center"/>
    </xf>
    <xf numFmtId="0" fontId="0" fillId="35" borderId="51" xfId="0" applyFont="1" applyFill="1" applyBorder="1" applyAlignment="1">
      <alignment horizontal="center"/>
    </xf>
    <xf numFmtId="44" fontId="0" fillId="25" borderId="34" xfId="53" applyFont="1" applyFill="1" applyBorder="1"/>
    <xf numFmtId="0" fontId="0" fillId="0" borderId="16" xfId="0" applyFont="1" applyBorder="1" applyAlignment="1">
      <alignment horizontal="center" wrapText="1"/>
    </xf>
    <xf numFmtId="0" fontId="43" fillId="25" borderId="16" xfId="0" applyNumberFormat="1" applyFont="1" applyFill="1" applyBorder="1" applyAlignment="1" applyProtection="1">
      <alignment horizontal="center" vertical="center" wrapText="1"/>
    </xf>
    <xf numFmtId="0" fontId="0" fillId="0" borderId="11" xfId="0" applyFont="1" applyFill="1" applyBorder="1"/>
    <xf numFmtId="0" fontId="0" fillId="0" borderId="7" xfId="0" applyFont="1" applyFill="1" applyBorder="1"/>
    <xf numFmtId="0" fontId="0" fillId="35" borderId="7" xfId="0" applyFont="1" applyFill="1" applyBorder="1"/>
    <xf numFmtId="0" fontId="10" fillId="35" borderId="35" xfId="0" applyFont="1" applyFill="1" applyBorder="1" applyAlignment="1">
      <alignment horizontal="center"/>
    </xf>
    <xf numFmtId="0" fontId="0" fillId="25" borderId="35" xfId="0" applyFont="1" applyFill="1" applyBorder="1" applyAlignment="1">
      <alignment horizontal="center"/>
    </xf>
    <xf numFmtId="0" fontId="0" fillId="25" borderId="27" xfId="0" applyFont="1" applyFill="1" applyBorder="1" applyAlignment="1">
      <alignment horizontal="center"/>
    </xf>
    <xf numFmtId="0" fontId="10" fillId="2" borderId="64" xfId="0" applyFont="1" applyFill="1" applyBorder="1" applyAlignment="1">
      <alignment horizontal="center"/>
    </xf>
    <xf numFmtId="0" fontId="0" fillId="0" borderId="3" xfId="0" applyFont="1" applyBorder="1" applyAlignment="1">
      <alignment horizontal="center"/>
    </xf>
    <xf numFmtId="0" fontId="0" fillId="0" borderId="28" xfId="0" applyFont="1" applyBorder="1" applyAlignment="1">
      <alignment horizontal="center"/>
    </xf>
    <xf numFmtId="0" fontId="10" fillId="2" borderId="64" xfId="0" applyFont="1" applyFill="1" applyBorder="1" applyAlignment="1">
      <alignment horizontal="center"/>
    </xf>
    <xf numFmtId="0" fontId="10" fillId="2" borderId="99" xfId="0" applyFont="1" applyFill="1" applyBorder="1" applyAlignment="1">
      <alignment horizontal="center"/>
    </xf>
    <xf numFmtId="0" fontId="2" fillId="0" borderId="67" xfId="0" applyNumberFormat="1" applyFont="1" applyFill="1" applyBorder="1" applyAlignment="1" applyProtection="1">
      <alignment horizontal="left" vertical="center" wrapText="1"/>
    </xf>
    <xf numFmtId="0" fontId="2" fillId="0" borderId="42" xfId="0" applyNumberFormat="1" applyFont="1" applyFill="1" applyBorder="1" applyAlignment="1" applyProtection="1">
      <alignment horizontal="left" vertical="center" wrapText="1"/>
    </xf>
    <xf numFmtId="0" fontId="2" fillId="0" borderId="40" xfId="0" applyNumberFormat="1" applyFont="1" applyFill="1" applyBorder="1" applyAlignment="1" applyProtection="1">
      <alignment horizontal="left" vertical="center" wrapText="1"/>
    </xf>
    <xf numFmtId="0" fontId="1" fillId="2" borderId="66" xfId="0" applyFont="1" applyFill="1" applyBorder="1"/>
    <xf numFmtId="0" fontId="1" fillId="0" borderId="92" xfId="0" applyFont="1" applyBorder="1" applyAlignment="1"/>
    <xf numFmtId="0" fontId="1" fillId="0" borderId="42" xfId="0" applyFont="1" applyBorder="1" applyAlignment="1"/>
    <xf numFmtId="0" fontId="1" fillId="0" borderId="42" xfId="0" applyFont="1" applyBorder="1" applyAlignment="1">
      <alignment wrapText="1"/>
    </xf>
    <xf numFmtId="0" fontId="1" fillId="0" borderId="40" xfId="0" applyFont="1" applyBorder="1"/>
    <xf numFmtId="0" fontId="6" fillId="2" borderId="66" xfId="0" applyFont="1" applyFill="1" applyBorder="1"/>
    <xf numFmtId="0" fontId="1" fillId="0" borderId="92" xfId="0" applyFont="1" applyBorder="1"/>
    <xf numFmtId="0" fontId="1" fillId="0" borderId="51" xfId="0" applyFont="1" applyBorder="1"/>
    <xf numFmtId="0" fontId="1" fillId="0" borderId="92" xfId="0" applyFont="1" applyBorder="1" applyAlignment="1">
      <alignment horizontal="left" vertical="center" wrapText="1"/>
    </xf>
    <xf numFmtId="0" fontId="1" fillId="0" borderId="92" xfId="0" applyFont="1" applyBorder="1" applyAlignment="1">
      <alignment horizontal="left" vertical="center"/>
    </xf>
    <xf numFmtId="0" fontId="4" fillId="0" borderId="92" xfId="0" applyNumberFormat="1" applyFont="1" applyFill="1" applyBorder="1" applyAlignment="1" applyProtection="1">
      <alignment horizontal="left" vertical="center" wrapText="1"/>
    </xf>
    <xf numFmtId="0" fontId="2" fillId="0" borderId="42" xfId="0" applyNumberFormat="1" applyFont="1" applyFill="1" applyBorder="1" applyAlignment="1" applyProtection="1">
      <alignment horizontal="left" vertical="top" wrapText="1"/>
    </xf>
    <xf numFmtId="0" fontId="10" fillId="2" borderId="12" xfId="0" applyFont="1" applyFill="1" applyBorder="1" applyAlignment="1">
      <alignment horizontal="left" vertical="top"/>
    </xf>
    <xf numFmtId="0" fontId="10" fillId="2" borderId="13" xfId="0" applyFont="1" applyFill="1" applyBorder="1" applyAlignment="1">
      <alignment horizontal="left" vertical="top"/>
    </xf>
    <xf numFmtId="0" fontId="10" fillId="2" borderId="34" xfId="0" applyFont="1" applyFill="1" applyBorder="1" applyAlignment="1">
      <alignment horizontal="left" vertical="top"/>
    </xf>
    <xf numFmtId="0" fontId="2" fillId="25" borderId="80" xfId="0" applyNumberFormat="1" applyFont="1" applyFill="1" applyBorder="1" applyAlignment="1" applyProtection="1">
      <alignment horizontal="center" vertical="center" wrapText="1"/>
    </xf>
    <xf numFmtId="0" fontId="0" fillId="36" borderId="51" xfId="0" applyFont="1" applyFill="1" applyBorder="1" applyAlignment="1">
      <alignment horizontal="center"/>
    </xf>
    <xf numFmtId="0" fontId="0" fillId="36" borderId="9" xfId="0" applyFont="1" applyFill="1" applyBorder="1" applyAlignment="1">
      <alignment horizontal="center"/>
    </xf>
    <xf numFmtId="0" fontId="0" fillId="36" borderId="37" xfId="0" applyFont="1" applyFill="1" applyBorder="1" applyAlignment="1">
      <alignment horizontal="center"/>
    </xf>
    <xf numFmtId="0" fontId="0" fillId="25" borderId="1" xfId="0" applyFont="1" applyFill="1" applyBorder="1"/>
    <xf numFmtId="44" fontId="0" fillId="25" borderId="1" xfId="53" applyFont="1" applyFill="1" applyBorder="1"/>
    <xf numFmtId="0" fontId="0" fillId="25" borderId="9" xfId="0" applyFont="1" applyFill="1" applyBorder="1" applyAlignment="1">
      <alignment horizontal="center"/>
    </xf>
    <xf numFmtId="0" fontId="4" fillId="25" borderId="8" xfId="0" applyNumberFormat="1" applyFont="1" applyFill="1" applyBorder="1" applyAlignment="1" applyProtection="1">
      <alignment vertical="center" wrapText="1"/>
    </xf>
    <xf numFmtId="0" fontId="0" fillId="36" borderId="9" xfId="0" applyFont="1" applyFill="1" applyBorder="1"/>
    <xf numFmtId="0" fontId="0" fillId="36" borderId="1" xfId="0" applyFont="1" applyFill="1" applyBorder="1" applyAlignment="1"/>
    <xf numFmtId="0" fontId="0" fillId="35" borderId="40" xfId="0" applyFont="1" applyFill="1" applyBorder="1" applyAlignment="1">
      <alignment horizontal="center"/>
    </xf>
    <xf numFmtId="0" fontId="0" fillId="35" borderId="3" xfId="0" applyFont="1" applyFill="1" applyBorder="1" applyAlignment="1">
      <alignment horizontal="center"/>
    </xf>
    <xf numFmtId="0" fontId="0" fillId="35" borderId="87" xfId="0" applyFont="1" applyFill="1" applyBorder="1" applyAlignment="1">
      <alignment horizontal="center"/>
    </xf>
    <xf numFmtId="0" fontId="2" fillId="25" borderId="11" xfId="0" applyNumberFormat="1" applyFont="1" applyFill="1" applyBorder="1" applyAlignment="1" applyProtection="1">
      <alignment horizontal="left" vertical="top" wrapText="1"/>
    </xf>
    <xf numFmtId="0" fontId="0" fillId="36" borderId="35" xfId="0" applyFont="1" applyFill="1" applyBorder="1" applyAlignment="1"/>
    <xf numFmtId="0" fontId="0" fillId="36" borderId="35" xfId="0" applyFont="1" applyFill="1" applyBorder="1" applyAlignment="1">
      <alignment horizontal="center"/>
    </xf>
    <xf numFmtId="0" fontId="0" fillId="36" borderId="63" xfId="0" applyFont="1" applyFill="1" applyBorder="1" applyAlignment="1">
      <alignment horizontal="center"/>
    </xf>
    <xf numFmtId="0" fontId="6" fillId="2" borderId="98" xfId="0" applyFont="1" applyFill="1" applyBorder="1"/>
    <xf numFmtId="0" fontId="10" fillId="2" borderId="64" xfId="0" applyFont="1" applyFill="1" applyBorder="1" applyAlignment="1"/>
    <xf numFmtId="0" fontId="0" fillId="25" borderId="0" xfId="0" applyFont="1" applyFill="1" applyBorder="1" applyAlignment="1">
      <alignment horizontal="center"/>
    </xf>
    <xf numFmtId="44" fontId="0" fillId="0" borderId="1" xfId="53" applyFont="1" applyBorder="1"/>
    <xf numFmtId="0" fontId="3" fillId="34" borderId="17" xfId="0" applyNumberFormat="1" applyFont="1" applyFill="1" applyBorder="1" applyAlignment="1" applyProtection="1">
      <alignment horizontal="left" vertical="center" wrapText="1"/>
    </xf>
    <xf numFmtId="1" fontId="1" fillId="34" borderId="41" xfId="0" applyNumberFormat="1" applyFont="1" applyFill="1" applyBorder="1" applyAlignment="1">
      <alignment horizontal="center" vertical="center"/>
    </xf>
    <xf numFmtId="0" fontId="1" fillId="34" borderId="50" xfId="0" applyFont="1" applyFill="1" applyBorder="1" applyAlignment="1">
      <alignment horizontal="center" vertical="center"/>
    </xf>
    <xf numFmtId="170" fontId="1" fillId="34" borderId="50" xfId="1" applyNumberFormat="1" applyFont="1" applyFill="1" applyBorder="1" applyAlignment="1">
      <alignment horizontal="center" vertical="center"/>
    </xf>
    <xf numFmtId="2" fontId="1" fillId="34" borderId="50" xfId="0" applyNumberFormat="1" applyFont="1" applyFill="1" applyBorder="1" applyAlignment="1">
      <alignment horizontal="center" vertical="center"/>
    </xf>
    <xf numFmtId="1" fontId="1" fillId="34" borderId="50" xfId="0" applyNumberFormat="1" applyFont="1" applyFill="1" applyBorder="1" applyAlignment="1">
      <alignment horizontal="center" vertical="center"/>
    </xf>
    <xf numFmtId="44" fontId="1" fillId="34" borderId="50" xfId="53" applyFont="1" applyFill="1" applyBorder="1" applyAlignment="1">
      <alignment horizontal="center" vertical="center"/>
    </xf>
    <xf numFmtId="165" fontId="1" fillId="34" borderId="50" xfId="0" applyNumberFormat="1" applyFont="1" applyFill="1" applyBorder="1" applyAlignment="1">
      <alignment horizontal="center" vertical="center"/>
    </xf>
    <xf numFmtId="165" fontId="1" fillId="34" borderId="86" xfId="0" applyNumberFormat="1" applyFont="1" applyFill="1" applyBorder="1" applyAlignment="1">
      <alignment horizontal="center" vertical="center"/>
    </xf>
    <xf numFmtId="0" fontId="14" fillId="34" borderId="30" xfId="0" applyFont="1" applyFill="1" applyBorder="1" applyAlignment="1">
      <alignment horizontal="center" wrapText="1"/>
    </xf>
    <xf numFmtId="0" fontId="14" fillId="25" borderId="12" xfId="0" applyFont="1" applyFill="1" applyBorder="1" applyAlignment="1">
      <alignment horizontal="center" wrapText="1"/>
    </xf>
    <xf numFmtId="1" fontId="1" fillId="25" borderId="67" xfId="0" applyNumberFormat="1" applyFont="1" applyFill="1" applyBorder="1" applyAlignment="1">
      <alignment horizontal="center" vertical="center"/>
    </xf>
    <xf numFmtId="170" fontId="2" fillId="0" borderId="48" xfId="1" applyNumberFormat="1" applyFont="1" applyFill="1" applyBorder="1" applyAlignment="1" applyProtection="1">
      <alignment horizontal="center" vertical="center" wrapText="1"/>
    </xf>
    <xf numFmtId="170" fontId="2" fillId="0" borderId="9" xfId="1" applyNumberFormat="1" applyFont="1" applyFill="1" applyBorder="1" applyAlignment="1" applyProtection="1">
      <alignment horizontal="center" vertical="center" wrapText="1"/>
    </xf>
    <xf numFmtId="170" fontId="1" fillId="0" borderId="6" xfId="1" applyNumberFormat="1" applyFont="1" applyFill="1" applyBorder="1" applyAlignment="1">
      <alignment horizontal="center" vertical="center"/>
    </xf>
    <xf numFmtId="170" fontId="2" fillId="0" borderId="6" xfId="1" applyNumberFormat="1" applyFont="1" applyFill="1" applyBorder="1" applyAlignment="1" applyProtection="1">
      <alignment horizontal="center" vertical="center" wrapText="1"/>
    </xf>
    <xf numFmtId="170" fontId="1" fillId="0" borderId="1" xfId="1" applyNumberFormat="1" applyFont="1" applyFill="1" applyBorder="1" applyAlignment="1">
      <alignment horizontal="center" vertical="center"/>
    </xf>
    <xf numFmtId="170" fontId="1" fillId="0" borderId="9" xfId="1" applyNumberFormat="1" applyFont="1" applyFill="1" applyBorder="1" applyAlignment="1">
      <alignment horizontal="center" vertical="center"/>
    </xf>
    <xf numFmtId="170" fontId="1" fillId="0" borderId="35" xfId="1" applyNumberFormat="1" applyFont="1" applyFill="1" applyBorder="1" applyAlignment="1">
      <alignment horizontal="center" vertical="center"/>
    </xf>
    <xf numFmtId="170" fontId="1" fillId="0" borderId="3" xfId="1" applyNumberFormat="1" applyFont="1" applyFill="1" applyBorder="1" applyAlignment="1">
      <alignment horizontal="center" vertical="center"/>
    </xf>
    <xf numFmtId="170" fontId="1" fillId="0" borderId="94" xfId="1" applyNumberFormat="1" applyFont="1" applyFill="1" applyBorder="1" applyAlignment="1">
      <alignment horizontal="center" vertical="center"/>
    </xf>
    <xf numFmtId="2" fontId="1" fillId="0" borderId="1" xfId="0" applyNumberFormat="1" applyFont="1" applyFill="1" applyBorder="1" applyAlignment="1">
      <alignment horizontal="center" vertical="center"/>
    </xf>
    <xf numFmtId="0" fontId="10" fillId="35" borderId="49" xfId="0" applyFont="1" applyFill="1" applyBorder="1" applyAlignment="1">
      <alignment horizontal="center"/>
    </xf>
    <xf numFmtId="0" fontId="10" fillId="35" borderId="63" xfId="0" applyFont="1" applyFill="1" applyBorder="1" applyAlignment="1">
      <alignment horizontal="center"/>
    </xf>
    <xf numFmtId="0" fontId="0" fillId="35" borderId="1" xfId="0" applyFont="1" applyFill="1" applyBorder="1"/>
    <xf numFmtId="0" fontId="0" fillId="35" borderId="3" xfId="0" applyFont="1" applyFill="1" applyBorder="1"/>
    <xf numFmtId="0" fontId="0" fillId="35" borderId="8" xfId="0" applyFont="1" applyFill="1" applyBorder="1"/>
    <xf numFmtId="0" fontId="0" fillId="35" borderId="5" xfId="0" applyFont="1" applyFill="1" applyBorder="1"/>
    <xf numFmtId="0" fontId="0" fillId="2" borderId="92" xfId="0" applyFill="1" applyBorder="1" applyAlignment="1">
      <alignment horizontal="center"/>
    </xf>
    <xf numFmtId="0" fontId="0" fillId="2" borderId="35" xfId="0" applyFill="1" applyBorder="1" applyAlignment="1">
      <alignment horizontal="center"/>
    </xf>
    <xf numFmtId="0" fontId="0" fillId="2" borderId="42" xfId="0" applyFill="1" applyBorder="1" applyAlignment="1">
      <alignment horizontal="center"/>
    </xf>
    <xf numFmtId="0" fontId="0" fillId="2" borderId="1" xfId="0" applyFill="1" applyBorder="1" applyAlignment="1">
      <alignment horizontal="center"/>
    </xf>
    <xf numFmtId="0" fontId="0" fillId="26" borderId="1" xfId="0" applyFill="1" applyBorder="1"/>
    <xf numFmtId="0" fontId="0" fillId="2" borderId="1" xfId="0" applyFill="1" applyBorder="1"/>
    <xf numFmtId="0" fontId="44" fillId="26" borderId="1" xfId="0" applyFont="1" applyFill="1" applyBorder="1"/>
    <xf numFmtId="0" fontId="0" fillId="0" borderId="26" xfId="0" applyFont="1" applyBorder="1" applyAlignment="1">
      <alignment horizontal="center"/>
    </xf>
    <xf numFmtId="0" fontId="10" fillId="2" borderId="99" xfId="0" applyFont="1" applyFill="1" applyBorder="1" applyAlignment="1"/>
    <xf numFmtId="0" fontId="0" fillId="36" borderId="92" xfId="0" applyFont="1" applyFill="1" applyBorder="1" applyAlignment="1">
      <alignment horizontal="center"/>
    </xf>
    <xf numFmtId="0" fontId="10" fillId="35" borderId="5" xfId="0" applyFont="1" applyFill="1" applyBorder="1" applyAlignment="1">
      <alignment horizontal="center"/>
    </xf>
    <xf numFmtId="44" fontId="0" fillId="0" borderId="49" xfId="53" applyFont="1" applyBorder="1"/>
    <xf numFmtId="0" fontId="10" fillId="35" borderId="11" xfId="0" applyFont="1" applyFill="1" applyBorder="1" applyAlignment="1">
      <alignment horizontal="center"/>
    </xf>
    <xf numFmtId="0" fontId="10" fillId="35" borderId="97" xfId="0" applyFont="1" applyFill="1" applyBorder="1" applyAlignment="1">
      <alignment horizontal="center"/>
    </xf>
    <xf numFmtId="44" fontId="0" fillId="0" borderId="87" xfId="53" applyFont="1" applyBorder="1"/>
    <xf numFmtId="0" fontId="44" fillId="0" borderId="32" xfId="0" applyFont="1" applyFill="1" applyBorder="1"/>
    <xf numFmtId="0" fontId="10" fillId="35" borderId="34" xfId="0" applyFont="1" applyFill="1" applyBorder="1" applyAlignment="1">
      <alignment horizontal="center"/>
    </xf>
    <xf numFmtId="0" fontId="0" fillId="0" borderId="89" xfId="0" applyFont="1" applyBorder="1"/>
    <xf numFmtId="44" fontId="0" fillId="0" borderId="90" xfId="53" applyFont="1" applyBorder="1"/>
    <xf numFmtId="0" fontId="0" fillId="0" borderId="32" xfId="0" applyFont="1" applyBorder="1"/>
    <xf numFmtId="44" fontId="0" fillId="0" borderId="69" xfId="53" applyFont="1" applyBorder="1"/>
    <xf numFmtId="44" fontId="0" fillId="37" borderId="34" xfId="53" applyFont="1" applyFill="1" applyBorder="1"/>
    <xf numFmtId="44" fontId="0" fillId="38" borderId="34" xfId="53" applyFont="1" applyFill="1" applyBorder="1"/>
    <xf numFmtId="44" fontId="0" fillId="35" borderId="34" xfId="53" applyFont="1" applyFill="1" applyBorder="1"/>
    <xf numFmtId="44" fontId="0" fillId="35" borderId="37" xfId="53" applyFont="1" applyFill="1" applyBorder="1"/>
    <xf numFmtId="0" fontId="0" fillId="36" borderId="11" xfId="0" applyFont="1" applyFill="1" applyBorder="1" applyAlignment="1">
      <alignment horizontal="center"/>
    </xf>
    <xf numFmtId="0" fontId="0" fillId="36" borderId="8" xfId="0" applyFont="1" applyFill="1" applyBorder="1"/>
    <xf numFmtId="44" fontId="0" fillId="36" borderId="37" xfId="53" applyFont="1" applyFill="1" applyBorder="1"/>
    <xf numFmtId="0" fontId="1" fillId="2" borderId="98" xfId="0" applyFont="1" applyFill="1" applyBorder="1"/>
    <xf numFmtId="0" fontId="1" fillId="2" borderId="5" xfId="0" applyFont="1" applyFill="1" applyBorder="1" applyAlignment="1">
      <alignment horizontal="left"/>
    </xf>
    <xf numFmtId="0" fontId="1" fillId="2" borderId="7" xfId="0" applyFont="1" applyFill="1" applyBorder="1" applyAlignment="1">
      <alignment horizontal="left"/>
    </xf>
    <xf numFmtId="0" fontId="1" fillId="2" borderId="8" xfId="0" applyFont="1" applyFill="1" applyBorder="1" applyAlignment="1">
      <alignment horizontal="left"/>
    </xf>
    <xf numFmtId="0" fontId="0" fillId="0" borderId="49" xfId="0" applyFont="1" applyBorder="1" applyAlignment="1">
      <alignment horizontal="center"/>
    </xf>
    <xf numFmtId="1" fontId="0" fillId="0" borderId="34" xfId="0" applyNumberFormat="1" applyFont="1" applyBorder="1" applyAlignment="1">
      <alignment horizontal="center"/>
    </xf>
    <xf numFmtId="0" fontId="0" fillId="0" borderId="37" xfId="0" applyFont="1" applyBorder="1" applyAlignment="1">
      <alignment horizontal="center"/>
    </xf>
    <xf numFmtId="0" fontId="0" fillId="35" borderId="16" xfId="0" applyFont="1" applyFill="1" applyBorder="1" applyAlignment="1">
      <alignment horizontal="center"/>
    </xf>
    <xf numFmtId="165" fontId="0" fillId="25" borderId="1" xfId="0" applyNumberFormat="1" applyFont="1" applyFill="1" applyBorder="1" applyAlignment="1">
      <alignment horizontal="center"/>
    </xf>
    <xf numFmtId="0" fontId="1" fillId="0" borderId="68" xfId="0" applyFont="1" applyFill="1" applyBorder="1" applyAlignment="1"/>
    <xf numFmtId="0" fontId="1" fillId="0" borderId="7" xfId="0" applyFont="1" applyFill="1" applyBorder="1" applyAlignment="1"/>
    <xf numFmtId="0" fontId="0" fillId="35" borderId="68" xfId="0" applyFont="1" applyFill="1" applyBorder="1" applyAlignment="1">
      <alignment horizontal="center"/>
    </xf>
    <xf numFmtId="0" fontId="0" fillId="35" borderId="94" xfId="0" applyFont="1" applyFill="1" applyBorder="1" applyAlignment="1">
      <alignment horizontal="center"/>
    </xf>
    <xf numFmtId="0" fontId="0" fillId="35" borderId="69" xfId="0" applyFont="1" applyFill="1" applyBorder="1" applyAlignment="1">
      <alignment horizontal="center"/>
    </xf>
    <xf numFmtId="0" fontId="44" fillId="0" borderId="7" xfId="0" applyFont="1" applyFill="1" applyBorder="1"/>
    <xf numFmtId="0" fontId="1" fillId="0" borderId="42" xfId="0" applyFont="1" applyBorder="1" applyAlignment="1">
      <alignment horizontal="left" vertical="center"/>
    </xf>
    <xf numFmtId="0" fontId="4" fillId="0" borderId="42" xfId="0" applyNumberFormat="1" applyFont="1" applyFill="1" applyBorder="1" applyAlignment="1" applyProtection="1">
      <alignment horizontal="left" vertical="center" wrapText="1"/>
    </xf>
    <xf numFmtId="0" fontId="1" fillId="0" borderId="68" xfId="0" applyFont="1" applyBorder="1"/>
    <xf numFmtId="0" fontId="0" fillId="35" borderId="41" xfId="0" applyFont="1" applyFill="1" applyBorder="1" applyAlignment="1">
      <alignment horizontal="center"/>
    </xf>
    <xf numFmtId="0" fontId="0" fillId="35" borderId="50" xfId="0" applyFont="1" applyFill="1" applyBorder="1" applyAlignment="1">
      <alignment horizontal="center"/>
    </xf>
    <xf numFmtId="0" fontId="0" fillId="35" borderId="90" xfId="0" applyFont="1" applyFill="1" applyBorder="1" applyAlignment="1">
      <alignment horizontal="center"/>
    </xf>
    <xf numFmtId="0" fontId="0" fillId="35" borderId="88" xfId="0" applyFont="1" applyFill="1" applyBorder="1" applyAlignment="1">
      <alignment horizontal="center"/>
    </xf>
    <xf numFmtId="0" fontId="10" fillId="2" borderId="80" xfId="0" applyFont="1" applyFill="1" applyBorder="1" applyAlignment="1">
      <alignment horizontal="left" vertical="top" wrapText="1"/>
    </xf>
    <xf numFmtId="0" fontId="0" fillId="35" borderId="32" xfId="0" applyFont="1" applyFill="1" applyBorder="1"/>
    <xf numFmtId="167" fontId="5" fillId="2" borderId="22" xfId="0" applyNumberFormat="1" applyFont="1" applyFill="1" applyBorder="1" applyAlignment="1">
      <alignment horizontal="center" vertical="center"/>
    </xf>
    <xf numFmtId="44" fontId="0" fillId="36" borderId="34" xfId="53" applyFont="1" applyFill="1" applyBorder="1"/>
    <xf numFmtId="44" fontId="0" fillId="36" borderId="49" xfId="53" applyFont="1" applyFill="1" applyBorder="1"/>
    <xf numFmtId="44" fontId="0" fillId="36" borderId="87" xfId="53" applyFont="1" applyFill="1" applyBorder="1"/>
    <xf numFmtId="0" fontId="0" fillId="0" borderId="0" xfId="0" applyFont="1" applyAlignment="1">
      <alignment horizontal="center" vertical="center"/>
    </xf>
    <xf numFmtId="0" fontId="0" fillId="0" borderId="34" xfId="0" applyFont="1" applyBorder="1"/>
    <xf numFmtId="0" fontId="0" fillId="0" borderId="37" xfId="0" applyFont="1" applyBorder="1"/>
    <xf numFmtId="0" fontId="0" fillId="0" borderId="42" xfId="0" applyFont="1" applyBorder="1"/>
    <xf numFmtId="0" fontId="0" fillId="0" borderId="1" xfId="0" applyFont="1" applyBorder="1" applyAlignment="1"/>
    <xf numFmtId="0" fontId="0" fillId="0" borderId="0" xfId="0" applyFont="1" applyBorder="1" applyAlignment="1">
      <alignment horizontal="center"/>
    </xf>
    <xf numFmtId="0" fontId="44" fillId="0" borderId="1" xfId="0" applyNumberFormat="1" applyFont="1" applyFill="1" applyBorder="1" applyAlignment="1" applyProtection="1">
      <alignment horizontal="left" vertical="center" wrapText="1"/>
    </xf>
    <xf numFmtId="0" fontId="44" fillId="25" borderId="0" xfId="0" applyNumberFormat="1" applyFont="1" applyFill="1" applyBorder="1" applyAlignment="1" applyProtection="1">
      <alignment horizontal="left" vertical="top" wrapText="1"/>
    </xf>
    <xf numFmtId="44" fontId="0" fillId="0" borderId="1" xfId="53" applyFont="1" applyBorder="1" applyAlignment="1">
      <alignment horizontal="center"/>
    </xf>
    <xf numFmtId="0" fontId="0" fillId="25" borderId="1" xfId="0" applyFont="1" applyFill="1" applyBorder="1" applyAlignment="1">
      <alignment horizontal="center" vertical="center"/>
    </xf>
    <xf numFmtId="0" fontId="0" fillId="0" borderId="1" xfId="0" applyFont="1" applyBorder="1" applyAlignment="1">
      <alignment horizontal="left" vertical="center"/>
    </xf>
    <xf numFmtId="0" fontId="43" fillId="0" borderId="1" xfId="0" applyNumberFormat="1" applyFont="1" applyFill="1" applyBorder="1" applyAlignment="1" applyProtection="1">
      <alignment horizontal="left" vertical="center" wrapText="1"/>
    </xf>
    <xf numFmtId="0" fontId="0" fillId="25" borderId="1" xfId="0" applyFont="1" applyFill="1" applyBorder="1" applyAlignment="1">
      <alignment horizontal="center" wrapText="1"/>
    </xf>
    <xf numFmtId="0" fontId="0" fillId="25" borderId="1" xfId="0" applyFont="1" applyFill="1" applyBorder="1" applyAlignment="1">
      <alignment horizontal="center" vertical="center" wrapText="1"/>
    </xf>
    <xf numFmtId="2" fontId="0" fillId="25" borderId="1" xfId="0" applyNumberFormat="1" applyFont="1" applyFill="1" applyBorder="1" applyAlignment="1">
      <alignment horizontal="center"/>
    </xf>
    <xf numFmtId="0" fontId="44" fillId="25" borderId="1" xfId="0" applyNumberFormat="1" applyFont="1" applyFill="1" applyBorder="1" applyAlignment="1" applyProtection="1">
      <alignment horizontal="left" vertical="top" wrapText="1"/>
    </xf>
    <xf numFmtId="0" fontId="43" fillId="25" borderId="1" xfId="0" applyNumberFormat="1" applyFont="1" applyFill="1" applyBorder="1" applyAlignment="1" applyProtection="1">
      <alignment vertical="center" wrapText="1"/>
    </xf>
    <xf numFmtId="0" fontId="0" fillId="2" borderId="5" xfId="0" applyFont="1" applyFill="1" applyBorder="1"/>
    <xf numFmtId="0" fontId="10" fillId="2" borderId="7" xfId="0" applyFont="1" applyFill="1" applyBorder="1" applyAlignment="1">
      <alignment horizontal="left"/>
    </xf>
    <xf numFmtId="0" fontId="43" fillId="25" borderId="9" xfId="0" applyNumberFormat="1" applyFont="1" applyFill="1" applyBorder="1" applyAlignment="1" applyProtection="1">
      <alignment vertical="center" wrapText="1"/>
    </xf>
    <xf numFmtId="0" fontId="0" fillId="0" borderId="9" xfId="0" applyFont="1" applyBorder="1"/>
    <xf numFmtId="44" fontId="0" fillId="0" borderId="9" xfId="53" applyFont="1" applyBorder="1"/>
    <xf numFmtId="0" fontId="0" fillId="35" borderId="34" xfId="0" applyFont="1" applyFill="1" applyBorder="1"/>
    <xf numFmtId="44" fontId="0" fillId="0" borderId="3" xfId="53" applyFont="1" applyBorder="1"/>
    <xf numFmtId="0" fontId="0" fillId="35" borderId="87" xfId="0" applyFont="1" applyFill="1" applyBorder="1"/>
    <xf numFmtId="0" fontId="0" fillId="35" borderId="35" xfId="0" applyFont="1" applyFill="1" applyBorder="1"/>
    <xf numFmtId="44" fontId="0" fillId="0" borderId="35" xfId="53" applyFont="1" applyBorder="1"/>
    <xf numFmtId="0" fontId="0" fillId="35" borderId="63" xfId="0" applyFont="1" applyFill="1" applyBorder="1"/>
    <xf numFmtId="0" fontId="44" fillId="0" borderId="35" xfId="0" applyNumberFormat="1" applyFont="1" applyFill="1" applyBorder="1" applyAlignment="1" applyProtection="1">
      <alignment horizontal="left" vertical="center" wrapText="1"/>
    </xf>
    <xf numFmtId="0" fontId="10" fillId="2" borderId="98" xfId="0" applyFont="1" applyFill="1" applyBorder="1"/>
    <xf numFmtId="0" fontId="0" fillId="0" borderId="35" xfId="0" applyFont="1" applyBorder="1"/>
    <xf numFmtId="0" fontId="10" fillId="2" borderId="64" xfId="0" applyFont="1" applyFill="1" applyBorder="1" applyAlignment="1">
      <alignment horizontal="center" vertical="center"/>
    </xf>
    <xf numFmtId="0" fontId="0" fillId="2" borderId="4" xfId="0" applyFont="1" applyFill="1" applyBorder="1"/>
    <xf numFmtId="0" fontId="0" fillId="2" borderId="66" xfId="0" applyFont="1" applyFill="1" applyBorder="1"/>
    <xf numFmtId="0" fontId="0" fillId="0" borderId="92" xfId="0" applyFont="1" applyBorder="1" applyAlignment="1"/>
    <xf numFmtId="0" fontId="0" fillId="0" borderId="42" xfId="0" applyFont="1" applyBorder="1" applyAlignment="1"/>
    <xf numFmtId="0" fontId="0" fillId="0" borderId="40" xfId="0" applyFont="1" applyFill="1" applyBorder="1" applyAlignment="1"/>
    <xf numFmtId="0" fontId="44" fillId="0" borderId="92" xfId="0" applyNumberFormat="1" applyFont="1" applyFill="1" applyBorder="1" applyAlignment="1" applyProtection="1">
      <alignment horizontal="left" vertical="center" wrapText="1"/>
    </xf>
    <xf numFmtId="0" fontId="44" fillId="0" borderId="42" xfId="0" applyNumberFormat="1" applyFont="1" applyFill="1" applyBorder="1" applyAlignment="1" applyProtection="1">
      <alignment horizontal="left" vertical="center" wrapText="1"/>
    </xf>
    <xf numFmtId="0" fontId="44" fillId="0" borderId="40" xfId="0" applyNumberFormat="1" applyFont="1" applyFill="1" applyBorder="1" applyAlignment="1" applyProtection="1">
      <alignment horizontal="left" vertical="center" wrapText="1"/>
    </xf>
    <xf numFmtId="0" fontId="0" fillId="0" borderId="42" xfId="0" applyFont="1" applyBorder="1" applyAlignment="1">
      <alignment wrapText="1"/>
    </xf>
    <xf numFmtId="0" fontId="10" fillId="2" borderId="4" xfId="0" applyFont="1" applyFill="1" applyBorder="1" applyAlignment="1">
      <alignment horizontal="left" vertical="top" wrapText="1"/>
    </xf>
    <xf numFmtId="0" fontId="43" fillId="25" borderId="1" xfId="0" applyNumberFormat="1" applyFont="1" applyFill="1" applyBorder="1" applyAlignment="1" applyProtection="1">
      <alignment wrapText="1"/>
    </xf>
    <xf numFmtId="1" fontId="0" fillId="25" borderId="1" xfId="0" applyNumberFormat="1" applyFont="1" applyFill="1" applyBorder="1" applyAlignment="1">
      <alignment horizontal="center"/>
    </xf>
    <xf numFmtId="0" fontId="0" fillId="25" borderId="1" xfId="0" applyFont="1" applyFill="1" applyBorder="1" applyAlignment="1">
      <alignment wrapText="1"/>
    </xf>
    <xf numFmtId="0" fontId="10" fillId="2" borderId="48" xfId="0" applyFont="1" applyFill="1" applyBorder="1" applyAlignment="1">
      <alignment horizontal="center"/>
    </xf>
    <xf numFmtId="0" fontId="0" fillId="0" borderId="6" xfId="0" applyFont="1" applyBorder="1" applyAlignment="1">
      <alignment horizontal="center"/>
    </xf>
    <xf numFmtId="0" fontId="10" fillId="2" borderId="30" xfId="0" applyFont="1" applyFill="1" applyBorder="1" applyAlignment="1">
      <alignment vertical="top" wrapText="1"/>
    </xf>
    <xf numFmtId="0" fontId="10" fillId="2" borderId="17" xfId="0" applyFont="1" applyFill="1" applyBorder="1" applyAlignment="1">
      <alignment vertical="top" wrapText="1"/>
    </xf>
    <xf numFmtId="0" fontId="10" fillId="2" borderId="22" xfId="0" applyFont="1" applyFill="1" applyBorder="1" applyAlignment="1">
      <alignment vertical="top" wrapText="1"/>
    </xf>
    <xf numFmtId="44" fontId="0" fillId="35" borderId="1" xfId="53" applyFont="1" applyFill="1" applyBorder="1"/>
    <xf numFmtId="0" fontId="0" fillId="36" borderId="1" xfId="0" applyFont="1" applyFill="1" applyBorder="1"/>
    <xf numFmtId="0" fontId="0" fillId="35" borderId="9" xfId="0" applyFont="1" applyFill="1" applyBorder="1"/>
    <xf numFmtId="0" fontId="0" fillId="35" borderId="37" xfId="0" applyFont="1" applyFill="1" applyBorder="1"/>
    <xf numFmtId="0" fontId="10" fillId="2" borderId="23" xfId="0" applyFont="1" applyFill="1" applyBorder="1" applyAlignment="1">
      <alignment horizontal="left" vertical="top"/>
    </xf>
    <xf numFmtId="0" fontId="10" fillId="2" borderId="7" xfId="0" applyFont="1" applyFill="1" applyBorder="1" applyAlignment="1">
      <alignment horizontal="left" vertical="top"/>
    </xf>
    <xf numFmtId="0" fontId="10" fillId="0" borderId="0" xfId="0" applyFont="1" applyBorder="1" applyAlignment="1">
      <alignment horizontal="left" vertical="top"/>
    </xf>
    <xf numFmtId="0" fontId="10" fillId="2" borderId="30" xfId="0" applyFont="1" applyFill="1" applyBorder="1" applyAlignment="1">
      <alignment horizontal="left" vertical="top" wrapText="1"/>
    </xf>
    <xf numFmtId="0" fontId="10" fillId="2" borderId="17" xfId="0" applyFont="1" applyFill="1" applyBorder="1" applyAlignment="1">
      <alignment horizontal="left" vertical="top" wrapText="1"/>
    </xf>
    <xf numFmtId="0" fontId="10" fillId="2" borderId="22" xfId="0" applyFont="1" applyFill="1" applyBorder="1" applyAlignment="1">
      <alignment horizontal="left" vertical="top" wrapText="1"/>
    </xf>
    <xf numFmtId="0" fontId="10" fillId="0" borderId="0" xfId="0" applyFont="1" applyAlignment="1">
      <alignment horizontal="left" vertical="top"/>
    </xf>
    <xf numFmtId="0" fontId="0" fillId="0" borderId="40" xfId="0" applyFont="1" applyBorder="1"/>
    <xf numFmtId="0" fontId="0" fillId="25" borderId="35" xfId="0" applyFont="1" applyFill="1" applyBorder="1" applyAlignment="1">
      <alignment horizontal="center" vertical="center"/>
    </xf>
    <xf numFmtId="44" fontId="0" fillId="25" borderId="35" xfId="53" applyFont="1" applyFill="1" applyBorder="1"/>
    <xf numFmtId="0" fontId="0" fillId="36" borderId="35" xfId="0" applyFont="1" applyFill="1" applyBorder="1"/>
    <xf numFmtId="0" fontId="10" fillId="2" borderId="64" xfId="0" applyFont="1" applyFill="1" applyBorder="1"/>
    <xf numFmtId="0" fontId="10" fillId="2" borderId="97" xfId="0" applyFont="1" applyFill="1" applyBorder="1" applyAlignment="1">
      <alignment vertical="top" wrapText="1"/>
    </xf>
    <xf numFmtId="0" fontId="10" fillId="2" borderId="11" xfId="0" applyFont="1" applyFill="1" applyBorder="1" applyAlignment="1">
      <alignment vertical="top" wrapText="1"/>
    </xf>
    <xf numFmtId="165" fontId="0" fillId="0" borderId="25" xfId="0" applyNumberFormat="1" applyFont="1" applyBorder="1" applyAlignment="1">
      <alignment vertical="center"/>
    </xf>
    <xf numFmtId="165" fontId="0" fillId="0" borderId="16" xfId="0" applyNumberFormat="1" applyFont="1" applyBorder="1" applyAlignment="1">
      <alignment vertical="center"/>
    </xf>
    <xf numFmtId="0" fontId="0" fillId="35" borderId="42" xfId="0" applyFont="1" applyFill="1" applyBorder="1" applyAlignment="1">
      <alignment horizontal="center" vertical="center"/>
    </xf>
    <xf numFmtId="0" fontId="44" fillId="25" borderId="1" xfId="0" applyNumberFormat="1" applyFont="1" applyFill="1" applyBorder="1" applyAlignment="1" applyProtection="1">
      <alignment horizontal="left" vertical="center" wrapText="1"/>
    </xf>
    <xf numFmtId="0" fontId="44" fillId="25" borderId="3" xfId="0" applyNumberFormat="1" applyFont="1" applyFill="1" applyBorder="1" applyAlignment="1" applyProtection="1">
      <alignment horizontal="left" vertical="center" wrapText="1"/>
    </xf>
    <xf numFmtId="0" fontId="0" fillId="25" borderId="3" xfId="0" applyFont="1" applyFill="1" applyBorder="1" applyAlignment="1">
      <alignment horizontal="center" vertical="center"/>
    </xf>
    <xf numFmtId="0" fontId="44" fillId="25" borderId="3" xfId="0" applyNumberFormat="1" applyFont="1" applyFill="1" applyBorder="1" applyAlignment="1" applyProtection="1">
      <alignment horizontal="center" wrapText="1"/>
    </xf>
    <xf numFmtId="0" fontId="44" fillId="25" borderId="3" xfId="0" applyNumberFormat="1" applyFont="1" applyFill="1" applyBorder="1" applyAlignment="1" applyProtection="1">
      <alignment horizontal="center" vertical="center" wrapText="1"/>
    </xf>
    <xf numFmtId="0" fontId="44" fillId="25" borderId="35" xfId="0" applyNumberFormat="1" applyFont="1" applyFill="1" applyBorder="1" applyAlignment="1" applyProtection="1">
      <alignment horizontal="left" vertical="center" wrapText="1"/>
    </xf>
    <xf numFmtId="2" fontId="0" fillId="25" borderId="35" xfId="0" applyNumberFormat="1" applyFont="1" applyFill="1" applyBorder="1" applyAlignment="1">
      <alignment horizontal="center"/>
    </xf>
    <xf numFmtId="1" fontId="0" fillId="25" borderId="35" xfId="0" applyNumberFormat="1" applyFont="1" applyFill="1" applyBorder="1" applyAlignment="1">
      <alignment horizontal="center"/>
    </xf>
    <xf numFmtId="0" fontId="0" fillId="25" borderId="35" xfId="0" applyFont="1" applyFill="1" applyBorder="1" applyAlignment="1">
      <alignment wrapText="1"/>
    </xf>
    <xf numFmtId="0" fontId="0" fillId="25" borderId="35" xfId="0" applyFont="1" applyFill="1" applyBorder="1" applyAlignment="1">
      <alignment horizontal="center" vertical="center" wrapText="1"/>
    </xf>
    <xf numFmtId="0" fontId="10" fillId="2" borderId="64" xfId="0" applyFont="1" applyFill="1" applyBorder="1" applyAlignment="1">
      <alignment horizontal="left" vertical="center" wrapText="1"/>
    </xf>
    <xf numFmtId="0" fontId="10" fillId="2" borderId="64" xfId="0" applyFont="1" applyFill="1" applyBorder="1" applyAlignment="1">
      <alignment horizontal="center" wrapText="1"/>
    </xf>
    <xf numFmtId="0" fontId="10" fillId="36" borderId="35" xfId="0" applyFont="1" applyFill="1" applyBorder="1" applyAlignment="1">
      <alignment horizontal="center"/>
    </xf>
    <xf numFmtId="0" fontId="10" fillId="36" borderId="1" xfId="0" applyFont="1" applyFill="1" applyBorder="1" applyAlignment="1">
      <alignment horizontal="center"/>
    </xf>
    <xf numFmtId="165" fontId="0" fillId="36" borderId="1" xfId="0" applyNumberFormat="1" applyFont="1" applyFill="1" applyBorder="1" applyAlignment="1">
      <alignment horizontal="center"/>
    </xf>
    <xf numFmtId="2" fontId="0" fillId="36" borderId="1" xfId="0" applyNumberFormat="1" applyFont="1" applyFill="1" applyBorder="1" applyAlignment="1">
      <alignment horizontal="center"/>
    </xf>
    <xf numFmtId="165" fontId="0" fillId="25" borderId="35" xfId="0" applyNumberFormat="1" applyFont="1" applyFill="1" applyBorder="1" applyAlignment="1">
      <alignment horizontal="center"/>
    </xf>
    <xf numFmtId="2" fontId="0" fillId="36" borderId="35" xfId="0" applyNumberFormat="1" applyFont="1" applyFill="1" applyBorder="1" applyAlignment="1">
      <alignment horizontal="center"/>
    </xf>
    <xf numFmtId="0" fontId="43" fillId="25" borderId="35" xfId="0" applyNumberFormat="1" applyFont="1" applyFill="1" applyBorder="1" applyAlignment="1" applyProtection="1">
      <alignment horizontal="center" vertical="center" wrapText="1"/>
    </xf>
    <xf numFmtId="0" fontId="43" fillId="36" borderId="1" xfId="0" applyNumberFormat="1" applyFont="1" applyFill="1" applyBorder="1" applyAlignment="1" applyProtection="1">
      <alignment vertical="center" wrapText="1"/>
    </xf>
    <xf numFmtId="44" fontId="0" fillId="35" borderId="35" xfId="53" applyFont="1" applyFill="1" applyBorder="1"/>
    <xf numFmtId="0" fontId="0" fillId="35" borderId="1" xfId="0" applyFont="1" applyFill="1" applyBorder="1" applyAlignment="1"/>
    <xf numFmtId="0" fontId="10" fillId="39" borderId="1" xfId="0" applyFont="1" applyFill="1" applyBorder="1"/>
    <xf numFmtId="0" fontId="10" fillId="39" borderId="1" xfId="0" applyFont="1" applyFill="1" applyBorder="1" applyAlignment="1">
      <alignment horizontal="center"/>
    </xf>
    <xf numFmtId="0" fontId="10" fillId="39" borderId="1" xfId="0" applyFont="1" applyFill="1" applyBorder="1" applyAlignment="1"/>
    <xf numFmtId="0" fontId="0" fillId="35" borderId="40" xfId="0" applyFont="1" applyFill="1" applyBorder="1" applyAlignment="1">
      <alignment horizontal="center" vertical="center"/>
    </xf>
    <xf numFmtId="44" fontId="0" fillId="35" borderId="3" xfId="53" applyFont="1" applyFill="1" applyBorder="1" applyAlignment="1">
      <alignment horizontal="center"/>
    </xf>
    <xf numFmtId="0" fontId="0" fillId="0" borderId="92" xfId="0" applyFont="1" applyBorder="1"/>
    <xf numFmtId="0" fontId="0" fillId="0" borderId="98" xfId="0" applyFont="1" applyBorder="1"/>
    <xf numFmtId="0" fontId="0" fillId="35" borderId="64" xfId="0" applyFont="1" applyFill="1" applyBorder="1" applyAlignment="1">
      <alignment horizontal="center"/>
    </xf>
    <xf numFmtId="0" fontId="0" fillId="35" borderId="64" xfId="0" applyFont="1" applyFill="1" applyBorder="1"/>
    <xf numFmtId="44" fontId="0" fillId="0" borderId="64" xfId="53" applyFont="1" applyBorder="1"/>
    <xf numFmtId="0" fontId="0" fillId="35" borderId="65" xfId="0" applyFont="1" applyFill="1" applyBorder="1"/>
    <xf numFmtId="165" fontId="0" fillId="0" borderId="1" xfId="0" applyNumberFormat="1" applyFont="1" applyBorder="1"/>
    <xf numFmtId="165" fontId="0" fillId="0" borderId="34" xfId="0" applyNumberFormat="1" applyFont="1" applyBorder="1"/>
    <xf numFmtId="0" fontId="0" fillId="0" borderId="8" xfId="0" applyFont="1" applyBorder="1"/>
    <xf numFmtId="0" fontId="10" fillId="0" borderId="37" xfId="0" applyFont="1" applyBorder="1"/>
    <xf numFmtId="0" fontId="6" fillId="2" borderId="5" xfId="0" applyFont="1" applyFill="1" applyBorder="1" applyAlignment="1">
      <alignment horizontal="left"/>
    </xf>
    <xf numFmtId="0" fontId="6" fillId="2" borderId="7" xfId="0" applyFont="1" applyFill="1" applyBorder="1" applyAlignment="1">
      <alignment horizontal="left"/>
    </xf>
    <xf numFmtId="0" fontId="6" fillId="2" borderId="8" xfId="0" applyFont="1" applyFill="1" applyBorder="1" applyAlignment="1">
      <alignment horizontal="left"/>
    </xf>
    <xf numFmtId="0" fontId="10" fillId="2" borderId="8" xfId="0" applyFont="1" applyFill="1" applyBorder="1" applyAlignment="1">
      <alignment horizontal="left"/>
    </xf>
    <xf numFmtId="0" fontId="10" fillId="2" borderId="6" xfId="0" applyFont="1" applyFill="1" applyBorder="1" applyAlignment="1">
      <alignment horizontal="center"/>
    </xf>
    <xf numFmtId="0" fontId="10" fillId="2" borderId="49" xfId="0" applyFont="1" applyFill="1" applyBorder="1" applyAlignment="1">
      <alignment horizontal="center"/>
    </xf>
    <xf numFmtId="0" fontId="10" fillId="2" borderId="5" xfId="0" applyFont="1" applyFill="1" applyBorder="1" applyAlignment="1">
      <alignment horizontal="center" wrapText="1"/>
    </xf>
    <xf numFmtId="0" fontId="10" fillId="2" borderId="49" xfId="0" applyFont="1" applyFill="1" applyBorder="1" applyAlignment="1">
      <alignment horizontal="center" wrapText="1"/>
    </xf>
    <xf numFmtId="0" fontId="42" fillId="2" borderId="85" xfId="0" applyFont="1" applyFill="1" applyBorder="1" applyAlignment="1">
      <alignment horizontal="center" vertical="center" wrapText="1"/>
    </xf>
    <xf numFmtId="0" fontId="42" fillId="2" borderId="65" xfId="0" applyFont="1" applyFill="1" applyBorder="1" applyAlignment="1">
      <alignment horizontal="center" vertical="center" wrapText="1"/>
    </xf>
    <xf numFmtId="0" fontId="42" fillId="2" borderId="78" xfId="0" applyFont="1" applyFill="1" applyBorder="1" applyAlignment="1">
      <alignment horizontal="center" vertical="center" wrapText="1"/>
    </xf>
    <xf numFmtId="0" fontId="42" fillId="2" borderId="48" xfId="0" applyFont="1" applyFill="1" applyBorder="1" applyAlignment="1">
      <alignment horizontal="center" vertical="center" wrapText="1"/>
    </xf>
    <xf numFmtId="0" fontId="42" fillId="2" borderId="64" xfId="0" applyFont="1" applyFill="1" applyBorder="1" applyAlignment="1">
      <alignment horizontal="center" vertical="center" wrapText="1"/>
    </xf>
    <xf numFmtId="0" fontId="10" fillId="2" borderId="79" xfId="0" applyFont="1" applyFill="1" applyBorder="1" applyAlignment="1">
      <alignment horizontal="center"/>
    </xf>
    <xf numFmtId="0" fontId="0" fillId="0" borderId="1" xfId="0" applyFont="1" applyBorder="1" applyAlignment="1">
      <alignment horizontal="center"/>
    </xf>
    <xf numFmtId="0" fontId="0" fillId="0" borderId="2" xfId="0" applyFont="1" applyBorder="1"/>
    <xf numFmtId="0" fontId="0" fillId="0" borderId="84" xfId="0" applyFont="1" applyBorder="1"/>
    <xf numFmtId="0" fontId="43" fillId="25" borderId="35" xfId="0" applyNumberFormat="1" applyFont="1" applyFill="1" applyBorder="1" applyAlignment="1" applyProtection="1">
      <alignment vertical="center" wrapText="1"/>
    </xf>
    <xf numFmtId="0" fontId="0" fillId="35" borderId="35" xfId="0" applyFont="1" applyFill="1" applyBorder="1" applyAlignment="1">
      <alignment horizontal="center"/>
    </xf>
    <xf numFmtId="2" fontId="1" fillId="25" borderId="42" xfId="0" applyNumberFormat="1" applyFont="1" applyFill="1" applyBorder="1" applyAlignment="1">
      <alignment horizontal="center" vertical="center"/>
    </xf>
    <xf numFmtId="0" fontId="66" fillId="40" borderId="0" xfId="0" applyFont="1" applyFill="1" applyBorder="1"/>
    <xf numFmtId="0" fontId="67" fillId="40" borderId="0" xfId="51" applyFont="1" applyFill="1" applyBorder="1"/>
    <xf numFmtId="0" fontId="68" fillId="40" borderId="0" xfId="51" applyFont="1" applyFill="1" applyBorder="1"/>
    <xf numFmtId="0" fontId="66" fillId="40" borderId="0" xfId="51" applyFont="1" applyFill="1" applyBorder="1"/>
    <xf numFmtId="0" fontId="69" fillId="41" borderId="23" xfId="0" applyFont="1" applyFill="1" applyBorder="1" applyAlignment="1">
      <alignment horizontal="center" vertical="center"/>
    </xf>
    <xf numFmtId="168" fontId="69" fillId="41" borderId="24" xfId="33" applyNumberFormat="1" applyFont="1" applyFill="1" applyBorder="1" applyAlignment="1">
      <alignment horizontal="center" vertical="center" wrapText="1"/>
    </xf>
    <xf numFmtId="0" fontId="70" fillId="40" borderId="0" xfId="51" applyFont="1" applyFill="1" applyBorder="1"/>
    <xf numFmtId="0" fontId="32" fillId="25" borderId="0" xfId="0" applyFont="1" applyFill="1" applyBorder="1"/>
    <xf numFmtId="0" fontId="33" fillId="42" borderId="4" xfId="358" applyNumberFormat="1" applyFont="1" applyFill="1" applyBorder="1" applyAlignment="1">
      <alignment horizontal="center" vertical="center" wrapText="1"/>
    </xf>
    <xf numFmtId="0" fontId="32" fillId="42" borderId="66" xfId="358" applyNumberFormat="1" applyFont="1" applyFill="1" applyBorder="1" applyAlignment="1">
      <alignment horizontal="center" wrapText="1"/>
    </xf>
    <xf numFmtId="0" fontId="32" fillId="42" borderId="64" xfId="358" applyNumberFormat="1" applyFont="1" applyFill="1" applyBorder="1" applyAlignment="1">
      <alignment horizontal="center" wrapText="1"/>
    </xf>
    <xf numFmtId="169" fontId="32" fillId="42" borderId="29" xfId="358" applyNumberFormat="1" applyFont="1" applyFill="1" applyBorder="1" applyAlignment="1">
      <alignment wrapText="1"/>
    </xf>
    <xf numFmtId="166" fontId="32" fillId="25" borderId="39" xfId="358" applyNumberFormat="1" applyFont="1" applyFill="1" applyBorder="1" applyAlignment="1">
      <alignment horizontal="center" wrapText="1"/>
    </xf>
    <xf numFmtId="166" fontId="32" fillId="25" borderId="35" xfId="358" applyNumberFormat="1" applyFont="1" applyFill="1" applyBorder="1" applyAlignment="1">
      <alignment horizontal="center" wrapText="1"/>
    </xf>
    <xf numFmtId="166" fontId="32" fillId="25" borderId="63" xfId="358" applyNumberFormat="1" applyFont="1" applyFill="1" applyBorder="1" applyAlignment="1">
      <alignment horizontal="center" wrapText="1"/>
    </xf>
    <xf numFmtId="169" fontId="32" fillId="42" borderId="13" xfId="358" applyNumberFormat="1" applyFont="1" applyFill="1" applyBorder="1" applyAlignment="1">
      <alignment wrapText="1"/>
    </xf>
    <xf numFmtId="166" fontId="32" fillId="25" borderId="42" xfId="358" applyNumberFormat="1" applyFont="1" applyFill="1" applyBorder="1" applyAlignment="1">
      <alignment horizontal="center" wrapText="1"/>
    </xf>
    <xf numFmtId="166" fontId="32" fillId="25" borderId="1" xfId="358" applyNumberFormat="1" applyFont="1" applyFill="1" applyBorder="1" applyAlignment="1">
      <alignment horizontal="center" wrapText="1"/>
    </xf>
    <xf numFmtId="166" fontId="32" fillId="25" borderId="34" xfId="358" applyNumberFormat="1" applyFont="1" applyFill="1" applyBorder="1" applyAlignment="1">
      <alignment horizontal="center" wrapText="1"/>
    </xf>
    <xf numFmtId="2" fontId="32" fillId="25" borderId="42" xfId="358" applyNumberFormat="1" applyFont="1" applyFill="1" applyBorder="1" applyAlignment="1">
      <alignment horizontal="center" wrapText="1"/>
    </xf>
    <xf numFmtId="2" fontId="32" fillId="25" borderId="1" xfId="358" applyNumberFormat="1" applyFont="1" applyFill="1" applyBorder="1" applyAlignment="1">
      <alignment horizontal="center" wrapText="1"/>
    </xf>
    <xf numFmtId="2" fontId="32" fillId="25" borderId="34" xfId="358" applyNumberFormat="1" applyFont="1" applyFill="1" applyBorder="1" applyAlignment="1">
      <alignment horizontal="center" wrapText="1"/>
    </xf>
    <xf numFmtId="169" fontId="32" fillId="26" borderId="13" xfId="358" applyNumberFormat="1" applyFont="1" applyFill="1" applyBorder="1" applyAlignment="1">
      <alignment wrapText="1"/>
    </xf>
    <xf numFmtId="2" fontId="32" fillId="26" borderId="42" xfId="358" applyNumberFormat="1" applyFont="1" applyFill="1" applyBorder="1" applyAlignment="1">
      <alignment horizontal="center" wrapText="1"/>
    </xf>
    <xf numFmtId="2" fontId="32" fillId="26" borderId="1" xfId="358" applyNumberFormat="1" applyFont="1" applyFill="1" applyBorder="1" applyAlignment="1">
      <alignment horizontal="center" wrapText="1"/>
    </xf>
    <xf numFmtId="2" fontId="32" fillId="26" borderId="34" xfId="358" applyNumberFormat="1" applyFont="1" applyFill="1" applyBorder="1" applyAlignment="1">
      <alignment horizontal="center" wrapText="1"/>
    </xf>
    <xf numFmtId="169" fontId="32" fillId="42" borderId="14" xfId="358" applyNumberFormat="1" applyFont="1" applyFill="1" applyBorder="1" applyAlignment="1">
      <alignment wrapText="1"/>
    </xf>
    <xf numFmtId="2" fontId="32" fillId="25" borderId="51" xfId="358" applyNumberFormat="1" applyFont="1" applyFill="1" applyBorder="1" applyAlignment="1">
      <alignment horizontal="center" wrapText="1"/>
    </xf>
    <xf numFmtId="2" fontId="32" fillId="25" borderId="9" xfId="358" applyNumberFormat="1" applyFont="1" applyFill="1" applyBorder="1" applyAlignment="1">
      <alignment horizontal="center" wrapText="1"/>
    </xf>
    <xf numFmtId="2" fontId="32" fillId="25" borderId="37" xfId="358" applyNumberFormat="1" applyFont="1" applyFill="1" applyBorder="1" applyAlignment="1">
      <alignment horizontal="center" wrapText="1"/>
    </xf>
    <xf numFmtId="0" fontId="33" fillId="25" borderId="0" xfId="0" applyFont="1" applyFill="1" applyBorder="1" applyAlignment="1">
      <alignment horizontal="center"/>
    </xf>
    <xf numFmtId="0" fontId="63" fillId="0" borderId="24" xfId="51" applyFont="1" applyFill="1" applyBorder="1" applyAlignment="1" applyProtection="1">
      <alignment horizontal="center"/>
    </xf>
    <xf numFmtId="0" fontId="62" fillId="0" borderId="98" xfId="51" applyFont="1" applyFill="1" applyBorder="1" applyAlignment="1" applyProtection="1">
      <alignment horizontal="center"/>
    </xf>
    <xf numFmtId="0" fontId="64" fillId="0" borderId="5" xfId="51" applyFont="1" applyFill="1" applyBorder="1" applyAlignment="1" applyProtection="1">
      <alignment horizontal="center"/>
    </xf>
    <xf numFmtId="0" fontId="64" fillId="0" borderId="49" xfId="51" applyFont="1" applyFill="1" applyBorder="1" applyAlignment="1" applyProtection="1">
      <alignment horizontal="center"/>
    </xf>
    <xf numFmtId="0" fontId="64" fillId="0" borderId="7" xfId="51" applyFont="1" applyFill="1" applyBorder="1" applyAlignment="1" applyProtection="1">
      <alignment horizontal="center"/>
    </xf>
    <xf numFmtId="0" fontId="65" fillId="0" borderId="34" xfId="51" applyFont="1" applyBorder="1" applyAlignment="1" applyProtection="1">
      <alignment horizontal="center"/>
    </xf>
    <xf numFmtId="168" fontId="66" fillId="0" borderId="8" xfId="51" applyNumberFormat="1" applyFont="1" applyFill="1" applyBorder="1" applyAlignment="1" applyProtection="1">
      <alignment horizontal="center"/>
    </xf>
    <xf numFmtId="0" fontId="65" fillId="0" borderId="37" xfId="51" applyFont="1" applyBorder="1" applyAlignment="1" applyProtection="1">
      <alignment horizontal="center"/>
    </xf>
    <xf numFmtId="0" fontId="1" fillId="32" borderId="19" xfId="0" applyFont="1" applyFill="1" applyBorder="1" applyAlignment="1">
      <alignment vertical="center"/>
    </xf>
    <xf numFmtId="0" fontId="1" fillId="32" borderId="70" xfId="0" applyFont="1" applyFill="1" applyBorder="1" applyAlignment="1">
      <alignment vertical="center"/>
    </xf>
    <xf numFmtId="0" fontId="1" fillId="32" borderId="46" xfId="0" applyFont="1" applyFill="1" applyBorder="1" applyAlignment="1">
      <alignment vertical="center"/>
    </xf>
    <xf numFmtId="0" fontId="1" fillId="32" borderId="36" xfId="0" applyFont="1" applyFill="1" applyBorder="1" applyAlignment="1">
      <alignment vertical="center"/>
    </xf>
    <xf numFmtId="0" fontId="1" fillId="32" borderId="0" xfId="0" applyFont="1" applyFill="1" applyBorder="1" applyAlignment="1">
      <alignment vertical="center"/>
    </xf>
    <xf numFmtId="0" fontId="1" fillId="32" borderId="47" xfId="0" applyFont="1" applyFill="1" applyBorder="1" applyAlignment="1">
      <alignment vertical="center"/>
    </xf>
    <xf numFmtId="0" fontId="1" fillId="32" borderId="15" xfId="0" applyFont="1" applyFill="1" applyBorder="1" applyAlignment="1">
      <alignment vertical="center"/>
    </xf>
    <xf numFmtId="0" fontId="1" fillId="32" borderId="93" xfId="0" applyFont="1" applyFill="1" applyBorder="1" applyAlignment="1">
      <alignment vertical="center"/>
    </xf>
    <xf numFmtId="0" fontId="1" fillId="32" borderId="33" xfId="0" applyFont="1" applyFill="1" applyBorder="1" applyAlignment="1">
      <alignment vertical="center"/>
    </xf>
    <xf numFmtId="0" fontId="2" fillId="32" borderId="23" xfId="0" applyFont="1" applyFill="1" applyBorder="1" applyAlignment="1" applyProtection="1">
      <alignment wrapText="1"/>
    </xf>
    <xf numFmtId="0" fontId="2" fillId="32" borderId="21" xfId="0" applyFont="1" applyFill="1" applyBorder="1" applyAlignment="1" applyProtection="1">
      <alignment wrapText="1"/>
    </xf>
    <xf numFmtId="0" fontId="2" fillId="32" borderId="24" xfId="0" applyFont="1" applyFill="1" applyBorder="1" applyAlignment="1" applyProtection="1">
      <alignment wrapText="1"/>
    </xf>
    <xf numFmtId="1" fontId="1" fillId="32" borderId="10" xfId="0" applyNumberFormat="1" applyFont="1" applyFill="1" applyBorder="1" applyAlignment="1">
      <alignment vertical="center"/>
    </xf>
    <xf numFmtId="1" fontId="1" fillId="32" borderId="2" xfId="0" applyNumberFormat="1" applyFont="1" applyFill="1" applyBorder="1" applyAlignment="1">
      <alignment vertical="center"/>
    </xf>
    <xf numFmtId="1" fontId="1" fillId="32" borderId="31" xfId="0" applyNumberFormat="1" applyFont="1" applyFill="1" applyBorder="1" applyAlignment="1">
      <alignment vertical="center"/>
    </xf>
    <xf numFmtId="0" fontId="0" fillId="25" borderId="1" xfId="0" applyFont="1" applyFill="1" applyBorder="1" applyAlignment="1">
      <alignment horizontal="center"/>
    </xf>
    <xf numFmtId="0" fontId="2" fillId="32" borderId="93" xfId="0" applyFont="1" applyFill="1" applyBorder="1" applyAlignment="1" applyProtection="1">
      <alignment wrapText="1"/>
    </xf>
    <xf numFmtId="0" fontId="44" fillId="31" borderId="23" xfId="0" applyFont="1" applyFill="1" applyBorder="1"/>
    <xf numFmtId="0" fontId="44" fillId="31" borderId="21" xfId="0" applyFont="1" applyFill="1" applyBorder="1"/>
    <xf numFmtId="167" fontId="44" fillId="31" borderId="21" xfId="0" applyNumberFormat="1" applyFont="1" applyFill="1" applyBorder="1"/>
    <xf numFmtId="0" fontId="44" fillId="31" borderId="24" xfId="0" applyFont="1" applyFill="1" applyBorder="1"/>
    <xf numFmtId="0" fontId="33" fillId="33" borderId="91" xfId="44" applyFont="1" applyFill="1" applyBorder="1" applyAlignment="1">
      <alignment vertical="center" wrapText="1"/>
    </xf>
    <xf numFmtId="0" fontId="44" fillId="25" borderId="0" xfId="0" applyFont="1" applyFill="1" applyBorder="1"/>
    <xf numFmtId="167" fontId="44" fillId="25" borderId="0" xfId="0" applyNumberFormat="1" applyFont="1" applyFill="1" applyBorder="1"/>
    <xf numFmtId="0" fontId="45" fillId="2" borderId="36" xfId="0" applyFont="1" applyFill="1" applyBorder="1"/>
    <xf numFmtId="0" fontId="0" fillId="2" borderId="47" xfId="0" applyFill="1" applyBorder="1"/>
    <xf numFmtId="0" fontId="7" fillId="0" borderId="30" xfId="0" applyNumberFormat="1" applyFont="1" applyFill="1" applyBorder="1" applyAlignment="1" applyProtection="1">
      <alignment horizontal="center" vertical="center" wrapText="1"/>
    </xf>
    <xf numFmtId="0" fontId="2" fillId="25" borderId="30" xfId="0" applyNumberFormat="1" applyFont="1" applyFill="1" applyBorder="1" applyAlignment="1" applyProtection="1">
      <alignment horizontal="center" vertical="center" wrapText="1"/>
    </xf>
    <xf numFmtId="0" fontId="10" fillId="2" borderId="13" xfId="0" applyFont="1" applyFill="1" applyBorder="1" applyAlignment="1">
      <alignment horizontal="left" vertical="top"/>
    </xf>
    <xf numFmtId="0" fontId="10" fillId="2" borderId="21" xfId="0" applyFont="1" applyFill="1" applyBorder="1" applyAlignment="1">
      <alignment horizontal="center"/>
    </xf>
    <xf numFmtId="0" fontId="0" fillId="0" borderId="1" xfId="0" applyFont="1" applyBorder="1" applyAlignment="1">
      <alignment horizontal="center"/>
    </xf>
    <xf numFmtId="0" fontId="10" fillId="2" borderId="64" xfId="0" applyFont="1" applyFill="1" applyBorder="1" applyAlignment="1">
      <alignment horizontal="center"/>
    </xf>
    <xf numFmtId="0" fontId="0" fillId="0" borderId="6" xfId="0" applyFont="1" applyBorder="1" applyAlignment="1">
      <alignment horizontal="center"/>
    </xf>
    <xf numFmtId="0" fontId="43" fillId="25" borderId="35" xfId="0" applyNumberFormat="1" applyFont="1" applyFill="1" applyBorder="1" applyAlignment="1" applyProtection="1">
      <alignment wrapText="1"/>
    </xf>
    <xf numFmtId="0" fontId="42" fillId="2" borderId="91" xfId="0" applyFont="1" applyFill="1" applyBorder="1" applyAlignment="1">
      <alignment horizontal="center" vertical="center" wrapText="1"/>
    </xf>
    <xf numFmtId="0" fontId="33" fillId="33" borderId="48" xfId="44" applyFont="1" applyFill="1" applyBorder="1" applyAlignment="1">
      <alignment vertical="center" wrapText="1"/>
    </xf>
    <xf numFmtId="0" fontId="14" fillId="34" borderId="14" xfId="0" applyFont="1" applyFill="1" applyBorder="1" applyAlignment="1">
      <alignment horizontal="center" wrapText="1"/>
    </xf>
    <xf numFmtId="0" fontId="10" fillId="2" borderId="66" xfId="0" applyFont="1" applyFill="1" applyBorder="1" applyAlignment="1">
      <alignment horizontal="center"/>
    </xf>
    <xf numFmtId="0" fontId="45" fillId="2" borderId="0" xfId="0" applyFont="1" applyFill="1" applyBorder="1"/>
    <xf numFmtId="0" fontId="5" fillId="25" borderId="0" xfId="0" applyNumberFormat="1" applyFont="1" applyFill="1" applyBorder="1" applyAlignment="1" applyProtection="1">
      <alignment horizontal="center" vertical="center" wrapText="1"/>
    </xf>
    <xf numFmtId="0" fontId="71" fillId="0" borderId="0" xfId="0" applyFont="1" applyAlignment="1">
      <alignment horizontal="center"/>
    </xf>
    <xf numFmtId="165" fontId="72" fillId="0" borderId="0" xfId="505" applyNumberFormat="1" applyFont="1" applyAlignment="1" applyProtection="1">
      <alignment vertical="top"/>
      <protection locked="0"/>
    </xf>
    <xf numFmtId="0" fontId="73" fillId="0" borderId="0" xfId="505" applyFont="1" applyProtection="1">
      <protection locked="0"/>
    </xf>
    <xf numFmtId="0" fontId="12" fillId="0" borderId="0" xfId="505" applyProtection="1">
      <protection locked="0"/>
    </xf>
    <xf numFmtId="165" fontId="72" fillId="0" borderId="0" xfId="505" applyNumberFormat="1" applyFont="1" applyBorder="1" applyAlignment="1" applyProtection="1">
      <alignment vertical="top"/>
      <protection locked="0"/>
    </xf>
    <xf numFmtId="0" fontId="72" fillId="0" borderId="0" xfId="505" applyFont="1" applyProtection="1">
      <protection locked="0"/>
    </xf>
    <xf numFmtId="2" fontId="72" fillId="0" borderId="0" xfId="505" applyNumberFormat="1" applyFont="1" applyBorder="1" applyAlignment="1" applyProtection="1">
      <alignment vertical="top"/>
      <protection locked="0"/>
    </xf>
    <xf numFmtId="0" fontId="72" fillId="0" borderId="0" xfId="505" applyFont="1" applyAlignment="1" applyProtection="1">
      <alignment vertical="top"/>
      <protection locked="0"/>
    </xf>
    <xf numFmtId="0" fontId="13" fillId="49" borderId="1" xfId="54" applyFill="1" applyBorder="1" applyAlignment="1" applyProtection="1">
      <alignment horizontal="center" vertical="center" wrapText="1"/>
      <protection locked="0"/>
    </xf>
    <xf numFmtId="0" fontId="48" fillId="49" borderId="1" xfId="612" applyFill="1" applyBorder="1" applyAlignment="1" applyProtection="1">
      <alignment horizontal="center" vertical="center" wrapText="1"/>
      <protection locked="0"/>
    </xf>
    <xf numFmtId="0" fontId="13" fillId="0" borderId="0" xfId="54" applyProtection="1"/>
    <xf numFmtId="0" fontId="76" fillId="0" borderId="1" xfId="54" applyFont="1" applyFill="1" applyBorder="1" applyAlignment="1" applyProtection="1">
      <alignment horizontal="center" vertical="center" wrapText="1"/>
    </xf>
    <xf numFmtId="0" fontId="13" fillId="0" borderId="1" xfId="54" applyFont="1" applyFill="1" applyBorder="1" applyProtection="1"/>
    <xf numFmtId="0" fontId="13" fillId="0" borderId="16" xfId="54" applyFont="1" applyBorder="1" applyProtection="1"/>
    <xf numFmtId="0" fontId="79" fillId="0" borderId="0" xfId="54" applyFont="1" applyProtection="1">
      <protection locked="0"/>
    </xf>
    <xf numFmtId="0" fontId="13" fillId="40" borderId="0" xfId="54" applyFill="1" applyProtection="1">
      <protection locked="0"/>
    </xf>
    <xf numFmtId="0" fontId="13" fillId="49" borderId="0" xfId="54" applyFill="1" applyProtection="1">
      <protection locked="0"/>
    </xf>
    <xf numFmtId="0" fontId="13" fillId="49" borderId="1" xfId="54" applyFont="1" applyFill="1" applyBorder="1" applyAlignment="1" applyProtection="1">
      <alignment horizontal="left" vertical="center" wrapText="1"/>
      <protection locked="0"/>
    </xf>
    <xf numFmtId="0" fontId="13" fillId="40" borderId="0" xfId="54" applyFont="1" applyFill="1" applyBorder="1" applyProtection="1">
      <protection locked="0"/>
    </xf>
    <xf numFmtId="0" fontId="13" fillId="0" borderId="0" xfId="54" applyAlignment="1" applyProtection="1">
      <alignment vertical="center"/>
      <protection locked="0"/>
    </xf>
    <xf numFmtId="0" fontId="82" fillId="0" borderId="0" xfId="618" applyFont="1" applyFill="1" applyBorder="1" applyProtection="1">
      <protection locked="0"/>
    </xf>
    <xf numFmtId="0" fontId="84" fillId="43" borderId="1" xfId="618" applyFont="1" applyFill="1" applyBorder="1" applyAlignment="1" applyProtection="1">
      <alignment horizontal="left" vertical="center" wrapText="1"/>
      <protection locked="0"/>
    </xf>
    <xf numFmtId="0" fontId="84" fillId="49" borderId="1" xfId="618" applyFont="1" applyFill="1" applyBorder="1" applyAlignment="1" applyProtection="1">
      <alignment horizontal="left" vertical="center" wrapText="1"/>
      <protection locked="0"/>
    </xf>
    <xf numFmtId="0" fontId="76" fillId="50" borderId="16" xfId="54" applyFont="1" applyFill="1" applyBorder="1" applyAlignment="1" applyProtection="1">
      <alignment horizontal="left" vertical="top" wrapText="1"/>
    </xf>
    <xf numFmtId="0" fontId="82" fillId="49" borderId="42" xfId="618" applyFont="1" applyFill="1" applyBorder="1" applyAlignment="1" applyProtection="1">
      <alignment horizontal="left" vertical="top" wrapText="1"/>
    </xf>
    <xf numFmtId="0" fontId="82" fillId="40" borderId="42" xfId="618" applyFont="1" applyFill="1" applyBorder="1" applyAlignment="1" applyProtection="1">
      <alignment horizontal="left" vertical="top" wrapText="1"/>
    </xf>
    <xf numFmtId="0" fontId="76" fillId="40" borderId="1" xfId="618" applyFont="1" applyFill="1" applyBorder="1" applyAlignment="1" applyProtection="1">
      <alignment horizontal="center" vertical="center" wrapText="1"/>
    </xf>
    <xf numFmtId="0" fontId="82" fillId="49" borderId="1" xfId="618" applyFont="1" applyFill="1" applyBorder="1" applyAlignment="1" applyProtection="1">
      <alignment horizontal="left" vertical="top" wrapText="1"/>
    </xf>
    <xf numFmtId="0" fontId="82" fillId="40" borderId="1" xfId="618" applyFont="1" applyFill="1" applyBorder="1" applyAlignment="1" applyProtection="1">
      <alignment horizontal="left" vertical="top" wrapText="1"/>
    </xf>
    <xf numFmtId="0" fontId="87" fillId="50" borderId="0" xfId="618" applyFont="1" applyFill="1" applyBorder="1" applyAlignment="1" applyProtection="1">
      <alignment horizontal="center" vertical="center" wrapText="1"/>
    </xf>
    <xf numFmtId="0" fontId="76" fillId="50" borderId="2" xfId="618" applyFont="1" applyFill="1" applyBorder="1" applyAlignment="1" applyProtection="1">
      <alignment horizontal="center" vertical="center" wrapText="1"/>
    </xf>
    <xf numFmtId="0" fontId="76" fillId="50" borderId="42" xfId="618" applyFont="1" applyFill="1" applyBorder="1" applyAlignment="1" applyProtection="1">
      <alignment horizontal="center" vertical="center" wrapText="1"/>
    </xf>
    <xf numFmtId="0" fontId="77" fillId="40" borderId="16" xfId="618" applyFont="1" applyFill="1" applyBorder="1" applyAlignment="1" applyProtection="1">
      <alignment horizontal="center" vertical="center" wrapText="1"/>
    </xf>
    <xf numFmtId="0" fontId="88" fillId="40" borderId="0" xfId="54" applyFont="1" applyFill="1" applyAlignment="1" applyProtection="1">
      <alignment vertical="top"/>
      <protection locked="0"/>
    </xf>
    <xf numFmtId="0" fontId="88" fillId="40" borderId="0" xfId="54" applyFont="1" applyFill="1" applyAlignment="1" applyProtection="1">
      <alignment vertical="top" wrapText="1"/>
      <protection locked="0"/>
    </xf>
    <xf numFmtId="0" fontId="12" fillId="40" borderId="0" xfId="505" applyFill="1" applyProtection="1">
      <protection locked="0"/>
    </xf>
    <xf numFmtId="0" fontId="11" fillId="0" borderId="0" xfId="618" applyFont="1" applyFill="1" applyBorder="1" applyAlignment="1" applyProtection="1">
      <alignment vertical="top" wrapText="1"/>
      <protection locked="0"/>
    </xf>
    <xf numFmtId="0" fontId="89" fillId="40" borderId="35" xfId="505" applyFont="1" applyFill="1" applyBorder="1" applyAlignment="1" applyProtection="1">
      <alignment horizontal="center" wrapText="1"/>
    </xf>
    <xf numFmtId="0" fontId="89" fillId="40" borderId="35" xfId="505" applyFont="1" applyFill="1" applyBorder="1" applyAlignment="1" applyProtection="1">
      <alignment vertical="top" wrapText="1"/>
    </xf>
    <xf numFmtId="0" fontId="89" fillId="0" borderId="35" xfId="505" applyFont="1" applyFill="1" applyBorder="1" applyAlignment="1" applyProtection="1">
      <alignment horizontal="center" wrapText="1"/>
    </xf>
    <xf numFmtId="0" fontId="12" fillId="54" borderId="1" xfId="505" applyFill="1" applyBorder="1" applyAlignment="1" applyProtection="1">
      <alignment vertical="top" wrapText="1"/>
    </xf>
    <xf numFmtId="0" fontId="91" fillId="0" borderId="1" xfId="505" applyFont="1" applyBorder="1" applyAlignment="1" applyProtection="1">
      <alignment vertical="top" wrapText="1"/>
    </xf>
    <xf numFmtId="0" fontId="91" fillId="0" borderId="1" xfId="505" applyFont="1" applyFill="1" applyBorder="1" applyAlignment="1" applyProtection="1">
      <alignment horizontal="left" vertical="top" wrapText="1"/>
    </xf>
    <xf numFmtId="0" fontId="91" fillId="0" borderId="1" xfId="505" applyFont="1" applyFill="1" applyBorder="1" applyAlignment="1" applyProtection="1">
      <alignment horizontal="left" vertical="top" wrapText="1" indent="1"/>
    </xf>
    <xf numFmtId="0" fontId="12" fillId="25" borderId="0" xfId="505" applyFill="1" applyProtection="1">
      <protection locked="0"/>
    </xf>
    <xf numFmtId="0" fontId="12" fillId="53" borderId="1" xfId="505" applyFill="1" applyBorder="1" applyAlignment="1" applyProtection="1">
      <alignment horizontal="left" vertical="top" wrapText="1"/>
    </xf>
    <xf numFmtId="0" fontId="92" fillId="0" borderId="1" xfId="505" applyFont="1" applyBorder="1" applyAlignment="1" applyProtection="1">
      <alignment vertical="top" wrapText="1"/>
    </xf>
    <xf numFmtId="0" fontId="92" fillId="0" borderId="1" xfId="505" applyFont="1" applyFill="1" applyBorder="1" applyAlignment="1" applyProtection="1">
      <alignment vertical="top" wrapText="1"/>
    </xf>
    <xf numFmtId="0" fontId="92" fillId="25" borderId="1" xfId="505" applyFont="1" applyFill="1" applyBorder="1" applyAlignment="1" applyProtection="1">
      <alignment vertical="top" wrapText="1"/>
    </xf>
    <xf numFmtId="0" fontId="12" fillId="25" borderId="0" xfId="505" applyFill="1" applyAlignment="1" applyProtection="1">
      <alignment wrapText="1"/>
      <protection locked="0"/>
    </xf>
    <xf numFmtId="0" fontId="92" fillId="0" borderId="1" xfId="505" quotePrefix="1" applyFont="1" applyFill="1" applyBorder="1" applyAlignment="1" applyProtection="1">
      <alignment horizontal="left" vertical="top" wrapText="1"/>
    </xf>
    <xf numFmtId="0" fontId="92" fillId="0" borderId="1" xfId="505" quotePrefix="1" applyFont="1" applyBorder="1" applyAlignment="1" applyProtection="1">
      <alignment horizontal="left" vertical="top" wrapText="1"/>
    </xf>
    <xf numFmtId="0" fontId="91" fillId="25" borderId="1" xfId="505" applyFont="1" applyFill="1" applyBorder="1" applyAlignment="1" applyProtection="1">
      <alignment horizontal="left" vertical="top" wrapText="1"/>
    </xf>
    <xf numFmtId="0" fontId="91" fillId="25" borderId="1" xfId="505" applyFont="1" applyFill="1" applyBorder="1" applyAlignment="1" applyProtection="1">
      <alignment vertical="top" wrapText="1"/>
    </xf>
    <xf numFmtId="0" fontId="89" fillId="53" borderId="1" xfId="505" applyFont="1" applyFill="1" applyBorder="1" applyAlignment="1" applyProtection="1">
      <alignment vertical="top"/>
    </xf>
    <xf numFmtId="0" fontId="89" fillId="53" borderId="1" xfId="505" applyFont="1" applyFill="1" applyBorder="1" applyAlignment="1" applyProtection="1">
      <alignment vertical="top" wrapText="1"/>
    </xf>
    <xf numFmtId="0" fontId="92" fillId="0" borderId="1" xfId="505" applyFont="1" applyBorder="1" applyAlignment="1" applyProtection="1">
      <alignment horizontal="left" vertical="top" wrapText="1" indent="1"/>
    </xf>
    <xf numFmtId="0" fontId="92" fillId="25" borderId="1" xfId="505" applyFont="1" applyFill="1" applyBorder="1" applyAlignment="1" applyProtection="1">
      <alignment horizontal="left" vertical="top" wrapText="1" indent="1"/>
    </xf>
    <xf numFmtId="0" fontId="12" fillId="53" borderId="1" xfId="505" quotePrefix="1" applyFill="1" applyBorder="1" applyAlignment="1" applyProtection="1">
      <alignment horizontal="left" vertical="top" wrapText="1"/>
    </xf>
    <xf numFmtId="0" fontId="91" fillId="0" borderId="1" xfId="505" applyFont="1" applyFill="1" applyBorder="1" applyAlignment="1" applyProtection="1">
      <alignment vertical="top" wrapText="1"/>
    </xf>
    <xf numFmtId="0" fontId="92" fillId="0" borderId="3" xfId="505" applyFont="1" applyFill="1" applyBorder="1" applyAlignment="1" applyProtection="1">
      <alignment vertical="top" wrapText="1"/>
    </xf>
    <xf numFmtId="0" fontId="48" fillId="40" borderId="27" xfId="612" applyFill="1" applyBorder="1" applyAlignment="1" applyProtection="1"/>
    <xf numFmtId="0" fontId="12" fillId="40" borderId="93" xfId="505" applyFill="1" applyBorder="1" applyProtection="1"/>
    <xf numFmtId="0" fontId="12" fillId="40" borderId="0" xfId="505" applyFill="1" applyBorder="1" applyProtection="1">
      <protection locked="0"/>
    </xf>
    <xf numFmtId="0" fontId="79" fillId="40" borderId="0" xfId="505" applyFont="1" applyFill="1" applyProtection="1">
      <protection locked="0"/>
    </xf>
    <xf numFmtId="0" fontId="12" fillId="49" borderId="0" xfId="505" applyFill="1" applyProtection="1">
      <protection locked="0"/>
    </xf>
    <xf numFmtId="165" fontId="79" fillId="51" borderId="1" xfId="54" applyNumberFormat="1" applyFont="1" applyFill="1" applyBorder="1" applyAlignment="1" applyProtection="1">
      <alignment horizontal="center" vertical="top" wrapText="1"/>
    </xf>
    <xf numFmtId="0" fontId="79" fillId="51" borderId="1" xfId="54" applyFont="1" applyFill="1" applyBorder="1" applyAlignment="1" applyProtection="1">
      <alignment vertical="top"/>
    </xf>
    <xf numFmtId="0" fontId="88" fillId="40" borderId="1" xfId="618" applyFont="1" applyFill="1" applyBorder="1" applyAlignment="1" applyProtection="1">
      <alignment horizontal="center" vertical="top" wrapText="1"/>
    </xf>
    <xf numFmtId="0" fontId="79" fillId="40" borderId="35" xfId="54" applyFont="1" applyFill="1" applyBorder="1" applyAlignment="1" applyProtection="1">
      <alignment horizontal="left" vertical="top" wrapText="1"/>
    </xf>
    <xf numFmtId="0" fontId="88" fillId="43" borderId="35" xfId="618" applyFont="1" applyFill="1" applyBorder="1" applyAlignment="1" applyProtection="1">
      <alignment horizontal="left" vertical="top" wrapText="1"/>
    </xf>
    <xf numFmtId="0" fontId="88" fillId="0" borderId="35" xfId="618" applyFont="1" applyFill="1" applyBorder="1" applyAlignment="1" applyProtection="1">
      <alignment horizontal="left" vertical="top" wrapText="1"/>
    </xf>
    <xf numFmtId="0" fontId="88" fillId="40" borderId="35" xfId="618" applyFont="1" applyFill="1" applyBorder="1" applyAlignment="1" applyProtection="1">
      <alignment horizontal="left" vertical="top" wrapText="1"/>
    </xf>
    <xf numFmtId="0" fontId="107" fillId="40" borderId="1" xfId="618" applyFont="1" applyFill="1" applyBorder="1" applyAlignment="1" applyProtection="1">
      <alignment vertical="top"/>
      <protection locked="0"/>
    </xf>
    <xf numFmtId="0" fontId="79" fillId="40" borderId="1" xfId="54" applyFont="1" applyFill="1" applyBorder="1" applyAlignment="1" applyProtection="1">
      <alignment horizontal="left" vertical="top" wrapText="1"/>
    </xf>
    <xf numFmtId="0" fontId="88" fillId="43" borderId="1" xfId="618" applyFont="1" applyFill="1" applyBorder="1" applyAlignment="1" applyProtection="1">
      <alignment horizontal="left" vertical="top" wrapText="1"/>
    </xf>
    <xf numFmtId="0" fontId="88" fillId="40" borderId="1" xfId="618" applyFont="1" applyFill="1" applyBorder="1" applyAlignment="1" applyProtection="1">
      <alignment horizontal="left" vertical="top" wrapText="1"/>
    </xf>
    <xf numFmtId="0" fontId="88" fillId="0" borderId="1" xfId="618" applyFont="1" applyFill="1" applyBorder="1" applyAlignment="1" applyProtection="1">
      <alignment horizontal="left" vertical="top" wrapText="1"/>
    </xf>
    <xf numFmtId="165" fontId="79" fillId="51" borderId="16" xfId="54" applyNumberFormat="1" applyFont="1" applyFill="1" applyBorder="1" applyAlignment="1" applyProtection="1">
      <alignment horizontal="center" vertical="top" wrapText="1"/>
    </xf>
    <xf numFmtId="0" fontId="79" fillId="51" borderId="16" xfId="54" applyFont="1" applyFill="1" applyBorder="1" applyAlignment="1" applyProtection="1">
      <alignment vertical="top"/>
    </xf>
    <xf numFmtId="0" fontId="79" fillId="51" borderId="2" xfId="54" applyFont="1" applyFill="1" applyBorder="1" applyAlignment="1" applyProtection="1">
      <alignment vertical="top"/>
    </xf>
    <xf numFmtId="0" fontId="79" fillId="51" borderId="42" xfId="54" applyFont="1" applyFill="1" applyBorder="1" applyAlignment="1" applyProtection="1">
      <alignment vertical="top"/>
    </xf>
    <xf numFmtId="0" fontId="88" fillId="40" borderId="3" xfId="54" applyFont="1" applyFill="1" applyBorder="1" applyAlignment="1" applyProtection="1">
      <alignment horizontal="center" vertical="top" wrapText="1"/>
    </xf>
    <xf numFmtId="0" fontId="79" fillId="40" borderId="3" xfId="54" applyFont="1" applyFill="1" applyBorder="1" applyAlignment="1" applyProtection="1">
      <alignment vertical="center" wrapText="1"/>
    </xf>
    <xf numFmtId="0" fontId="88" fillId="43" borderId="1" xfId="54" applyFont="1" applyFill="1" applyBorder="1" applyAlignment="1" applyProtection="1">
      <alignment horizontal="left" vertical="top" wrapText="1"/>
    </xf>
    <xf numFmtId="0" fontId="88" fillId="0" borderId="3" xfId="54" applyFont="1" applyFill="1" applyBorder="1" applyAlignment="1" applyProtection="1">
      <alignment horizontal="left" vertical="top" wrapText="1"/>
    </xf>
    <xf numFmtId="0" fontId="88" fillId="40" borderId="3" xfId="54" applyFont="1" applyFill="1" applyBorder="1" applyAlignment="1" applyProtection="1">
      <alignment horizontal="left" vertical="top" wrapText="1"/>
    </xf>
    <xf numFmtId="0" fontId="88" fillId="40" borderId="3" xfId="54" applyFont="1" applyFill="1" applyBorder="1" applyProtection="1">
      <protection locked="0"/>
    </xf>
    <xf numFmtId="0" fontId="88" fillId="57" borderId="1" xfId="54" applyFont="1" applyFill="1" applyBorder="1" applyAlignment="1" applyProtection="1">
      <alignment horizontal="center" vertical="top" wrapText="1"/>
    </xf>
    <xf numFmtId="0" fontId="79" fillId="57" borderId="1" xfId="54" applyFont="1" applyFill="1" applyBorder="1" applyAlignment="1" applyProtection="1">
      <alignment vertical="center" wrapText="1"/>
    </xf>
    <xf numFmtId="0" fontId="88" fillId="40" borderId="1" xfId="54" applyFont="1" applyFill="1" applyBorder="1" applyAlignment="1" applyProtection="1">
      <alignment horizontal="center" vertical="top" wrapText="1"/>
    </xf>
    <xf numFmtId="0" fontId="79" fillId="40" borderId="1" xfId="54" applyFont="1" applyFill="1" applyBorder="1" applyAlignment="1" applyProtection="1">
      <alignment vertical="center" wrapText="1"/>
    </xf>
    <xf numFmtId="0" fontId="88" fillId="40" borderId="1" xfId="54" applyFont="1" applyFill="1" applyBorder="1" applyProtection="1">
      <protection locked="0"/>
    </xf>
    <xf numFmtId="0" fontId="88" fillId="57" borderId="16" xfId="54" applyFont="1" applyFill="1" applyBorder="1" applyAlignment="1" applyProtection="1">
      <alignment horizontal="center" vertical="top" wrapText="1"/>
    </xf>
    <xf numFmtId="0" fontId="79" fillId="57" borderId="2" xfId="54" applyFont="1" applyFill="1" applyBorder="1" applyAlignment="1" applyProtection="1">
      <alignment vertical="center"/>
    </xf>
    <xf numFmtId="0" fontId="79" fillId="57" borderId="2" xfId="54" applyFont="1" applyFill="1" applyBorder="1" applyAlignment="1" applyProtection="1">
      <alignment vertical="center" wrapText="1"/>
    </xf>
    <xf numFmtId="0" fontId="79" fillId="40" borderId="1" xfId="618" applyFont="1" applyFill="1" applyBorder="1" applyAlignment="1" applyProtection="1">
      <alignment horizontal="left" vertical="top" wrapText="1"/>
    </xf>
    <xf numFmtId="0" fontId="88" fillId="0" borderId="1" xfId="54" applyFont="1" applyFill="1" applyBorder="1" applyAlignment="1" applyProtection="1">
      <alignment horizontal="left" vertical="top" wrapText="1"/>
    </xf>
    <xf numFmtId="0" fontId="88" fillId="40" borderId="1" xfId="54" applyFont="1" applyFill="1" applyBorder="1" applyAlignment="1" applyProtection="1">
      <alignment horizontal="left" vertical="top" wrapText="1"/>
    </xf>
    <xf numFmtId="0" fontId="88" fillId="43" borderId="3" xfId="54" applyFont="1" applyFill="1" applyBorder="1" applyAlignment="1" applyProtection="1">
      <alignment horizontal="left" vertical="top" wrapText="1"/>
    </xf>
    <xf numFmtId="0" fontId="88" fillId="40" borderId="35" xfId="54" applyFont="1" applyFill="1" applyBorder="1" applyAlignment="1" applyProtection="1">
      <alignment horizontal="center" vertical="top" wrapText="1"/>
    </xf>
    <xf numFmtId="0" fontId="79" fillId="40" borderId="35" xfId="54" applyFont="1" applyFill="1" applyBorder="1" applyAlignment="1" applyProtection="1">
      <alignment vertical="center" wrapText="1"/>
    </xf>
    <xf numFmtId="0" fontId="88" fillId="40" borderId="35" xfId="54" applyFont="1" applyFill="1" applyBorder="1" applyProtection="1">
      <protection locked="0"/>
    </xf>
    <xf numFmtId="0" fontId="79" fillId="40" borderId="16" xfId="54" applyFont="1" applyFill="1" applyBorder="1" applyAlignment="1" applyProtection="1">
      <alignment horizontal="left" vertical="top" wrapText="1"/>
    </xf>
    <xf numFmtId="0" fontId="88" fillId="40" borderId="42" xfId="54" applyFont="1" applyFill="1" applyBorder="1" applyProtection="1">
      <protection locked="0"/>
    </xf>
    <xf numFmtId="0" fontId="88" fillId="40" borderId="16" xfId="54" applyFont="1" applyFill="1" applyBorder="1" applyAlignment="1" applyProtection="1">
      <alignment horizontal="center" vertical="top" wrapText="1"/>
    </xf>
    <xf numFmtId="0" fontId="79" fillId="57" borderId="1" xfId="54" applyFont="1" applyFill="1" applyBorder="1" applyAlignment="1" applyProtection="1">
      <alignment horizontal="left" vertical="center" wrapText="1"/>
    </xf>
    <xf numFmtId="0" fontId="79" fillId="57" borderId="1" xfId="54" applyFont="1" applyFill="1" applyBorder="1" applyAlignment="1" applyProtection="1">
      <alignment horizontal="center" vertical="center" wrapText="1"/>
    </xf>
    <xf numFmtId="0" fontId="79" fillId="40" borderId="27" xfId="54" applyFont="1" applyFill="1" applyBorder="1" applyAlignment="1" applyProtection="1">
      <alignment horizontal="left" vertical="top" wrapText="1"/>
    </xf>
    <xf numFmtId="0" fontId="79" fillId="40" borderId="1" xfId="54" applyFont="1" applyFill="1" applyBorder="1" applyAlignment="1" applyProtection="1">
      <alignment wrapText="1"/>
    </xf>
    <xf numFmtId="0" fontId="13" fillId="49" borderId="1" xfId="54" applyFill="1" applyBorder="1" applyProtection="1">
      <protection locked="0"/>
    </xf>
    <xf numFmtId="0" fontId="13" fillId="43" borderId="1" xfId="54" applyFont="1" applyFill="1" applyBorder="1" applyAlignment="1" applyProtection="1">
      <alignment horizontal="left" vertical="top" wrapText="1"/>
    </xf>
    <xf numFmtId="0" fontId="13" fillId="59" borderId="1" xfId="54" applyFont="1" applyFill="1" applyBorder="1" applyAlignment="1" applyProtection="1">
      <alignment horizontal="left" vertical="top" wrapText="1"/>
      <protection locked="0"/>
    </xf>
    <xf numFmtId="0" fontId="13" fillId="59" borderId="1" xfId="54" applyFont="1" applyFill="1" applyBorder="1" applyAlignment="1" applyProtection="1">
      <alignment horizontal="left" vertical="top"/>
      <protection locked="0"/>
    </xf>
    <xf numFmtId="9" fontId="13" fillId="59" borderId="1" xfId="54" applyNumberFormat="1" applyFont="1" applyFill="1" applyBorder="1" applyAlignment="1" applyProtection="1">
      <alignment horizontal="left" vertical="top"/>
      <protection locked="0"/>
    </xf>
    <xf numFmtId="13" fontId="13" fillId="59" borderId="1" xfId="54" applyNumberFormat="1" applyFont="1" applyFill="1" applyBorder="1" applyAlignment="1" applyProtection="1">
      <alignment horizontal="left" vertical="top"/>
      <protection locked="0"/>
    </xf>
    <xf numFmtId="0" fontId="13" fillId="49" borderId="1" xfId="54" applyFont="1" applyFill="1" applyBorder="1" applyAlignment="1" applyProtection="1">
      <alignment horizontal="left" vertical="top"/>
      <protection locked="0"/>
    </xf>
    <xf numFmtId="0" fontId="16" fillId="0" borderId="1" xfId="54" applyFont="1" applyBorder="1" applyAlignment="1" applyProtection="1">
      <alignment horizontal="left" vertical="top"/>
      <protection locked="0"/>
    </xf>
    <xf numFmtId="0" fontId="77" fillId="59" borderId="1" xfId="54" applyFont="1" applyFill="1" applyBorder="1" applyAlignment="1" applyProtection="1">
      <alignment horizontal="left" vertical="top"/>
      <protection locked="0"/>
    </xf>
    <xf numFmtId="0" fontId="13" fillId="49" borderId="102" xfId="54" applyFill="1" applyBorder="1" applyAlignment="1" applyProtection="1">
      <alignment horizontal="left" vertical="top" wrapText="1"/>
      <protection locked="0"/>
    </xf>
    <xf numFmtId="0" fontId="13" fillId="49" borderId="35" xfId="54" applyFont="1" applyFill="1" applyBorder="1" applyAlignment="1" applyProtection="1">
      <alignment horizontal="left"/>
      <protection locked="0"/>
    </xf>
    <xf numFmtId="0" fontId="13" fillId="0" borderId="1" xfId="54" applyFont="1" applyBorder="1" applyAlignment="1" applyProtection="1">
      <alignment horizontal="left" vertical="top"/>
      <protection locked="0"/>
    </xf>
    <xf numFmtId="0" fontId="13" fillId="49" borderId="28" xfId="54" applyFont="1" applyFill="1" applyBorder="1" applyAlignment="1" applyProtection="1">
      <alignment horizontal="left" vertical="top"/>
      <protection locked="0"/>
    </xf>
    <xf numFmtId="0" fontId="13" fillId="40" borderId="3" xfId="54" applyFont="1" applyFill="1" applyBorder="1" applyAlignment="1" applyProtection="1">
      <alignment horizontal="left" vertical="top" wrapText="1"/>
      <protection locked="0"/>
    </xf>
    <xf numFmtId="0" fontId="13" fillId="49" borderId="102" xfId="54" applyFont="1" applyFill="1" applyBorder="1" applyAlignment="1" applyProtection="1">
      <alignment vertical="top" wrapText="1"/>
      <protection locked="0"/>
    </xf>
    <xf numFmtId="0" fontId="13" fillId="0" borderId="102" xfId="54" applyFont="1" applyBorder="1" applyAlignment="1" applyProtection="1">
      <alignment horizontal="left" vertical="top"/>
      <protection locked="0"/>
    </xf>
    <xf numFmtId="0" fontId="13" fillId="49" borderId="110" xfId="54" applyFont="1" applyFill="1" applyBorder="1" applyAlignment="1" applyProtection="1">
      <alignment horizontal="left" vertical="top" wrapText="1"/>
      <protection locked="0"/>
    </xf>
    <xf numFmtId="0" fontId="13" fillId="49" borderId="110" xfId="54" applyFill="1" applyBorder="1" applyAlignment="1" applyProtection="1">
      <alignment horizontal="left" vertical="top" wrapText="1"/>
      <protection locked="0"/>
    </xf>
    <xf numFmtId="0" fontId="13" fillId="0" borderId="110" xfId="54" applyBorder="1" applyAlignment="1" applyProtection="1">
      <alignment horizontal="left" vertical="top" wrapText="1"/>
      <protection locked="0"/>
    </xf>
    <xf numFmtId="0" fontId="13" fillId="43" borderId="1" xfId="54" applyFont="1" applyFill="1" applyBorder="1" applyAlignment="1" applyProtection="1">
      <alignment vertical="top" wrapText="1"/>
    </xf>
    <xf numFmtId="0" fontId="13" fillId="40" borderId="102" xfId="54" applyFill="1" applyBorder="1" applyAlignment="1" applyProtection="1">
      <alignment horizontal="left" vertical="top"/>
      <protection locked="0"/>
    </xf>
    <xf numFmtId="0" fontId="13" fillId="49" borderId="1" xfId="54" applyFont="1" applyFill="1" applyBorder="1" applyAlignment="1" applyProtection="1">
      <alignment vertical="top" wrapText="1"/>
      <protection locked="0"/>
    </xf>
    <xf numFmtId="0" fontId="13" fillId="49" borderId="110" xfId="54" applyFont="1" applyFill="1" applyBorder="1" applyAlignment="1" applyProtection="1">
      <alignment horizontal="left" vertical="top"/>
      <protection locked="0"/>
    </xf>
    <xf numFmtId="0" fontId="13" fillId="49" borderId="1" xfId="54" applyFont="1" applyFill="1" applyBorder="1" applyProtection="1">
      <protection locked="0"/>
    </xf>
    <xf numFmtId="0" fontId="13" fillId="49" borderId="1" xfId="54" applyFont="1" applyFill="1" applyBorder="1" applyAlignment="1" applyProtection="1">
      <alignment horizontal="center" vertical="center"/>
      <protection locked="0"/>
    </xf>
    <xf numFmtId="0" fontId="13" fillId="0" borderId="1" xfId="54" applyBorder="1" applyAlignment="1" applyProtection="1">
      <alignment horizontal="left" vertical="top"/>
      <protection locked="0"/>
    </xf>
    <xf numFmtId="0" fontId="13" fillId="49" borderId="35" xfId="54" applyFont="1" applyFill="1" applyBorder="1" applyAlignment="1" applyProtection="1">
      <alignment vertical="center" wrapText="1"/>
      <protection locked="0"/>
    </xf>
    <xf numFmtId="0" fontId="13" fillId="49" borderId="1" xfId="54" applyFill="1" applyBorder="1" applyAlignment="1" applyProtection="1">
      <alignment horizontal="left" vertical="top"/>
      <protection locked="0"/>
    </xf>
    <xf numFmtId="0" fontId="13" fillId="0" borderId="102" xfId="54" applyBorder="1" applyAlignment="1" applyProtection="1">
      <alignment horizontal="left" vertical="top"/>
      <protection locked="0"/>
    </xf>
    <xf numFmtId="0" fontId="13" fillId="49" borderId="84" xfId="54" applyFont="1" applyFill="1" applyBorder="1" applyAlignment="1" applyProtection="1">
      <alignment horizontal="left" vertical="top"/>
      <protection locked="0"/>
    </xf>
    <xf numFmtId="0" fontId="13" fillId="49" borderId="35" xfId="54" applyFont="1" applyFill="1" applyBorder="1" applyAlignment="1" applyProtection="1">
      <alignment horizontal="left" vertical="top"/>
      <protection locked="0"/>
    </xf>
    <xf numFmtId="0" fontId="13" fillId="49" borderId="35" xfId="54" applyFont="1" applyFill="1" applyBorder="1" applyProtection="1">
      <protection locked="0"/>
    </xf>
    <xf numFmtId="0" fontId="13" fillId="49" borderId="35" xfId="54" applyFill="1" applyBorder="1" applyProtection="1">
      <protection locked="0"/>
    </xf>
    <xf numFmtId="0" fontId="13" fillId="59" borderId="1" xfId="54" applyFont="1" applyFill="1" applyBorder="1" applyProtection="1">
      <protection locked="0"/>
    </xf>
    <xf numFmtId="0" fontId="13" fillId="59" borderId="1" xfId="54" applyFont="1" applyFill="1" applyBorder="1" applyAlignment="1" applyProtection="1">
      <protection locked="0"/>
    </xf>
    <xf numFmtId="0" fontId="13" fillId="59" borderId="1" xfId="54" applyFont="1" applyFill="1" applyBorder="1" applyAlignment="1" applyProtection="1">
      <alignment wrapText="1"/>
      <protection locked="0"/>
    </xf>
    <xf numFmtId="0" fontId="13" fillId="0" borderId="1" xfId="54" applyFont="1" applyBorder="1" applyProtection="1">
      <protection locked="0"/>
    </xf>
    <xf numFmtId="0" fontId="13" fillId="49" borderId="102" xfId="54" applyFont="1" applyFill="1" applyBorder="1" applyAlignment="1" applyProtection="1">
      <alignment vertical="top"/>
      <protection locked="0"/>
    </xf>
    <xf numFmtId="0" fontId="13" fillId="59" borderId="102" xfId="54" applyFont="1" applyFill="1" applyBorder="1" applyAlignment="1" applyProtection="1">
      <alignment horizontal="left" vertical="top"/>
      <protection locked="0"/>
    </xf>
    <xf numFmtId="0" fontId="13" fillId="49" borderId="105" xfId="54" applyFont="1" applyFill="1" applyBorder="1" applyAlignment="1" applyProtection="1">
      <alignment horizontal="left" vertical="top"/>
      <protection locked="0"/>
    </xf>
    <xf numFmtId="0" fontId="13" fillId="0" borderId="103" xfId="54" applyBorder="1" applyAlignment="1" applyProtection="1">
      <alignment horizontal="left" vertical="top" wrapText="1"/>
      <protection locked="0"/>
    </xf>
    <xf numFmtId="3" fontId="13" fillId="59" borderId="1" xfId="54" applyNumberFormat="1" applyFont="1" applyFill="1" applyBorder="1" applyAlignment="1" applyProtection="1">
      <alignment horizontal="left" vertical="top" wrapText="1"/>
      <protection locked="0"/>
    </xf>
    <xf numFmtId="9" fontId="13" fillId="59" borderId="1" xfId="54" applyNumberFormat="1" applyFont="1" applyFill="1" applyBorder="1" applyAlignment="1" applyProtection="1">
      <alignment horizontal="left" vertical="top" wrapText="1"/>
      <protection locked="0"/>
    </xf>
    <xf numFmtId="13" fontId="13" fillId="59" borderId="1" xfId="54" applyNumberFormat="1" applyFont="1" applyFill="1" applyBorder="1" applyAlignment="1" applyProtection="1">
      <alignment horizontal="left" vertical="top" wrapText="1"/>
      <protection locked="0"/>
    </xf>
    <xf numFmtId="14" fontId="13" fillId="49" borderId="35" xfId="54" applyNumberFormat="1" applyFont="1" applyFill="1" applyBorder="1" applyAlignment="1" applyProtection="1">
      <alignment horizontal="center"/>
      <protection locked="0"/>
    </xf>
    <xf numFmtId="14" fontId="13" fillId="49" borderId="3" xfId="54" applyNumberFormat="1" applyFill="1" applyBorder="1" applyAlignment="1" applyProtection="1">
      <alignment horizontal="center"/>
      <protection locked="0"/>
    </xf>
    <xf numFmtId="0" fontId="13" fillId="49" borderId="3" xfId="54" applyFill="1" applyBorder="1" applyProtection="1">
      <protection locked="0"/>
    </xf>
    <xf numFmtId="0" fontId="13" fillId="49" borderId="1" xfId="54" applyFill="1" applyBorder="1" applyAlignment="1" applyProtection="1">
      <alignment vertical="top" wrapText="1"/>
      <protection locked="0"/>
    </xf>
    <xf numFmtId="0" fontId="76" fillId="49" borderId="1" xfId="54" applyFont="1" applyFill="1" applyBorder="1" applyAlignment="1" applyProtection="1">
      <alignment horizontal="left" vertical="top" wrapText="1"/>
      <protection locked="0"/>
    </xf>
    <xf numFmtId="0" fontId="13" fillId="40" borderId="1" xfId="54" applyFont="1" applyFill="1" applyBorder="1" applyAlignment="1" applyProtection="1">
      <alignment vertical="top" wrapText="1"/>
      <protection locked="0"/>
    </xf>
    <xf numFmtId="1" fontId="13" fillId="49" borderId="1" xfId="54" applyNumberFormat="1" applyFont="1" applyFill="1" applyBorder="1" applyAlignment="1" applyProtection="1">
      <alignment horizontal="center" wrapText="1"/>
      <protection locked="0"/>
    </xf>
    <xf numFmtId="0" fontId="13" fillId="49" borderId="1" xfId="54" applyFont="1" applyFill="1" applyBorder="1" applyAlignment="1" applyProtection="1">
      <alignment horizontal="center" wrapText="1"/>
      <protection locked="0"/>
    </xf>
    <xf numFmtId="0" fontId="13" fillId="49" borderId="1" xfId="54" applyFill="1" applyBorder="1" applyAlignment="1" applyProtection="1">
      <alignment horizontal="center" wrapText="1"/>
      <protection locked="0"/>
    </xf>
    <xf numFmtId="1" fontId="13" fillId="49" borderId="1" xfId="54" applyNumberFormat="1" applyFill="1" applyBorder="1" applyAlignment="1" applyProtection="1">
      <alignment horizontal="center"/>
      <protection locked="0"/>
    </xf>
    <xf numFmtId="12" fontId="13" fillId="59" borderId="1" xfId="54" applyNumberFormat="1" applyFont="1" applyFill="1" applyBorder="1" applyAlignment="1" applyProtection="1">
      <alignment horizontal="left" vertical="top" wrapText="1"/>
      <protection locked="0"/>
    </xf>
    <xf numFmtId="0" fontId="13" fillId="59" borderId="1" xfId="2" applyNumberFormat="1" applyFont="1" applyFill="1" applyBorder="1" applyAlignment="1" applyProtection="1">
      <alignment horizontal="left" vertical="top" wrapText="1"/>
      <protection locked="0"/>
    </xf>
    <xf numFmtId="1" fontId="13" fillId="49" borderId="1" xfId="54" applyNumberFormat="1" applyFont="1" applyFill="1" applyBorder="1" applyAlignment="1" applyProtection="1">
      <alignment horizontal="center" vertical="center"/>
      <protection locked="0"/>
    </xf>
    <xf numFmtId="0" fontId="13" fillId="44" borderId="1" xfId="54" applyFill="1" applyBorder="1" applyAlignment="1" applyProtection="1">
      <alignment horizontal="center" vertical="center"/>
      <protection locked="0"/>
    </xf>
    <xf numFmtId="0" fontId="13" fillId="44" borderId="1" xfId="54" applyFill="1" applyBorder="1" applyAlignment="1" applyProtection="1">
      <alignment wrapText="1"/>
      <protection locked="0"/>
    </xf>
    <xf numFmtId="0" fontId="13" fillId="44" borderId="1" xfId="54" applyFont="1" applyFill="1" applyBorder="1" applyAlignment="1" applyProtection="1">
      <alignment horizontal="center" vertical="center"/>
      <protection locked="0"/>
    </xf>
    <xf numFmtId="0" fontId="76" fillId="44" borderId="1" xfId="54" applyFont="1" applyFill="1" applyBorder="1" applyAlignment="1" applyProtection="1">
      <alignment horizontal="center" vertical="center"/>
      <protection locked="0"/>
    </xf>
    <xf numFmtId="0" fontId="13" fillId="49" borderId="3" xfId="54" applyFont="1" applyFill="1" applyBorder="1" applyProtection="1">
      <protection locked="0"/>
    </xf>
    <xf numFmtId="1" fontId="13" fillId="49" borderId="1" xfId="54" quotePrefix="1" applyNumberFormat="1" applyFont="1" applyFill="1" applyBorder="1" applyAlignment="1" applyProtection="1">
      <alignment horizontal="center"/>
      <protection locked="0"/>
    </xf>
    <xf numFmtId="9" fontId="13" fillId="43" borderId="1" xfId="54" applyNumberFormat="1" applyFont="1" applyFill="1" applyBorder="1" applyAlignment="1" applyProtection="1">
      <alignment horizontal="center"/>
    </xf>
    <xf numFmtId="1" fontId="13" fillId="43" borderId="1" xfId="54" applyNumberFormat="1" applyFont="1" applyFill="1" applyBorder="1" applyAlignment="1" applyProtection="1">
      <alignment horizontal="center"/>
    </xf>
    <xf numFmtId="0" fontId="118" fillId="49" borderId="1" xfId="54" applyFont="1" applyFill="1" applyBorder="1" applyAlignment="1" applyProtection="1">
      <alignment horizontal="center"/>
      <protection locked="0"/>
    </xf>
    <xf numFmtId="1" fontId="118" fillId="49" borderId="1" xfId="54" applyNumberFormat="1" applyFont="1" applyFill="1" applyBorder="1" applyAlignment="1" applyProtection="1">
      <alignment horizontal="center"/>
      <protection locked="0"/>
    </xf>
    <xf numFmtId="165" fontId="118" fillId="43" borderId="1" xfId="54" applyNumberFormat="1" applyFont="1" applyFill="1" applyBorder="1" applyAlignment="1" applyProtection="1">
      <alignment horizontal="center"/>
    </xf>
    <xf numFmtId="166" fontId="118" fillId="43" borderId="1" xfId="54" applyNumberFormat="1" applyFont="1" applyFill="1" applyBorder="1" applyAlignment="1" applyProtection="1">
      <alignment horizontal="center"/>
    </xf>
    <xf numFmtId="2" fontId="13" fillId="43" borderId="1" xfId="54" applyNumberFormat="1" applyFont="1" applyFill="1" applyBorder="1" applyAlignment="1" applyProtection="1">
      <alignment horizontal="center"/>
    </xf>
    <xf numFmtId="2" fontId="13" fillId="43" borderId="3" xfId="54" applyNumberFormat="1" applyFont="1" applyFill="1" applyBorder="1" applyAlignment="1" applyProtection="1">
      <alignment horizontal="center"/>
    </xf>
    <xf numFmtId="165" fontId="13" fillId="43" borderId="35" xfId="54" applyNumberFormat="1" applyFont="1" applyFill="1" applyBorder="1" applyAlignment="1" applyProtection="1">
      <alignment horizontal="center"/>
    </xf>
    <xf numFmtId="1" fontId="13" fillId="43" borderId="3" xfId="54" applyNumberFormat="1" applyFont="1" applyFill="1" applyBorder="1" applyAlignment="1" applyProtection="1">
      <alignment horizontal="center"/>
    </xf>
    <xf numFmtId="0" fontId="13" fillId="49" borderId="1" xfId="54" applyFont="1" applyFill="1" applyBorder="1" applyAlignment="1" applyProtection="1">
      <alignment vertical="top"/>
      <protection locked="0"/>
    </xf>
    <xf numFmtId="0" fontId="13" fillId="40" borderId="102" xfId="54" applyFont="1" applyFill="1" applyBorder="1" applyAlignment="1" applyProtection="1">
      <alignment vertical="top"/>
      <protection locked="0"/>
    </xf>
    <xf numFmtId="0" fontId="121" fillId="0" borderId="8" xfId="0" applyFont="1" applyBorder="1" applyAlignment="1">
      <alignment horizontal="center" vertical="center" wrapText="1"/>
    </xf>
    <xf numFmtId="0" fontId="121" fillId="0" borderId="9" xfId="0" applyFont="1" applyBorder="1" applyAlignment="1">
      <alignment horizontal="center" vertical="center" wrapText="1"/>
    </xf>
    <xf numFmtId="0" fontId="121" fillId="0" borderId="37" xfId="0" applyFont="1" applyBorder="1" applyAlignment="1">
      <alignment horizontal="center" vertical="center" wrapText="1"/>
    </xf>
    <xf numFmtId="0" fontId="0" fillId="0" borderId="12" xfId="0" applyBorder="1"/>
    <xf numFmtId="0" fontId="0" fillId="0" borderId="13" xfId="0" applyBorder="1"/>
    <xf numFmtId="0" fontId="0" fillId="0" borderId="14" xfId="0" applyBorder="1"/>
    <xf numFmtId="0" fontId="121" fillId="0" borderId="67" xfId="0" applyFont="1" applyBorder="1" applyAlignment="1">
      <alignment horizontal="center" vertical="center"/>
    </xf>
    <xf numFmtId="0" fontId="121" fillId="0" borderId="6" xfId="0" applyFont="1" applyBorder="1" applyAlignment="1">
      <alignment horizontal="center" vertical="center"/>
    </xf>
    <xf numFmtId="0" fontId="121" fillId="0" borderId="49" xfId="0" applyFont="1" applyBorder="1" applyAlignment="1">
      <alignment horizontal="center" vertical="center"/>
    </xf>
    <xf numFmtId="0" fontId="121" fillId="0" borderId="42" xfId="0" applyFont="1" applyBorder="1" applyAlignment="1">
      <alignment horizontal="center" vertical="center"/>
    </xf>
    <xf numFmtId="0" fontId="121" fillId="0" borderId="1" xfId="0" applyFont="1" applyBorder="1" applyAlignment="1">
      <alignment horizontal="center" vertical="center"/>
    </xf>
    <xf numFmtId="0" fontId="121" fillId="0" borderId="34" xfId="0" applyFont="1" applyBorder="1" applyAlignment="1">
      <alignment horizontal="center" vertical="center"/>
    </xf>
    <xf numFmtId="0" fontId="121" fillId="0" borderId="51" xfId="0" applyFont="1" applyBorder="1" applyAlignment="1">
      <alignment horizontal="center" vertical="center"/>
    </xf>
    <xf numFmtId="0" fontId="121" fillId="0" borderId="9" xfId="0" applyFont="1" applyBorder="1" applyAlignment="1">
      <alignment horizontal="center" vertical="center"/>
    </xf>
    <xf numFmtId="0" fontId="121" fillId="0" borderId="37" xfId="0" applyFont="1" applyBorder="1" applyAlignment="1">
      <alignment horizontal="center" vertical="center"/>
    </xf>
    <xf numFmtId="0" fontId="0" fillId="0" borderId="0" xfId="0" applyFill="1" applyBorder="1"/>
    <xf numFmtId="0" fontId="10" fillId="2" borderId="23" xfId="0" applyFont="1" applyFill="1" applyBorder="1" applyAlignment="1"/>
    <xf numFmtId="0" fontId="10" fillId="2" borderId="65" xfId="0" applyFont="1" applyFill="1" applyBorder="1" applyAlignment="1"/>
    <xf numFmtId="0" fontId="0" fillId="0" borderId="64" xfId="0" applyFont="1" applyBorder="1" applyAlignment="1">
      <alignment horizontal="center"/>
    </xf>
    <xf numFmtId="0" fontId="0" fillId="0" borderId="5" xfId="0" applyFont="1" applyBorder="1" applyAlignment="1">
      <alignment horizontal="center"/>
    </xf>
    <xf numFmtId="0" fontId="0" fillId="0" borderId="7" xfId="0" applyFont="1" applyBorder="1" applyAlignment="1">
      <alignment horizontal="center"/>
    </xf>
    <xf numFmtId="0" fontId="0" fillId="0" borderId="8" xfId="0" applyFont="1" applyBorder="1" applyAlignment="1">
      <alignment horizontal="center"/>
    </xf>
    <xf numFmtId="0" fontId="0" fillId="0" borderId="98" xfId="0" applyFont="1" applyBorder="1" applyAlignment="1">
      <alignment horizontal="center"/>
    </xf>
    <xf numFmtId="0" fontId="10" fillId="2" borderId="21" xfId="0" applyFont="1" applyFill="1" applyBorder="1" applyAlignment="1">
      <alignment horizontal="center"/>
    </xf>
    <xf numFmtId="2" fontId="0" fillId="0" borderId="2" xfId="0" applyNumberFormat="1" applyFont="1" applyBorder="1" applyAlignment="1">
      <alignment horizontal="center"/>
    </xf>
    <xf numFmtId="0" fontId="0" fillId="0" borderId="84" xfId="0" applyFont="1" applyBorder="1" applyAlignment="1">
      <alignment horizontal="center"/>
    </xf>
    <xf numFmtId="0" fontId="0" fillId="0" borderId="1" xfId="0" applyFont="1" applyBorder="1" applyAlignment="1">
      <alignment horizontal="center"/>
    </xf>
    <xf numFmtId="0" fontId="0" fillId="0" borderId="2" xfId="0" applyFont="1" applyBorder="1" applyAlignment="1">
      <alignment horizontal="center"/>
    </xf>
    <xf numFmtId="0" fontId="0" fillId="0" borderId="42" xfId="0" applyFont="1" applyBorder="1" applyAlignment="1">
      <alignment horizontal="center"/>
    </xf>
    <xf numFmtId="0" fontId="10" fillId="35" borderId="2" xfId="0" applyFont="1" applyFill="1" applyBorder="1" applyAlignment="1">
      <alignment horizontal="center"/>
    </xf>
    <xf numFmtId="0" fontId="61" fillId="2" borderId="64" xfId="0" applyFont="1" applyFill="1" applyBorder="1" applyAlignment="1">
      <alignment horizontal="center" vertical="center"/>
    </xf>
    <xf numFmtId="0" fontId="10" fillId="2" borderId="64" xfId="0" applyFont="1" applyFill="1" applyBorder="1" applyAlignment="1">
      <alignment horizontal="center"/>
    </xf>
    <xf numFmtId="0" fontId="10" fillId="35" borderId="84" xfId="0" applyFont="1" applyFill="1" applyBorder="1" applyAlignment="1">
      <alignment horizontal="center"/>
    </xf>
    <xf numFmtId="0" fontId="0" fillId="25" borderId="1" xfId="0" applyFont="1" applyFill="1" applyBorder="1" applyAlignment="1">
      <alignment horizontal="center"/>
    </xf>
    <xf numFmtId="0" fontId="0" fillId="25" borderId="42" xfId="0" applyFont="1" applyFill="1" applyBorder="1" applyAlignment="1">
      <alignment horizontal="center"/>
    </xf>
    <xf numFmtId="0" fontId="10" fillId="62" borderId="99" xfId="0" applyFont="1" applyFill="1" applyBorder="1" applyAlignment="1"/>
    <xf numFmtId="0" fontId="10" fillId="62" borderId="64" xfId="0" applyFont="1" applyFill="1" applyBorder="1" applyAlignment="1">
      <alignment horizontal="center"/>
    </xf>
    <xf numFmtId="0" fontId="10" fillId="62" borderId="65" xfId="0" applyFont="1" applyFill="1" applyBorder="1" applyAlignment="1"/>
    <xf numFmtId="0" fontId="0" fillId="35" borderId="65" xfId="0" applyFont="1" applyFill="1" applyBorder="1" applyAlignment="1">
      <alignment horizontal="center"/>
    </xf>
    <xf numFmtId="0" fontId="10" fillId="35" borderId="116" xfId="0" applyFont="1" applyFill="1" applyBorder="1" applyAlignment="1">
      <alignment horizontal="center"/>
    </xf>
    <xf numFmtId="0" fontId="0" fillId="0" borderId="116" xfId="0" applyFont="1" applyBorder="1" applyAlignment="1">
      <alignment horizontal="center"/>
    </xf>
    <xf numFmtId="0" fontId="0" fillId="35" borderId="2" xfId="0" applyFont="1" applyFill="1" applyBorder="1" applyAlignment="1">
      <alignment horizontal="center" vertical="center"/>
    </xf>
    <xf numFmtId="0" fontId="0" fillId="35" borderId="84" xfId="0" applyFont="1" applyFill="1" applyBorder="1" applyAlignment="1">
      <alignment horizontal="center" vertical="center"/>
    </xf>
    <xf numFmtId="0" fontId="0" fillId="36" borderId="21" xfId="0" applyFont="1" applyFill="1" applyBorder="1" applyAlignment="1">
      <alignment horizontal="center"/>
    </xf>
    <xf numFmtId="0" fontId="0" fillId="36" borderId="16" xfId="0" applyFont="1" applyFill="1" applyBorder="1" applyAlignment="1"/>
    <xf numFmtId="165" fontId="0" fillId="0" borderId="1" xfId="0" applyNumberFormat="1" applyFont="1" applyBorder="1" applyAlignment="1">
      <alignment horizontal="center"/>
    </xf>
    <xf numFmtId="0" fontId="13" fillId="40" borderId="1" xfId="54" applyFill="1" applyBorder="1" applyAlignment="1" applyProtection="1">
      <alignment horizontal="left" vertical="top"/>
      <protection locked="0"/>
    </xf>
    <xf numFmtId="0" fontId="13" fillId="25" borderId="1" xfId="54" applyFill="1" applyBorder="1" applyAlignment="1" applyProtection="1">
      <alignment horizontal="center" vertical="center" wrapText="1"/>
      <protection locked="0"/>
    </xf>
    <xf numFmtId="0" fontId="2" fillId="27" borderId="29" xfId="0" applyFont="1" applyFill="1" applyBorder="1" applyAlignment="1" applyProtection="1">
      <alignment horizontal="center" vertical="center" wrapText="1"/>
      <protection locked="0"/>
    </xf>
    <xf numFmtId="0" fontId="2" fillId="27" borderId="13" xfId="0" applyFont="1" applyFill="1" applyBorder="1" applyAlignment="1" applyProtection="1">
      <alignment horizontal="center" vertical="center" wrapText="1"/>
      <protection locked="0"/>
    </xf>
    <xf numFmtId="0" fontId="2" fillId="27" borderId="13" xfId="0" applyFont="1" applyFill="1" applyBorder="1" applyAlignment="1" applyProtection="1">
      <alignment horizontal="center" wrapText="1"/>
      <protection locked="0"/>
    </xf>
    <xf numFmtId="0" fontId="2" fillId="27" borderId="61" xfId="0" applyFont="1" applyFill="1" applyBorder="1" applyAlignment="1" applyProtection="1">
      <alignment horizontal="center" vertical="center" wrapText="1"/>
      <protection locked="0"/>
    </xf>
    <xf numFmtId="0" fontId="2" fillId="27" borderId="10" xfId="0" applyFont="1" applyFill="1" applyBorder="1" applyAlignment="1" applyProtection="1">
      <alignment horizontal="center" vertical="center" wrapText="1"/>
      <protection locked="0"/>
    </xf>
    <xf numFmtId="0" fontId="2" fillId="27" borderId="20" xfId="0" applyFont="1" applyFill="1" applyBorder="1" applyAlignment="1" applyProtection="1">
      <alignment horizontal="center" vertical="center" wrapText="1"/>
      <protection locked="0"/>
    </xf>
    <xf numFmtId="0" fontId="2" fillId="27" borderId="62" xfId="0" applyFont="1" applyFill="1" applyBorder="1" applyAlignment="1" applyProtection="1">
      <alignment horizontal="center" vertical="center" wrapText="1"/>
      <protection locked="0"/>
    </xf>
    <xf numFmtId="0" fontId="2" fillId="27" borderId="17" xfId="0" applyFont="1" applyFill="1" applyBorder="1" applyAlignment="1" applyProtection="1">
      <alignment horizontal="center" vertical="center" wrapText="1"/>
      <protection locked="0"/>
    </xf>
    <xf numFmtId="0" fontId="2" fillId="27" borderId="36" xfId="0" applyFont="1" applyFill="1" applyBorder="1" applyAlignment="1" applyProtection="1">
      <alignment horizontal="center" vertical="center" wrapText="1"/>
      <protection locked="0"/>
    </xf>
    <xf numFmtId="0" fontId="2" fillId="27" borderId="12" xfId="0" applyFont="1" applyFill="1" applyBorder="1" applyAlignment="1" applyProtection="1">
      <alignment horizontal="center" vertical="center" wrapText="1"/>
      <protection locked="0"/>
    </xf>
    <xf numFmtId="0" fontId="1" fillId="27" borderId="93" xfId="0" applyFont="1" applyFill="1" applyBorder="1" applyAlignment="1" applyProtection="1">
      <alignment horizontal="center" vertical="center"/>
      <protection locked="0"/>
    </xf>
    <xf numFmtId="0" fontId="1" fillId="27" borderId="38" xfId="0" applyFont="1" applyFill="1" applyBorder="1" applyAlignment="1" applyProtection="1">
      <alignment horizontal="center" vertical="center"/>
      <protection locked="0"/>
    </xf>
    <xf numFmtId="0" fontId="2" fillId="27" borderId="30" xfId="0" applyFont="1" applyFill="1" applyBorder="1" applyAlignment="1" applyProtection="1">
      <alignment horizontal="center" vertical="center" wrapText="1"/>
      <protection locked="0"/>
    </xf>
    <xf numFmtId="0" fontId="2" fillId="27" borderId="17" xfId="0" applyFont="1" applyFill="1" applyBorder="1" applyAlignment="1" applyProtection="1">
      <alignment horizontal="center" wrapText="1"/>
      <protection locked="0"/>
    </xf>
    <xf numFmtId="0" fontId="2" fillId="27" borderId="30" xfId="0" applyFont="1" applyFill="1" applyBorder="1" applyAlignment="1" applyProtection="1">
      <alignment horizontal="center" wrapText="1"/>
      <protection locked="0"/>
    </xf>
    <xf numFmtId="0" fontId="2" fillId="27" borderId="14" xfId="0" applyFont="1" applyFill="1" applyBorder="1" applyAlignment="1" applyProtection="1">
      <alignment horizontal="center" vertical="center" wrapText="1"/>
      <protection locked="0"/>
    </xf>
    <xf numFmtId="0" fontId="58" fillId="0" borderId="0" xfId="0" applyFont="1" applyAlignment="1" applyProtection="1">
      <alignment horizontal="center"/>
      <protection locked="0"/>
    </xf>
    <xf numFmtId="0" fontId="58" fillId="0" borderId="0" xfId="0" applyFont="1" applyAlignment="1" applyProtection="1">
      <alignment horizontal="center" vertical="center"/>
      <protection locked="0"/>
    </xf>
    <xf numFmtId="167" fontId="2" fillId="25" borderId="48" xfId="0" applyNumberFormat="1" applyFont="1" applyFill="1" applyBorder="1" applyAlignment="1" applyProtection="1">
      <alignment horizontal="center" vertical="center" wrapText="1"/>
      <protection locked="0"/>
    </xf>
    <xf numFmtId="167" fontId="2" fillId="25" borderId="1" xfId="0" applyNumberFormat="1" applyFont="1" applyFill="1" applyBorder="1" applyAlignment="1" applyProtection="1">
      <alignment horizontal="center" vertical="center" wrapText="1"/>
      <protection locked="0"/>
    </xf>
    <xf numFmtId="167" fontId="2" fillId="25" borderId="3" xfId="0" applyNumberFormat="1" applyFont="1" applyFill="1" applyBorder="1" applyAlignment="1" applyProtection="1">
      <alignment horizontal="center" vertical="center" wrapText="1"/>
      <protection locked="0"/>
    </xf>
    <xf numFmtId="167" fontId="2" fillId="25" borderId="9" xfId="0" applyNumberFormat="1" applyFont="1" applyFill="1" applyBorder="1" applyAlignment="1" applyProtection="1">
      <alignment horizontal="center" vertical="center" wrapText="1"/>
      <protection locked="0"/>
    </xf>
    <xf numFmtId="167" fontId="2" fillId="34" borderId="35" xfId="0" applyNumberFormat="1" applyFont="1" applyFill="1" applyBorder="1" applyAlignment="1" applyProtection="1">
      <alignment horizontal="center" vertical="center" wrapText="1"/>
      <protection locked="0"/>
    </xf>
    <xf numFmtId="167" fontId="2" fillId="34" borderId="1" xfId="0" applyNumberFormat="1" applyFont="1" applyFill="1" applyBorder="1" applyAlignment="1" applyProtection="1">
      <alignment horizontal="center" vertical="center" wrapText="1"/>
      <protection locked="0"/>
    </xf>
    <xf numFmtId="167" fontId="4" fillId="34" borderId="1" xfId="0" applyNumberFormat="1" applyFont="1" applyFill="1" applyBorder="1" applyAlignment="1" applyProtection="1">
      <alignment horizontal="center" vertical="center" wrapText="1"/>
      <protection locked="0"/>
    </xf>
    <xf numFmtId="167" fontId="4" fillId="34" borderId="9" xfId="0" applyNumberFormat="1" applyFont="1" applyFill="1" applyBorder="1" applyAlignment="1" applyProtection="1">
      <alignment horizontal="center" vertical="center" wrapText="1"/>
      <protection locked="0"/>
    </xf>
    <xf numFmtId="167" fontId="1" fillId="25" borderId="1" xfId="0" applyNumberFormat="1" applyFont="1" applyFill="1" applyBorder="1" applyAlignment="1" applyProtection="1">
      <alignment horizontal="center" vertical="center"/>
      <protection locked="0"/>
    </xf>
    <xf numFmtId="167" fontId="1" fillId="25" borderId="9" xfId="0" applyNumberFormat="1" applyFont="1" applyFill="1" applyBorder="1" applyAlignment="1" applyProtection="1">
      <alignment horizontal="center" vertical="center"/>
      <protection locked="0"/>
    </xf>
    <xf numFmtId="167" fontId="1" fillId="34" borderId="35" xfId="0" applyNumberFormat="1" applyFont="1" applyFill="1" applyBorder="1" applyAlignment="1" applyProtection="1">
      <alignment horizontal="center" vertical="center"/>
      <protection locked="0"/>
    </xf>
    <xf numFmtId="167" fontId="1" fillId="34" borderId="1" xfId="0" applyNumberFormat="1" applyFont="1" applyFill="1" applyBorder="1" applyAlignment="1" applyProtection="1">
      <alignment horizontal="center" vertical="center"/>
      <protection locked="0"/>
    </xf>
    <xf numFmtId="167" fontId="1" fillId="34" borderId="3" xfId="0" applyNumberFormat="1" applyFont="1" applyFill="1" applyBorder="1" applyAlignment="1" applyProtection="1">
      <alignment horizontal="center" vertical="center"/>
      <protection locked="0"/>
    </xf>
    <xf numFmtId="167" fontId="1" fillId="25" borderId="35" xfId="0" applyNumberFormat="1" applyFont="1" applyFill="1" applyBorder="1" applyAlignment="1" applyProtection="1">
      <alignment horizontal="center" vertical="center"/>
      <protection locked="0"/>
    </xf>
    <xf numFmtId="167" fontId="1" fillId="25" borderId="3" xfId="0" applyNumberFormat="1" applyFont="1" applyFill="1" applyBorder="1" applyAlignment="1" applyProtection="1">
      <alignment horizontal="center" vertical="center"/>
      <protection locked="0"/>
    </xf>
    <xf numFmtId="164" fontId="1" fillId="32" borderId="2" xfId="0" applyNumberFormat="1" applyFont="1" applyFill="1" applyBorder="1" applyAlignment="1" applyProtection="1">
      <alignment horizontal="center" vertical="center"/>
      <protection locked="0"/>
    </xf>
    <xf numFmtId="167" fontId="1" fillId="34" borderId="64" xfId="0" applyNumberFormat="1" applyFont="1" applyFill="1" applyBorder="1" applyAlignment="1" applyProtection="1">
      <alignment horizontal="center" vertical="center"/>
      <protection locked="0"/>
    </xf>
    <xf numFmtId="167" fontId="1" fillId="25" borderId="6" xfId="0" applyNumberFormat="1" applyFont="1" applyFill="1" applyBorder="1" applyAlignment="1" applyProtection="1">
      <alignment horizontal="center" vertical="center"/>
      <protection locked="0"/>
    </xf>
    <xf numFmtId="167" fontId="1" fillId="27" borderId="1" xfId="0" applyNumberFormat="1" applyFont="1" applyFill="1" applyBorder="1" applyAlignment="1" applyProtection="1">
      <alignment horizontal="center" vertical="center"/>
      <protection locked="0"/>
    </xf>
    <xf numFmtId="167" fontId="1" fillId="27" borderId="3" xfId="0" applyNumberFormat="1" applyFont="1" applyFill="1" applyBorder="1" applyAlignment="1" applyProtection="1">
      <alignment horizontal="center" vertical="center"/>
      <protection locked="0"/>
    </xf>
    <xf numFmtId="5" fontId="1" fillId="25" borderId="1" xfId="53" applyNumberFormat="1" applyFont="1" applyFill="1" applyBorder="1" applyAlignment="1" applyProtection="1">
      <alignment horizontal="center" vertical="center"/>
      <protection locked="0"/>
    </xf>
    <xf numFmtId="167" fontId="1" fillId="32" borderId="0" xfId="0" applyNumberFormat="1" applyFont="1" applyFill="1" applyBorder="1" applyAlignment="1" applyProtection="1">
      <alignment horizontal="center" vertical="center"/>
      <protection locked="0"/>
    </xf>
    <xf numFmtId="167" fontId="1" fillId="32" borderId="93" xfId="0" applyNumberFormat="1" applyFont="1" applyFill="1" applyBorder="1" applyAlignment="1" applyProtection="1">
      <alignment horizontal="center" vertical="center"/>
      <protection locked="0"/>
    </xf>
    <xf numFmtId="167" fontId="1" fillId="27" borderId="50" xfId="0" applyNumberFormat="1" applyFont="1" applyFill="1" applyBorder="1" applyAlignment="1" applyProtection="1">
      <alignment horizontal="center" vertical="center"/>
      <protection locked="0"/>
    </xf>
    <xf numFmtId="0" fontId="1" fillId="32" borderId="70" xfId="0" applyFont="1" applyFill="1" applyBorder="1" applyAlignment="1" applyProtection="1">
      <alignment vertical="center"/>
      <protection locked="0"/>
    </xf>
    <xf numFmtId="0" fontId="1" fillId="32" borderId="0" xfId="0" applyFont="1" applyFill="1" applyBorder="1" applyAlignment="1" applyProtection="1">
      <alignment vertical="center"/>
      <protection locked="0"/>
    </xf>
    <xf numFmtId="0" fontId="1" fillId="32" borderId="93" xfId="0" applyFont="1" applyFill="1" applyBorder="1" applyAlignment="1" applyProtection="1">
      <alignment vertical="center"/>
      <protection locked="0"/>
    </xf>
    <xf numFmtId="167" fontId="2" fillId="25" borderId="94" xfId="0" applyNumberFormat="1" applyFont="1" applyFill="1" applyBorder="1" applyAlignment="1" applyProtection="1">
      <alignment horizontal="center" vertical="center"/>
      <protection locked="0"/>
    </xf>
    <xf numFmtId="0" fontId="2" fillId="32" borderId="21" xfId="0" applyFont="1" applyFill="1" applyBorder="1" applyAlignment="1" applyProtection="1">
      <alignment wrapText="1"/>
      <protection locked="0"/>
    </xf>
    <xf numFmtId="167" fontId="1" fillId="34" borderId="6" xfId="0" applyNumberFormat="1" applyFont="1" applyFill="1" applyBorder="1" applyAlignment="1" applyProtection="1">
      <alignment horizontal="center" vertical="center"/>
      <protection locked="0"/>
    </xf>
    <xf numFmtId="167" fontId="1" fillId="34" borderId="50" xfId="0" applyNumberFormat="1" applyFont="1" applyFill="1" applyBorder="1" applyAlignment="1" applyProtection="1">
      <alignment horizontal="center" vertical="center"/>
      <protection locked="0"/>
    </xf>
    <xf numFmtId="1" fontId="1" fillId="32" borderId="2" xfId="0" applyNumberFormat="1" applyFont="1" applyFill="1" applyBorder="1" applyAlignment="1" applyProtection="1">
      <alignment vertical="center"/>
      <protection locked="0"/>
    </xf>
    <xf numFmtId="0" fontId="13" fillId="49" borderId="102" xfId="54" applyFont="1" applyFill="1" applyBorder="1" applyAlignment="1" applyProtection="1">
      <alignment wrapText="1"/>
      <protection locked="0"/>
    </xf>
    <xf numFmtId="0" fontId="11" fillId="49" borderId="102" xfId="54" applyFont="1" applyFill="1" applyBorder="1" applyAlignment="1" applyProtection="1">
      <protection locked="0"/>
    </xf>
    <xf numFmtId="0" fontId="76" fillId="40" borderId="16" xfId="54" applyFont="1" applyFill="1" applyBorder="1" applyAlignment="1" applyProtection="1">
      <alignment vertical="top"/>
    </xf>
    <xf numFmtId="0" fontId="76" fillId="0" borderId="16" xfId="54" applyFont="1" applyBorder="1" applyAlignment="1" applyProtection="1">
      <alignment wrapText="1"/>
    </xf>
    <xf numFmtId="0" fontId="76" fillId="41" borderId="1" xfId="54" applyFont="1" applyFill="1" applyBorder="1" applyAlignment="1" applyProtection="1">
      <alignment horizontal="center" vertical="center" wrapText="1"/>
    </xf>
    <xf numFmtId="0" fontId="76" fillId="0" borderId="0" xfId="54" applyFont="1" applyProtection="1"/>
    <xf numFmtId="0" fontId="13" fillId="0" borderId="0" xfId="54" applyFont="1" applyProtection="1"/>
    <xf numFmtId="0" fontId="13" fillId="25" borderId="102" xfId="54" applyFont="1" applyFill="1" applyBorder="1" applyAlignment="1" applyProtection="1">
      <protection locked="0"/>
    </xf>
    <xf numFmtId="0" fontId="11" fillId="25" borderId="102" xfId="54" applyFont="1" applyFill="1" applyBorder="1" applyAlignment="1" applyProtection="1">
      <alignment horizontal="left"/>
      <protection locked="0"/>
    </xf>
    <xf numFmtId="0" fontId="35" fillId="0" borderId="0" xfId="618" applyFont="1" applyFill="1" applyBorder="1" applyProtection="1"/>
    <xf numFmtId="0" fontId="81" fillId="0" borderId="0" xfId="618" applyFont="1" applyFill="1" applyBorder="1" applyProtection="1"/>
    <xf numFmtId="0" fontId="82" fillId="0" borderId="0" xfId="618" applyFont="1" applyFill="1" applyBorder="1" applyProtection="1"/>
    <xf numFmtId="0" fontId="79" fillId="40" borderId="0" xfId="618" applyFont="1" applyFill="1" applyBorder="1" applyAlignment="1" applyProtection="1">
      <alignment horizontal="left" vertical="center"/>
    </xf>
    <xf numFmtId="0" fontId="35" fillId="40" borderId="0" xfId="618" applyFont="1" applyFill="1" applyBorder="1" applyProtection="1"/>
    <xf numFmtId="0" fontId="86" fillId="43" borderId="3" xfId="618" applyFont="1" applyFill="1" applyBorder="1" applyAlignment="1" applyProtection="1">
      <alignment horizontal="center" vertical="center" wrapText="1"/>
    </xf>
    <xf numFmtId="0" fontId="86" fillId="49" borderId="3" xfId="618" applyFont="1" applyFill="1" applyBorder="1" applyAlignment="1" applyProtection="1">
      <alignment horizontal="center" vertical="center" wrapText="1"/>
    </xf>
    <xf numFmtId="0" fontId="86" fillId="49" borderId="3" xfId="54" applyFont="1" applyFill="1" applyBorder="1" applyAlignment="1" applyProtection="1">
      <alignment horizontal="center" vertical="center" wrapText="1"/>
    </xf>
    <xf numFmtId="0" fontId="86" fillId="40" borderId="3" xfId="54" applyFont="1" applyFill="1" applyBorder="1" applyAlignment="1" applyProtection="1">
      <alignment horizontal="center" vertical="center" wrapText="1"/>
    </xf>
    <xf numFmtId="0" fontId="87" fillId="50" borderId="84" xfId="618" applyFont="1" applyFill="1" applyBorder="1" applyAlignment="1" applyProtection="1">
      <alignment horizontal="center" vertical="center" wrapText="1"/>
    </xf>
    <xf numFmtId="0" fontId="13" fillId="43" borderId="102" xfId="54" applyFont="1" applyFill="1" applyBorder="1" applyAlignment="1" applyProtection="1">
      <alignment horizontal="left" vertical="top" wrapText="1"/>
      <protection locked="0"/>
    </xf>
    <xf numFmtId="0" fontId="13" fillId="43" borderId="103" xfId="54" applyFont="1" applyFill="1" applyBorder="1" applyAlignment="1" applyProtection="1">
      <alignment horizontal="left" vertical="top" wrapText="1"/>
      <protection locked="0"/>
    </xf>
    <xf numFmtId="0" fontId="13" fillId="43" borderId="102" xfId="618" applyFont="1" applyFill="1" applyBorder="1" applyAlignment="1" applyProtection="1">
      <alignment horizontal="left" vertical="top" wrapText="1"/>
      <protection locked="0"/>
    </xf>
    <xf numFmtId="0" fontId="13" fillId="43" borderId="50" xfId="54" applyFont="1" applyFill="1" applyBorder="1" applyAlignment="1" applyProtection="1">
      <alignment horizontal="left" vertical="top" wrapText="1"/>
      <protection locked="0"/>
    </xf>
    <xf numFmtId="0" fontId="91" fillId="44" borderId="1" xfId="505" applyFont="1" applyFill="1" applyBorder="1" applyAlignment="1" applyProtection="1">
      <alignment horizontal="left" vertical="top" wrapText="1"/>
      <protection locked="0"/>
    </xf>
    <xf numFmtId="0" fontId="92" fillId="44" borderId="1" xfId="505" applyFont="1" applyFill="1" applyBorder="1" applyAlignment="1" applyProtection="1">
      <alignment horizontal="left" vertical="top" wrapText="1"/>
      <protection locked="0"/>
    </xf>
    <xf numFmtId="0" fontId="76" fillId="0" borderId="0" xfId="54" applyFont="1" applyAlignment="1" applyProtection="1">
      <alignment vertical="center"/>
    </xf>
    <xf numFmtId="0" fontId="12" fillId="40" borderId="0" xfId="505" applyFill="1" applyProtection="1"/>
    <xf numFmtId="0" fontId="96" fillId="50" borderId="1" xfId="54" applyFont="1" applyFill="1" applyBorder="1" applyAlignment="1" applyProtection="1">
      <alignment horizontal="center" vertical="center" wrapText="1"/>
    </xf>
    <xf numFmtId="0" fontId="13" fillId="0" borderId="0" xfId="54" applyAlignment="1" applyProtection="1">
      <alignment vertical="center"/>
    </xf>
    <xf numFmtId="0" fontId="96" fillId="55" borderId="16" xfId="54" applyFont="1" applyFill="1" applyBorder="1" applyAlignment="1" applyProtection="1">
      <alignment vertical="center"/>
    </xf>
    <xf numFmtId="0" fontId="96" fillId="55" borderId="2" xfId="54" applyFont="1" applyFill="1" applyBorder="1" applyAlignment="1" applyProtection="1">
      <alignment vertical="center" wrapText="1"/>
    </xf>
    <xf numFmtId="0" fontId="97" fillId="43" borderId="1" xfId="54" applyFont="1" applyFill="1" applyBorder="1" applyAlignment="1" applyProtection="1">
      <alignment horizontal="center" vertical="center" wrapText="1"/>
    </xf>
    <xf numFmtId="0" fontId="98" fillId="0" borderId="0" xfId="54" applyFont="1" applyAlignment="1" applyProtection="1">
      <alignment vertical="center"/>
    </xf>
    <xf numFmtId="0" fontId="96" fillId="0" borderId="3" xfId="54" applyFont="1" applyFill="1" applyBorder="1" applyAlignment="1" applyProtection="1">
      <alignment horizontal="center" vertical="center" wrapText="1"/>
    </xf>
    <xf numFmtId="0" fontId="96" fillId="27" borderId="1" xfId="54" applyFont="1" applyFill="1" applyBorder="1" applyAlignment="1" applyProtection="1">
      <alignment horizontal="center" vertical="center" wrapText="1"/>
    </xf>
    <xf numFmtId="0" fontId="98" fillId="43" borderId="42" xfId="54" applyFont="1" applyFill="1" applyBorder="1" applyAlignment="1" applyProtection="1">
      <alignment horizontal="center" vertical="center" wrapText="1"/>
    </xf>
    <xf numFmtId="0" fontId="99" fillId="0" borderId="3" xfId="54" applyFont="1" applyFill="1" applyBorder="1" applyAlignment="1" applyProtection="1">
      <alignment horizontal="center" vertical="center" wrapText="1"/>
    </xf>
    <xf numFmtId="0" fontId="13" fillId="43" borderId="42" xfId="54" applyFill="1" applyBorder="1" applyAlignment="1" applyProtection="1">
      <alignment horizontal="center" vertical="center" wrapText="1"/>
    </xf>
    <xf numFmtId="0" fontId="13" fillId="0" borderId="1" xfId="54" applyFont="1" applyBorder="1" applyAlignment="1" applyProtection="1">
      <alignment horizontal="center" vertical="center" wrapText="1"/>
    </xf>
    <xf numFmtId="0" fontId="13" fillId="0" borderId="1" xfId="54" applyBorder="1" applyAlignment="1" applyProtection="1">
      <alignment horizontal="center" vertical="center" wrapText="1"/>
    </xf>
    <xf numFmtId="0" fontId="96" fillId="27" borderId="1" xfId="54" applyFont="1" applyFill="1" applyBorder="1" applyAlignment="1" applyProtection="1">
      <alignment horizontal="center" wrapText="1"/>
    </xf>
    <xf numFmtId="0" fontId="97" fillId="27" borderId="1" xfId="54" applyFont="1" applyFill="1" applyBorder="1" applyAlignment="1" applyProtection="1">
      <alignment horizontal="center" vertical="center" wrapText="1"/>
    </xf>
    <xf numFmtId="0" fontId="13" fillId="40" borderId="0" xfId="54" applyFill="1" applyBorder="1" applyAlignment="1" applyProtection="1">
      <alignment horizontal="center" vertical="center" wrapText="1"/>
    </xf>
    <xf numFmtId="0" fontId="13" fillId="0" borderId="0" xfId="54" applyFont="1" applyBorder="1" applyAlignment="1" applyProtection="1">
      <alignment horizontal="center" vertical="center" wrapText="1"/>
    </xf>
    <xf numFmtId="0" fontId="96" fillId="56" borderId="1" xfId="54" applyFont="1" applyFill="1" applyBorder="1" applyAlignment="1" applyProtection="1">
      <alignment horizontal="center" vertical="center" wrapText="1"/>
    </xf>
    <xf numFmtId="0" fontId="96" fillId="0" borderId="0" xfId="54" applyFont="1" applyFill="1" applyBorder="1" applyAlignment="1" applyProtection="1">
      <alignment horizontal="center" vertical="center" wrapText="1"/>
    </xf>
    <xf numFmtId="0" fontId="96" fillId="43" borderId="1" xfId="54" applyFont="1" applyFill="1" applyBorder="1" applyAlignment="1" applyProtection="1">
      <alignment horizontal="center" vertical="center" wrapText="1"/>
    </xf>
    <xf numFmtId="0" fontId="96" fillId="0" borderId="1" xfId="54" applyFont="1" applyFill="1" applyBorder="1" applyAlignment="1" applyProtection="1">
      <alignment horizontal="center" vertical="center" wrapText="1"/>
    </xf>
    <xf numFmtId="0" fontId="96" fillId="56" borderId="2" xfId="54" applyFont="1" applyFill="1" applyBorder="1" applyAlignment="1" applyProtection="1">
      <alignment horizontal="center" vertical="center" wrapText="1"/>
    </xf>
    <xf numFmtId="0" fontId="96" fillId="56" borderId="16" xfId="54" applyFont="1" applyFill="1" applyBorder="1" applyAlignment="1" applyProtection="1">
      <alignment horizontal="center" vertical="center" wrapText="1"/>
    </xf>
    <xf numFmtId="0" fontId="96" fillId="56" borderId="42" xfId="54" applyFont="1" applyFill="1" applyBorder="1" applyAlignment="1" applyProtection="1">
      <alignment horizontal="center" vertical="center" wrapText="1"/>
    </xf>
    <xf numFmtId="0" fontId="96" fillId="0" borderId="35" xfId="54" applyFont="1" applyFill="1" applyBorder="1" applyAlignment="1" applyProtection="1">
      <alignment horizontal="center" vertical="center" wrapText="1"/>
    </xf>
    <xf numFmtId="0" fontId="96" fillId="56" borderId="28" xfId="54" applyFont="1" applyFill="1" applyBorder="1" applyAlignment="1" applyProtection="1">
      <alignment horizontal="center" vertical="center" wrapText="1"/>
    </xf>
    <xf numFmtId="0" fontId="96" fillId="56" borderId="84" xfId="54" applyFont="1" applyFill="1" applyBorder="1" applyAlignment="1" applyProtection="1">
      <alignment horizontal="center" vertical="center" wrapText="1"/>
    </xf>
    <xf numFmtId="0" fontId="96" fillId="56" borderId="40" xfId="54" applyFont="1" applyFill="1" applyBorder="1" applyAlignment="1" applyProtection="1">
      <alignment horizontal="center" vertical="center" wrapText="1"/>
    </xf>
    <xf numFmtId="0" fontId="97" fillId="0" borderId="1" xfId="54" applyFont="1" applyBorder="1" applyAlignment="1" applyProtection="1">
      <alignment horizontal="center" wrapText="1"/>
    </xf>
    <xf numFmtId="0" fontId="97" fillId="40" borderId="1" xfId="54" applyFont="1" applyFill="1" applyBorder="1" applyAlignment="1" applyProtection="1">
      <alignment horizontal="center" wrapText="1"/>
    </xf>
    <xf numFmtId="0" fontId="96" fillId="56" borderId="27" xfId="54" applyFont="1" applyFill="1" applyBorder="1" applyAlignment="1" applyProtection="1">
      <alignment horizontal="center" vertical="center" wrapText="1"/>
    </xf>
    <xf numFmtId="0" fontId="96" fillId="56" borderId="93" xfId="54" applyFont="1" applyFill="1" applyBorder="1" applyAlignment="1" applyProtection="1">
      <alignment horizontal="center" vertical="center" wrapText="1"/>
    </xf>
    <xf numFmtId="0" fontId="96" fillId="56" borderId="39" xfId="54" applyFont="1" applyFill="1" applyBorder="1" applyAlignment="1" applyProtection="1">
      <alignment horizontal="center" vertical="center" wrapText="1"/>
    </xf>
    <xf numFmtId="0" fontId="102" fillId="56" borderId="1" xfId="54" applyFont="1" applyFill="1" applyBorder="1" applyAlignment="1" applyProtection="1">
      <alignment horizontal="center" vertical="center" wrapText="1"/>
    </xf>
    <xf numFmtId="0" fontId="97" fillId="56" borderId="1" xfId="54" applyFont="1" applyFill="1" applyBorder="1" applyAlignment="1" applyProtection="1">
      <alignment horizontal="center" vertical="center" wrapText="1"/>
    </xf>
    <xf numFmtId="0" fontId="102" fillId="0" borderId="0" xfId="54" applyFont="1" applyFill="1" applyBorder="1" applyAlignment="1" applyProtection="1">
      <alignment horizontal="center" vertical="center" wrapText="1"/>
    </xf>
    <xf numFmtId="0" fontId="88" fillId="0" borderId="0" xfId="54" applyFont="1" applyBorder="1" applyAlignment="1" applyProtection="1">
      <alignment horizontal="center" vertical="top" wrapText="1"/>
    </xf>
    <xf numFmtId="0" fontId="88" fillId="0" borderId="0" xfId="54" applyFont="1" applyFill="1" applyAlignment="1" applyProtection="1">
      <alignment vertical="top"/>
    </xf>
    <xf numFmtId="0" fontId="88" fillId="0" borderId="0" xfId="54" applyFont="1" applyFill="1" applyAlignment="1" applyProtection="1">
      <alignment vertical="top" wrapText="1"/>
    </xf>
    <xf numFmtId="0" fontId="88" fillId="40" borderId="0" xfId="54" applyFont="1" applyFill="1" applyAlignment="1" applyProtection="1">
      <alignment vertical="top"/>
    </xf>
    <xf numFmtId="0" fontId="88" fillId="40" borderId="0" xfId="54" applyFont="1" applyFill="1" applyAlignment="1" applyProtection="1">
      <alignment vertical="top" wrapText="1"/>
    </xf>
    <xf numFmtId="0" fontId="88" fillId="40" borderId="0" xfId="54" applyFont="1" applyFill="1" applyAlignment="1" applyProtection="1">
      <alignment vertical="center" wrapText="1"/>
    </xf>
    <xf numFmtId="49" fontId="88" fillId="40" borderId="0" xfId="54" applyNumberFormat="1" applyFont="1" applyFill="1" applyAlignment="1" applyProtection="1">
      <alignment horizontal="right" vertical="center"/>
    </xf>
    <xf numFmtId="0" fontId="76" fillId="40" borderId="0" xfId="54" applyFont="1" applyFill="1" applyAlignment="1" applyProtection="1">
      <alignment vertical="center"/>
    </xf>
    <xf numFmtId="0" fontId="35" fillId="40" borderId="0" xfId="618" applyFont="1" applyFill="1" applyBorder="1" applyAlignment="1" applyProtection="1">
      <alignment horizontal="left" vertical="center"/>
    </xf>
    <xf numFmtId="0" fontId="79" fillId="0" borderId="3" xfId="54" applyFont="1" applyFill="1" applyBorder="1" applyAlignment="1" applyProtection="1">
      <alignment horizontal="left" wrapText="1"/>
    </xf>
    <xf numFmtId="0" fontId="79" fillId="40" borderId="1" xfId="54" applyFont="1" applyFill="1" applyBorder="1" applyAlignment="1" applyProtection="1"/>
    <xf numFmtId="0" fontId="88" fillId="40" borderId="0" xfId="54" applyFont="1" applyFill="1" applyBorder="1" applyAlignment="1" applyProtection="1">
      <alignment horizontal="left"/>
    </xf>
    <xf numFmtId="0" fontId="13" fillId="40" borderId="0" xfId="54" applyFill="1" applyProtection="1"/>
    <xf numFmtId="0" fontId="109" fillId="40" borderId="0" xfId="54" applyFont="1" applyFill="1" applyProtection="1"/>
    <xf numFmtId="0" fontId="79" fillId="40" borderId="0" xfId="54" applyFont="1" applyFill="1" applyBorder="1" applyAlignment="1" applyProtection="1">
      <alignment horizontal="center"/>
    </xf>
    <xf numFmtId="0" fontId="90" fillId="50" borderId="16" xfId="54" applyFont="1" applyFill="1" applyBorder="1" applyAlignment="1" applyProtection="1">
      <alignment horizontal="left" vertical="top"/>
    </xf>
    <xf numFmtId="0" fontId="90" fillId="50" borderId="2" xfId="54" applyFont="1" applyFill="1" applyBorder="1" applyAlignment="1" applyProtection="1">
      <alignment horizontal="left" vertical="top"/>
    </xf>
    <xf numFmtId="0" fontId="90" fillId="50" borderId="2" xfId="54" quotePrefix="1" applyFont="1" applyFill="1" applyBorder="1" applyAlignment="1" applyProtection="1">
      <alignment horizontal="left" vertical="top"/>
    </xf>
    <xf numFmtId="0" fontId="13" fillId="40" borderId="0" xfId="54" applyFill="1" applyBorder="1" applyProtection="1"/>
    <xf numFmtId="0" fontId="13" fillId="40" borderId="0" xfId="54" applyFill="1" applyBorder="1" applyAlignment="1" applyProtection="1">
      <alignment horizontal="left" vertical="top"/>
    </xf>
    <xf numFmtId="0" fontId="80" fillId="40" borderId="0" xfId="54" applyFont="1" applyFill="1" applyBorder="1" applyProtection="1"/>
    <xf numFmtId="0" fontId="13" fillId="40" borderId="0" xfId="54" applyFont="1" applyFill="1" applyBorder="1" applyAlignment="1" applyProtection="1">
      <alignment wrapText="1"/>
    </xf>
    <xf numFmtId="0" fontId="80" fillId="40" borderId="0" xfId="54" applyFont="1" applyFill="1" applyBorder="1" applyAlignment="1" applyProtection="1">
      <alignment vertical="top"/>
    </xf>
    <xf numFmtId="0" fontId="13" fillId="40" borderId="0" xfId="54" applyFont="1" applyFill="1" applyBorder="1" applyProtection="1"/>
    <xf numFmtId="0" fontId="13" fillId="0" borderId="0" xfId="54" applyBorder="1" applyProtection="1"/>
    <xf numFmtId="0" fontId="13" fillId="40" borderId="0" xfId="54" quotePrefix="1" applyFont="1" applyFill="1" applyBorder="1" applyAlignment="1" applyProtection="1">
      <alignment horizontal="left" indent="1"/>
    </xf>
    <xf numFmtId="0" fontId="13" fillId="0" borderId="0" xfId="54" applyFill="1" applyBorder="1" applyProtection="1"/>
    <xf numFmtId="0" fontId="77" fillId="0" borderId="0" xfId="54" applyFont="1" applyBorder="1" applyAlignment="1" applyProtection="1">
      <alignment horizontal="left" vertical="top"/>
    </xf>
    <xf numFmtId="0" fontId="76" fillId="40" borderId="0" xfId="54" applyFont="1" applyFill="1" applyBorder="1" applyAlignment="1" applyProtection="1"/>
    <xf numFmtId="0" fontId="76" fillId="40" borderId="0" xfId="54" applyFont="1" applyFill="1" applyBorder="1" applyAlignment="1" applyProtection="1">
      <alignment horizontal="center" vertical="center" textRotation="180" wrapText="1"/>
    </xf>
    <xf numFmtId="0" fontId="13" fillId="0" borderId="0" xfId="54" applyAlignment="1" applyProtection="1">
      <alignment wrapText="1"/>
    </xf>
    <xf numFmtId="0" fontId="77" fillId="40" borderId="0" xfId="54" applyFont="1" applyFill="1" applyBorder="1" applyAlignment="1" applyProtection="1">
      <alignment horizontal="center"/>
    </xf>
    <xf numFmtId="0" fontId="90" fillId="50" borderId="16" xfId="54" applyFont="1" applyFill="1" applyBorder="1" applyAlignment="1" applyProtection="1">
      <alignment horizontal="left" vertical="center"/>
    </xf>
    <xf numFmtId="0" fontId="76" fillId="50" borderId="2" xfId="54" applyFont="1" applyFill="1" applyBorder="1" applyAlignment="1" applyProtection="1">
      <alignment vertical="center" wrapText="1"/>
    </xf>
    <xf numFmtId="0" fontId="76" fillId="50" borderId="2" xfId="54" quotePrefix="1" applyFont="1" applyFill="1" applyBorder="1" applyAlignment="1" applyProtection="1">
      <alignment vertical="center" wrapText="1"/>
    </xf>
    <xf numFmtId="0" fontId="76" fillId="50" borderId="42" xfId="54" applyFont="1" applyFill="1" applyBorder="1" applyAlignment="1" applyProtection="1">
      <alignment vertical="center" wrapText="1"/>
    </xf>
    <xf numFmtId="0" fontId="76" fillId="61" borderId="0" xfId="54" applyFont="1" applyFill="1" applyBorder="1" applyAlignment="1" applyProtection="1">
      <alignment horizontal="left" wrapText="1"/>
    </xf>
    <xf numFmtId="0" fontId="76" fillId="0" borderId="0" xfId="54" applyFont="1" applyBorder="1" applyAlignment="1" applyProtection="1">
      <alignment wrapText="1"/>
    </xf>
    <xf numFmtId="0" fontId="76" fillId="40" borderId="0" xfId="54" applyFont="1" applyFill="1" applyAlignment="1" applyProtection="1">
      <alignment horizontal="left" wrapText="1"/>
    </xf>
    <xf numFmtId="0" fontId="76" fillId="0" borderId="0" xfId="54" applyFont="1" applyAlignment="1" applyProtection="1">
      <alignment wrapText="1"/>
    </xf>
    <xf numFmtId="0" fontId="76" fillId="50" borderId="2" xfId="54" applyNumberFormat="1" applyFont="1" applyFill="1" applyBorder="1" applyAlignment="1" applyProtection="1">
      <alignment vertical="center" wrapText="1"/>
    </xf>
    <xf numFmtId="0" fontId="90" fillId="50" borderId="42" xfId="54" applyFont="1" applyFill="1" applyBorder="1" applyAlignment="1" applyProtection="1">
      <alignment vertical="top" wrapText="1"/>
    </xf>
    <xf numFmtId="0" fontId="13" fillId="40" borderId="0" xfId="54" applyFont="1" applyFill="1" applyProtection="1"/>
    <xf numFmtId="0" fontId="13" fillId="40" borderId="0" xfId="54" applyFill="1" applyAlignment="1" applyProtection="1">
      <alignment vertical="top"/>
    </xf>
    <xf numFmtId="0" fontId="13" fillId="40" borderId="0" xfId="54" applyFill="1" applyBorder="1" applyAlignment="1" applyProtection="1">
      <alignment vertical="top"/>
    </xf>
    <xf numFmtId="0" fontId="13" fillId="40" borderId="0" xfId="54" applyFont="1" applyFill="1" applyBorder="1" applyAlignment="1" applyProtection="1">
      <alignment vertical="top"/>
    </xf>
    <xf numFmtId="0" fontId="72" fillId="0" borderId="1" xfId="54" applyFont="1" applyBorder="1" applyAlignment="1" applyProtection="1">
      <alignment horizontal="center"/>
    </xf>
    <xf numFmtId="0" fontId="72" fillId="0" borderId="1" xfId="54" applyFont="1" applyBorder="1" applyAlignment="1" applyProtection="1">
      <alignment horizontal="center" wrapText="1"/>
    </xf>
    <xf numFmtId="0" fontId="13" fillId="0" borderId="1" xfId="54" applyBorder="1" applyProtection="1"/>
    <xf numFmtId="165" fontId="13" fillId="0" borderId="1" xfId="54" applyNumberFormat="1" applyBorder="1" applyAlignment="1" applyProtection="1">
      <alignment horizontal="center"/>
    </xf>
    <xf numFmtId="0" fontId="13" fillId="0" borderId="1" xfId="54" applyBorder="1" applyAlignment="1" applyProtection="1">
      <alignment horizontal="center"/>
    </xf>
    <xf numFmtId="0" fontId="13" fillId="0" borderId="1" xfId="54" applyBorder="1" applyAlignment="1" applyProtection="1">
      <alignment wrapText="1"/>
    </xf>
    <xf numFmtId="0" fontId="76" fillId="40" borderId="28" xfId="54" applyFont="1" applyFill="1" applyBorder="1" applyAlignment="1" applyProtection="1">
      <alignment horizontal="left" vertical="top"/>
    </xf>
    <xf numFmtId="0" fontId="13" fillId="40" borderId="40" xfId="54" applyFill="1" applyBorder="1" applyAlignment="1" applyProtection="1">
      <alignment horizontal="left" vertical="top" wrapText="1"/>
    </xf>
    <xf numFmtId="0" fontId="13" fillId="0" borderId="86" xfId="54" applyBorder="1" applyAlignment="1" applyProtection="1">
      <alignment vertical="top" wrapText="1"/>
    </xf>
    <xf numFmtId="0" fontId="13" fillId="40" borderId="41" xfId="54" applyFill="1" applyBorder="1" applyAlignment="1" applyProtection="1">
      <alignment horizontal="left" vertical="top" wrapText="1"/>
    </xf>
    <xf numFmtId="0" fontId="13" fillId="0" borderId="86" xfId="54" applyBorder="1" applyAlignment="1" applyProtection="1">
      <alignment wrapText="1"/>
    </xf>
    <xf numFmtId="0" fontId="76" fillId="40" borderId="27" xfId="54" applyFont="1" applyFill="1" applyBorder="1" applyAlignment="1" applyProtection="1">
      <alignment horizontal="left" vertical="top"/>
    </xf>
    <xf numFmtId="0" fontId="13" fillId="40" borderId="1" xfId="54" applyFill="1" applyBorder="1" applyAlignment="1" applyProtection="1">
      <alignment horizontal="left" vertical="top" wrapText="1"/>
    </xf>
    <xf numFmtId="0" fontId="76" fillId="40" borderId="86" xfId="54" applyFont="1" applyFill="1" applyBorder="1" applyAlignment="1" applyProtection="1">
      <alignment horizontal="left" vertical="top"/>
    </xf>
    <xf numFmtId="0" fontId="13" fillId="25" borderId="0" xfId="54" applyFill="1" applyBorder="1" applyAlignment="1" applyProtection="1">
      <alignment horizontal="left" vertical="top" wrapText="1"/>
    </xf>
    <xf numFmtId="0" fontId="13" fillId="25" borderId="41" xfId="54" applyFont="1" applyFill="1" applyBorder="1" applyAlignment="1" applyProtection="1">
      <alignment horizontal="left" vertical="top" wrapText="1"/>
    </xf>
    <xf numFmtId="0" fontId="13" fillId="40" borderId="0" xfId="54" applyFill="1" applyBorder="1" applyAlignment="1" applyProtection="1">
      <alignment horizontal="left" vertical="top" wrapText="1"/>
    </xf>
    <xf numFmtId="0" fontId="13" fillId="50" borderId="2" xfId="54" applyFill="1" applyBorder="1" applyAlignment="1" applyProtection="1">
      <alignment vertical="top" wrapText="1"/>
    </xf>
    <xf numFmtId="0" fontId="13" fillId="40" borderId="0" xfId="54" applyFont="1" applyFill="1" applyBorder="1" applyAlignment="1" applyProtection="1">
      <alignment horizontal="left" vertical="top"/>
    </xf>
    <xf numFmtId="0" fontId="80" fillId="40" borderId="0" xfId="54" applyFont="1" applyFill="1" applyBorder="1" applyAlignment="1" applyProtection="1">
      <alignment horizontal="left" vertical="top"/>
    </xf>
    <xf numFmtId="0" fontId="76" fillId="0" borderId="86" xfId="54" applyFont="1" applyBorder="1" applyAlignment="1" applyProtection="1">
      <alignment vertical="top" wrapText="1"/>
    </xf>
    <xf numFmtId="0" fontId="13" fillId="25" borderId="0" xfId="54" applyFill="1" applyProtection="1"/>
    <xf numFmtId="0" fontId="13" fillId="0" borderId="84" xfId="54" applyFont="1" applyBorder="1" applyAlignment="1" applyProtection="1">
      <alignment vertical="top"/>
    </xf>
    <xf numFmtId="0" fontId="97" fillId="50" borderId="2" xfId="54" applyFont="1" applyFill="1" applyBorder="1" applyAlignment="1" applyProtection="1">
      <alignment horizontal="left" vertical="center"/>
    </xf>
    <xf numFmtId="0" fontId="90" fillId="50" borderId="2" xfId="54" quotePrefix="1" applyFont="1" applyFill="1" applyBorder="1" applyAlignment="1" applyProtection="1">
      <alignment horizontal="left" vertical="top" wrapText="1"/>
    </xf>
    <xf numFmtId="0" fontId="97" fillId="50" borderId="2" xfId="54" applyFont="1" applyFill="1" applyBorder="1" applyAlignment="1" applyProtection="1">
      <alignment horizontal="left" vertical="center" wrapText="1"/>
    </xf>
    <xf numFmtId="0" fontId="76" fillId="40" borderId="0" xfId="54" applyFont="1" applyFill="1" applyBorder="1" applyAlignment="1" applyProtection="1">
      <alignment horizontal="center" vertical="center" wrapText="1"/>
    </xf>
    <xf numFmtId="0" fontId="97" fillId="40" borderId="0" xfId="54" applyFont="1" applyFill="1" applyBorder="1" applyAlignment="1" applyProtection="1">
      <alignment horizontal="center" vertical="center" wrapText="1"/>
    </xf>
    <xf numFmtId="0" fontId="76" fillId="40" borderId="0" xfId="54" applyFont="1" applyFill="1" applyBorder="1" applyProtection="1"/>
    <xf numFmtId="0" fontId="76" fillId="61" borderId="93" xfId="54" applyFont="1" applyFill="1" applyBorder="1" applyAlignment="1" applyProtection="1">
      <alignment wrapText="1"/>
    </xf>
    <xf numFmtId="0" fontId="76" fillId="0" borderId="93" xfId="54" applyFont="1" applyBorder="1" applyAlignment="1" applyProtection="1">
      <alignment wrapText="1"/>
    </xf>
    <xf numFmtId="0" fontId="76" fillId="50" borderId="2" xfId="54" quotePrefix="1" applyFont="1" applyFill="1" applyBorder="1" applyAlignment="1" applyProtection="1">
      <alignment vertical="center"/>
    </xf>
    <xf numFmtId="0" fontId="13" fillId="50" borderId="2" xfId="54" applyFill="1" applyBorder="1" applyAlignment="1" applyProtection="1">
      <alignment vertical="top"/>
    </xf>
    <xf numFmtId="0" fontId="15" fillId="40" borderId="0" xfId="54" applyFont="1" applyFill="1" applyBorder="1" applyProtection="1"/>
    <xf numFmtId="0" fontId="15" fillId="40" borderId="0" xfId="54" applyFont="1" applyFill="1" applyBorder="1" applyAlignment="1" applyProtection="1">
      <alignment horizontal="left"/>
    </xf>
    <xf numFmtId="0" fontId="76" fillId="40" borderId="93" xfId="54" applyFont="1" applyFill="1" applyBorder="1" applyAlignment="1" applyProtection="1"/>
    <xf numFmtId="0" fontId="90" fillId="50" borderId="2" xfId="54" applyFont="1" applyFill="1" applyBorder="1" applyAlignment="1" applyProtection="1">
      <alignment vertical="center" wrapText="1"/>
    </xf>
    <xf numFmtId="0" fontId="90" fillId="50" borderId="2" xfId="54" applyFont="1" applyFill="1" applyBorder="1" applyAlignment="1" applyProtection="1">
      <alignment vertical="top"/>
    </xf>
    <xf numFmtId="0" fontId="13" fillId="0" borderId="0" xfId="54" applyFont="1" applyFill="1" applyBorder="1" applyProtection="1"/>
    <xf numFmtId="0" fontId="76" fillId="40" borderId="114" xfId="54" applyFont="1" applyFill="1" applyBorder="1" applyAlignment="1" applyProtection="1">
      <alignment wrapText="1"/>
    </xf>
    <xf numFmtId="0" fontId="79" fillId="40" borderId="0" xfId="54" applyFont="1" applyFill="1" applyBorder="1" applyAlignment="1" applyProtection="1">
      <alignment horizontal="left"/>
    </xf>
    <xf numFmtId="0" fontId="80" fillId="40" borderId="84" xfId="54" applyFont="1" applyFill="1" applyBorder="1" applyAlignment="1" applyProtection="1"/>
    <xf numFmtId="0" fontId="90" fillId="50" borderId="2" xfId="54" applyFont="1" applyFill="1" applyBorder="1" applyAlignment="1" applyProtection="1">
      <alignment vertical="top" wrapText="1"/>
    </xf>
    <xf numFmtId="0" fontId="109" fillId="50" borderId="1" xfId="54" applyFont="1" applyFill="1" applyBorder="1" applyAlignment="1" applyProtection="1">
      <alignment horizontal="left" vertical="top" wrapText="1"/>
    </xf>
    <xf numFmtId="0" fontId="13" fillId="40" borderId="84" xfId="54" applyFill="1" applyBorder="1" applyProtection="1"/>
    <xf numFmtId="0" fontId="13" fillId="0" borderId="28" xfId="54" applyFill="1" applyBorder="1" applyAlignment="1" applyProtection="1">
      <alignment vertical="top"/>
    </xf>
    <xf numFmtId="0" fontId="13" fillId="40" borderId="0" xfId="54" applyFont="1" applyFill="1" applyBorder="1" applyAlignment="1" applyProtection="1">
      <alignment horizontal="right" vertical="center"/>
    </xf>
    <xf numFmtId="0" fontId="13" fillId="40" borderId="86" xfId="54" applyFill="1" applyBorder="1" applyProtection="1"/>
    <xf numFmtId="0" fontId="13" fillId="40" borderId="41" xfId="54" applyFont="1" applyFill="1" applyBorder="1" applyAlignment="1" applyProtection="1">
      <alignment horizontal="right" vertical="center"/>
    </xf>
    <xf numFmtId="0" fontId="13" fillId="40" borderId="27" xfId="54" applyFill="1" applyBorder="1" applyProtection="1"/>
    <xf numFmtId="0" fontId="13" fillId="40" borderId="93" xfId="54" applyFill="1" applyBorder="1" applyProtection="1"/>
    <xf numFmtId="0" fontId="13" fillId="40" borderId="93" xfId="54" applyFont="1" applyFill="1" applyBorder="1" applyAlignment="1" applyProtection="1">
      <alignment horizontal="right" vertical="center"/>
    </xf>
    <xf numFmtId="0" fontId="90" fillId="50" borderId="2" xfId="54" applyFont="1" applyFill="1" applyBorder="1" applyAlignment="1" applyProtection="1">
      <alignment horizontal="left" vertical="center"/>
    </xf>
    <xf numFmtId="0" fontId="13" fillId="0" borderId="0" xfId="54" applyFont="1" applyFill="1" applyBorder="1" applyAlignment="1" applyProtection="1">
      <alignment horizontal="left" vertical="top" wrapText="1"/>
    </xf>
    <xf numFmtId="0" fontId="13" fillId="40" borderId="0" xfId="54" applyFont="1" applyFill="1" applyBorder="1" applyAlignment="1" applyProtection="1">
      <alignment horizontal="center" vertical="center" wrapText="1"/>
    </xf>
    <xf numFmtId="0" fontId="76" fillId="0" borderId="0" xfId="54" applyFont="1" applyFill="1" applyBorder="1" applyAlignment="1" applyProtection="1">
      <alignment horizontal="left" vertical="top"/>
    </xf>
    <xf numFmtId="0" fontId="76" fillId="0" borderId="35" xfId="54" applyFont="1" applyBorder="1" applyAlignment="1" applyProtection="1">
      <alignment horizontal="center" vertical="center" wrapText="1"/>
    </xf>
    <xf numFmtId="1" fontId="13" fillId="43" borderId="1" xfId="54" applyNumberFormat="1" applyFont="1" applyFill="1" applyBorder="1" applyAlignment="1" applyProtection="1">
      <alignment horizontal="center" wrapText="1"/>
    </xf>
    <xf numFmtId="2" fontId="13" fillId="43" borderId="1" xfId="54" applyNumberFormat="1" applyFill="1" applyBorder="1" applyAlignment="1" applyProtection="1">
      <alignment horizontal="center"/>
    </xf>
    <xf numFmtId="0" fontId="76" fillId="0" borderId="0" xfId="54" applyFont="1" applyAlignment="1" applyProtection="1">
      <alignment horizontal="center" vertical="center" wrapText="1"/>
    </xf>
    <xf numFmtId="0" fontId="90" fillId="50" borderId="2" xfId="54" quotePrefix="1" applyFont="1" applyFill="1" applyBorder="1" applyAlignment="1" applyProtection="1">
      <alignment horizontal="left" vertical="center"/>
    </xf>
    <xf numFmtId="0" fontId="76" fillId="61" borderId="0" xfId="54" applyFont="1" applyFill="1" applyBorder="1" applyAlignment="1" applyProtection="1">
      <alignment wrapText="1"/>
    </xf>
    <xf numFmtId="0" fontId="13" fillId="40" borderId="1" xfId="54" applyFont="1" applyFill="1" applyBorder="1" applyAlignment="1" applyProtection="1">
      <alignment horizontal="center" vertical="center" wrapText="1"/>
    </xf>
    <xf numFmtId="0" fontId="13" fillId="0" borderId="0" xfId="54" applyFont="1" applyAlignment="1" applyProtection="1">
      <alignment horizontal="center" vertical="center" wrapText="1"/>
    </xf>
    <xf numFmtId="0" fontId="13" fillId="52" borderId="1" xfId="54" applyFill="1" applyBorder="1" applyAlignment="1" applyProtection="1">
      <alignment horizontal="center" vertical="center"/>
    </xf>
    <xf numFmtId="9" fontId="76" fillId="52" borderId="1" xfId="52" applyFont="1" applyFill="1" applyBorder="1" applyAlignment="1" applyProtection="1">
      <alignment horizontal="center" vertical="center"/>
    </xf>
    <xf numFmtId="0" fontId="76" fillId="0" borderId="1" xfId="54" applyFont="1" applyBorder="1" applyAlignment="1" applyProtection="1">
      <alignment horizontal="center" vertical="center"/>
    </xf>
    <xf numFmtId="0" fontId="76" fillId="52" borderId="1" xfId="54" applyFont="1" applyFill="1" applyBorder="1" applyAlignment="1" applyProtection="1">
      <alignment horizontal="center" vertical="center"/>
    </xf>
    <xf numFmtId="0" fontId="76" fillId="25" borderId="0" xfId="54" applyFont="1" applyFill="1" applyBorder="1" applyAlignment="1" applyProtection="1">
      <alignment horizontal="center" vertical="center"/>
    </xf>
    <xf numFmtId="9" fontId="76" fillId="25" borderId="0" xfId="52" applyFont="1" applyFill="1" applyBorder="1" applyAlignment="1" applyProtection="1">
      <alignment horizontal="center" vertical="center"/>
    </xf>
    <xf numFmtId="0" fontId="13" fillId="0" borderId="0" xfId="54" applyAlignment="1" applyProtection="1">
      <alignment horizontal="center"/>
    </xf>
    <xf numFmtId="1" fontId="13" fillId="52" borderId="1" xfId="54" applyNumberFormat="1" applyFill="1" applyBorder="1" applyAlignment="1" applyProtection="1">
      <alignment horizontal="center" vertical="center"/>
    </xf>
    <xf numFmtId="0" fontId="13" fillId="0" borderId="0" xfId="54" applyFont="1" applyAlignment="1" applyProtection="1">
      <alignment horizontal="center" vertical="center"/>
    </xf>
    <xf numFmtId="1" fontId="13" fillId="52" borderId="1" xfId="54" applyNumberFormat="1" applyFont="1" applyFill="1" applyBorder="1" applyAlignment="1" applyProtection="1">
      <alignment horizontal="center" vertical="center"/>
    </xf>
    <xf numFmtId="0" fontId="13" fillId="0" borderId="1" xfId="54" applyBorder="1" applyAlignment="1" applyProtection="1">
      <alignment horizontal="center" vertical="center"/>
    </xf>
    <xf numFmtId="0" fontId="13" fillId="0" borderId="1" xfId="54" applyFont="1" applyBorder="1" applyAlignment="1" applyProtection="1">
      <alignment horizontal="center" vertical="center"/>
    </xf>
    <xf numFmtId="0" fontId="88" fillId="40" borderId="0" xfId="54" applyFont="1" applyFill="1" applyBorder="1" applyAlignment="1" applyProtection="1">
      <alignment horizontal="center"/>
    </xf>
    <xf numFmtId="0" fontId="109" fillId="50" borderId="2" xfId="54" applyFont="1" applyFill="1" applyBorder="1" applyAlignment="1" applyProtection="1">
      <alignment horizontal="left" vertical="center"/>
    </xf>
    <xf numFmtId="0" fontId="109" fillId="50" borderId="2" xfId="54" quotePrefix="1" applyFont="1" applyFill="1" applyBorder="1" applyAlignment="1" applyProtection="1">
      <alignment horizontal="left" vertical="center"/>
    </xf>
    <xf numFmtId="0" fontId="109" fillId="50" borderId="2" xfId="54" applyFont="1" applyFill="1" applyBorder="1" applyAlignment="1" applyProtection="1">
      <alignment vertical="top" wrapText="1"/>
    </xf>
    <xf numFmtId="0" fontId="13" fillId="0" borderId="1" xfId="54" applyBorder="1" applyAlignment="1" applyProtection="1">
      <alignment vertical="top" wrapText="1"/>
    </xf>
    <xf numFmtId="0" fontId="13" fillId="0" borderId="1" xfId="54" applyFont="1" applyBorder="1" applyAlignment="1" applyProtection="1">
      <alignment vertical="top" wrapText="1"/>
    </xf>
    <xf numFmtId="0" fontId="76" fillId="0" borderId="0" xfId="54" applyFont="1" applyFill="1" applyBorder="1" applyAlignment="1" applyProtection="1">
      <alignment horizontal="left" wrapText="1"/>
    </xf>
    <xf numFmtId="0" fontId="76" fillId="40" borderId="115" xfId="54" applyFont="1" applyFill="1" applyBorder="1" applyAlignment="1" applyProtection="1">
      <alignment vertical="center" textRotation="180" wrapText="1"/>
    </xf>
    <xf numFmtId="1" fontId="43" fillId="25" borderId="1" xfId="0" applyNumberFormat="1" applyFont="1" applyFill="1" applyBorder="1" applyAlignment="1" applyProtection="1">
      <alignment horizontal="center" vertical="center" wrapText="1"/>
    </xf>
    <xf numFmtId="0" fontId="67" fillId="40" borderId="0" xfId="54" applyFont="1" applyFill="1" applyAlignment="1" applyProtection="1"/>
    <xf numFmtId="0" fontId="122" fillId="40" borderId="0" xfId="54" applyFont="1" applyFill="1" applyAlignment="1" applyProtection="1">
      <alignment wrapText="1"/>
    </xf>
    <xf numFmtId="0" fontId="66" fillId="0" borderId="0" xfId="54" applyFont="1"/>
    <xf numFmtId="0" fontId="66" fillId="40" borderId="0" xfId="54" applyFont="1" applyFill="1" applyAlignment="1" applyProtection="1"/>
    <xf numFmtId="0" fontId="66" fillId="40" borderId="0" xfId="54" applyFont="1" applyFill="1" applyAlignment="1" applyProtection="1">
      <alignment horizontal="right" vertical="top" wrapText="1"/>
    </xf>
    <xf numFmtId="0" fontId="85" fillId="40" borderId="36" xfId="54" applyFont="1" applyFill="1" applyBorder="1" applyAlignment="1" applyProtection="1">
      <alignment horizontal="justify" wrapText="1"/>
    </xf>
    <xf numFmtId="0" fontId="85" fillId="40" borderId="47" xfId="54" applyFont="1" applyFill="1" applyBorder="1" applyAlignment="1" applyProtection="1">
      <alignment horizontal="justify" wrapText="1"/>
    </xf>
    <xf numFmtId="0" fontId="70" fillId="40" borderId="36" xfId="54" applyFont="1" applyFill="1" applyBorder="1" applyAlignment="1" applyProtection="1"/>
    <xf numFmtId="0" fontId="85" fillId="40" borderId="47" xfId="54" applyFont="1" applyFill="1" applyBorder="1" applyAlignment="1" applyProtection="1">
      <alignment wrapText="1"/>
    </xf>
    <xf numFmtId="0" fontId="85" fillId="40" borderId="36" xfId="54" applyFont="1" applyFill="1" applyBorder="1" applyAlignment="1" applyProtection="1"/>
    <xf numFmtId="0" fontId="85" fillId="40" borderId="34" xfId="54" applyFont="1" applyFill="1" applyBorder="1" applyAlignment="1" applyProtection="1">
      <alignment wrapText="1"/>
    </xf>
    <xf numFmtId="0" fontId="85" fillId="40" borderId="44" xfId="54" applyFont="1" applyFill="1" applyBorder="1" applyAlignment="1" applyProtection="1"/>
    <xf numFmtId="0" fontId="85" fillId="40" borderId="79" xfId="54" applyFont="1" applyFill="1" applyBorder="1" applyAlignment="1" applyProtection="1">
      <alignment wrapText="1"/>
    </xf>
    <xf numFmtId="0" fontId="2" fillId="25" borderId="48" xfId="0" applyNumberFormat="1" applyFont="1" applyFill="1" applyBorder="1" applyAlignment="1" applyProtection="1">
      <alignment horizontal="center" vertical="center" wrapText="1"/>
      <protection locked="0"/>
    </xf>
    <xf numFmtId="0" fontId="2" fillId="25" borderId="1" xfId="0" applyNumberFormat="1" applyFont="1" applyFill="1" applyBorder="1" applyAlignment="1" applyProtection="1">
      <alignment horizontal="center" vertical="center" wrapText="1"/>
      <protection locked="0"/>
    </xf>
    <xf numFmtId="0" fontId="2" fillId="25" borderId="3" xfId="0" applyNumberFormat="1" applyFont="1" applyFill="1" applyBorder="1" applyAlignment="1" applyProtection="1">
      <alignment horizontal="center" vertical="center" wrapText="1"/>
      <protection locked="0"/>
    </xf>
    <xf numFmtId="0" fontId="2" fillId="25" borderId="9" xfId="0" applyNumberFormat="1" applyFont="1" applyFill="1" applyBorder="1" applyAlignment="1" applyProtection="1">
      <alignment horizontal="center" vertical="center" wrapText="1"/>
      <protection locked="0"/>
    </xf>
    <xf numFmtId="0" fontId="2" fillId="34" borderId="35" xfId="0" applyNumberFormat="1" applyFont="1" applyFill="1" applyBorder="1" applyAlignment="1" applyProtection="1">
      <alignment horizontal="center" vertical="center" wrapText="1"/>
      <protection locked="0"/>
    </xf>
    <xf numFmtId="0" fontId="4" fillId="34" borderId="35" xfId="0" applyNumberFormat="1" applyFont="1" applyFill="1" applyBorder="1" applyAlignment="1" applyProtection="1">
      <alignment horizontal="center" vertical="center" wrapText="1"/>
      <protection locked="0"/>
    </xf>
    <xf numFmtId="0" fontId="4" fillId="34" borderId="94" xfId="0" applyNumberFormat="1" applyFont="1" applyFill="1" applyBorder="1" applyAlignment="1" applyProtection="1">
      <alignment horizontal="center" vertical="center" wrapText="1"/>
      <protection locked="0"/>
    </xf>
    <xf numFmtId="0" fontId="2" fillId="25" borderId="35" xfId="0" applyNumberFormat="1" applyFont="1" applyFill="1" applyBorder="1" applyAlignment="1" applyProtection="1">
      <alignment horizontal="center" vertical="center" wrapText="1"/>
      <protection locked="0"/>
    </xf>
    <xf numFmtId="0" fontId="1" fillId="25" borderId="1" xfId="0" applyNumberFormat="1" applyFont="1" applyFill="1" applyBorder="1" applyAlignment="1" applyProtection="1">
      <alignment horizontal="center" vertical="center"/>
      <protection locked="0"/>
    </xf>
    <xf numFmtId="0" fontId="1" fillId="25" borderId="9" xfId="0" applyNumberFormat="1" applyFont="1" applyFill="1" applyBorder="1" applyAlignment="1" applyProtection="1">
      <alignment horizontal="center" vertical="center"/>
      <protection locked="0"/>
    </xf>
    <xf numFmtId="0" fontId="1" fillId="34" borderId="35" xfId="0" applyNumberFormat="1" applyFont="1" applyFill="1" applyBorder="1" applyAlignment="1" applyProtection="1">
      <alignment horizontal="center" vertical="center"/>
      <protection locked="0"/>
    </xf>
    <xf numFmtId="0" fontId="1" fillId="34" borderId="1" xfId="0" applyNumberFormat="1" applyFont="1" applyFill="1" applyBorder="1" applyAlignment="1" applyProtection="1">
      <alignment horizontal="center" vertical="center"/>
      <protection locked="0"/>
    </xf>
    <xf numFmtId="0" fontId="1" fillId="34" borderId="3" xfId="0" applyNumberFormat="1" applyFont="1" applyFill="1" applyBorder="1" applyAlignment="1" applyProtection="1">
      <alignment horizontal="center" vertical="center"/>
      <protection locked="0"/>
    </xf>
    <xf numFmtId="0" fontId="1" fillId="25" borderId="35" xfId="0" applyNumberFormat="1" applyFont="1" applyFill="1" applyBorder="1" applyAlignment="1" applyProtection="1">
      <alignment horizontal="center" vertical="center"/>
      <protection locked="0"/>
    </xf>
    <xf numFmtId="0" fontId="1" fillId="25" borderId="3" xfId="0" applyNumberFormat="1" applyFont="1" applyFill="1" applyBorder="1" applyAlignment="1" applyProtection="1">
      <alignment horizontal="center" vertical="center"/>
      <protection locked="0"/>
    </xf>
    <xf numFmtId="0" fontId="1" fillId="32" borderId="2" xfId="0" applyNumberFormat="1" applyFont="1" applyFill="1" applyBorder="1" applyAlignment="1" applyProtection="1">
      <alignment horizontal="center" vertical="center"/>
      <protection locked="0"/>
    </xf>
    <xf numFmtId="0" fontId="1" fillId="25" borderId="50" xfId="0" applyNumberFormat="1" applyFont="1" applyFill="1" applyBorder="1" applyAlignment="1" applyProtection="1">
      <alignment horizontal="center" vertical="center"/>
      <protection locked="0"/>
    </xf>
    <xf numFmtId="0" fontId="1" fillId="34" borderId="64" xfId="0" applyNumberFormat="1" applyFont="1" applyFill="1" applyBorder="1" applyAlignment="1" applyProtection="1">
      <alignment horizontal="center" vertical="center"/>
      <protection locked="0"/>
    </xf>
    <xf numFmtId="0" fontId="1" fillId="25" borderId="6" xfId="0" applyNumberFormat="1" applyFont="1" applyFill="1" applyBorder="1" applyAlignment="1" applyProtection="1">
      <alignment horizontal="center" vertical="center"/>
      <protection locked="0"/>
    </xf>
    <xf numFmtId="0" fontId="1" fillId="27" borderId="1" xfId="0" applyNumberFormat="1" applyFont="1" applyFill="1" applyBorder="1" applyAlignment="1" applyProtection="1">
      <alignment horizontal="center" vertical="center"/>
      <protection locked="0"/>
    </xf>
    <xf numFmtId="0" fontId="1" fillId="27" borderId="3" xfId="0" applyNumberFormat="1" applyFont="1" applyFill="1" applyBorder="1" applyAlignment="1" applyProtection="1">
      <alignment horizontal="center" vertical="center"/>
      <protection locked="0"/>
    </xf>
    <xf numFmtId="0" fontId="1" fillId="25" borderId="1" xfId="53" applyNumberFormat="1" applyFont="1" applyFill="1" applyBorder="1" applyAlignment="1" applyProtection="1">
      <alignment horizontal="center" vertical="center"/>
      <protection locked="0"/>
    </xf>
    <xf numFmtId="0" fontId="1" fillId="27" borderId="50" xfId="0" applyNumberFormat="1" applyFont="1" applyFill="1" applyBorder="1" applyAlignment="1" applyProtection="1">
      <alignment horizontal="center" vertical="center"/>
      <protection locked="0"/>
    </xf>
    <xf numFmtId="0" fontId="1" fillId="32" borderId="116" xfId="0" applyNumberFormat="1" applyFont="1" applyFill="1" applyBorder="1" applyAlignment="1" applyProtection="1">
      <alignment horizontal="center" vertical="center"/>
      <protection locked="0"/>
    </xf>
    <xf numFmtId="0" fontId="1" fillId="32" borderId="0" xfId="0" applyNumberFormat="1" applyFont="1" applyFill="1" applyBorder="1" applyAlignment="1" applyProtection="1">
      <alignment horizontal="center" vertical="center"/>
      <protection locked="0"/>
    </xf>
    <xf numFmtId="0" fontId="1" fillId="32" borderId="70" xfId="0" applyNumberFormat="1" applyFont="1" applyFill="1" applyBorder="1" applyAlignment="1" applyProtection="1">
      <alignment vertical="center"/>
      <protection locked="0"/>
    </xf>
    <xf numFmtId="0" fontId="1" fillId="32" borderId="0" xfId="0" applyNumberFormat="1" applyFont="1" applyFill="1" applyBorder="1" applyAlignment="1" applyProtection="1">
      <alignment vertical="center"/>
      <protection locked="0"/>
    </xf>
    <xf numFmtId="0" fontId="1" fillId="32" borderId="116" xfId="0" applyNumberFormat="1" applyFont="1" applyFill="1" applyBorder="1" applyAlignment="1" applyProtection="1">
      <alignment vertical="center"/>
      <protection locked="0"/>
    </xf>
    <xf numFmtId="0" fontId="2" fillId="25" borderId="94" xfId="0" applyNumberFormat="1" applyFont="1" applyFill="1" applyBorder="1" applyAlignment="1" applyProtection="1">
      <alignment horizontal="center" vertical="center"/>
      <protection locked="0"/>
    </xf>
    <xf numFmtId="0" fontId="2" fillId="32" borderId="21" xfId="0" applyNumberFormat="1" applyFont="1" applyFill="1" applyBorder="1" applyAlignment="1" applyProtection="1">
      <alignment wrapText="1"/>
      <protection locked="0"/>
    </xf>
    <xf numFmtId="0" fontId="1" fillId="34" borderId="6" xfId="0" applyNumberFormat="1" applyFont="1" applyFill="1" applyBorder="1" applyAlignment="1" applyProtection="1">
      <alignment horizontal="center" vertical="center"/>
      <protection locked="0"/>
    </xf>
    <xf numFmtId="0" fontId="1" fillId="34" borderId="50" xfId="0" applyNumberFormat="1" applyFont="1" applyFill="1" applyBorder="1" applyAlignment="1" applyProtection="1">
      <alignment horizontal="center" vertical="center"/>
      <protection locked="0"/>
    </xf>
    <xf numFmtId="0" fontId="1" fillId="32" borderId="2" xfId="0" applyNumberFormat="1" applyFont="1" applyFill="1" applyBorder="1" applyAlignment="1" applyProtection="1">
      <alignment vertical="center"/>
      <protection locked="0"/>
    </xf>
    <xf numFmtId="0" fontId="5" fillId="2" borderId="45" xfId="0" applyNumberFormat="1" applyFont="1" applyFill="1" applyBorder="1" applyAlignment="1">
      <alignment horizontal="center" vertical="center"/>
    </xf>
    <xf numFmtId="0" fontId="2" fillId="32" borderId="31" xfId="0" applyFont="1" applyFill="1" applyBorder="1" applyAlignment="1" applyProtection="1">
      <alignment wrapText="1"/>
      <protection locked="0"/>
    </xf>
    <xf numFmtId="0" fontId="2" fillId="32" borderId="43" xfId="0" applyFont="1" applyFill="1" applyBorder="1" applyAlignment="1" applyProtection="1">
      <alignment wrapText="1"/>
      <protection locked="0"/>
    </xf>
    <xf numFmtId="0" fontId="2" fillId="32" borderId="33" xfId="0" applyFont="1" applyFill="1" applyBorder="1" applyAlignment="1" applyProtection="1">
      <alignment wrapText="1"/>
      <protection locked="0"/>
    </xf>
    <xf numFmtId="0" fontId="2" fillId="32" borderId="47" xfId="0" applyFont="1" applyFill="1" applyBorder="1" applyAlignment="1" applyProtection="1">
      <alignment wrapText="1"/>
      <protection locked="0"/>
    </xf>
    <xf numFmtId="0" fontId="34" fillId="25" borderId="19" xfId="0" applyNumberFormat="1" applyFont="1" applyFill="1" applyBorder="1" applyAlignment="1" applyProtection="1">
      <alignment horizontal="right" vertical="center" wrapText="1"/>
    </xf>
    <xf numFmtId="0" fontId="2" fillId="0" borderId="29" xfId="0" applyNumberFormat="1" applyFont="1" applyFill="1" applyBorder="1" applyAlignment="1" applyProtection="1">
      <alignment horizontal="center" vertical="center" wrapText="1"/>
    </xf>
    <xf numFmtId="0" fontId="6" fillId="0" borderId="22" xfId="0" applyFont="1" applyBorder="1" applyAlignment="1">
      <alignment horizontal="left" vertical="center"/>
    </xf>
    <xf numFmtId="0" fontId="2" fillId="25" borderId="12" xfId="0" applyNumberFormat="1" applyFont="1" applyFill="1" applyBorder="1" applyAlignment="1" applyProtection="1">
      <alignment horizontal="left" vertical="center" wrapText="1"/>
    </xf>
    <xf numFmtId="44" fontId="0" fillId="0" borderId="44" xfId="53" applyFont="1" applyFill="1" applyBorder="1" applyAlignment="1" applyProtection="1">
      <alignment horizontal="center" vertical="center"/>
      <protection locked="0"/>
    </xf>
    <xf numFmtId="0" fontId="0" fillId="0" borderId="22" xfId="0" applyBorder="1" applyAlignment="1">
      <alignment horizontal="center" vertical="center"/>
    </xf>
    <xf numFmtId="44" fontId="0" fillId="27" borderId="61" xfId="53" applyFont="1" applyFill="1" applyBorder="1" applyAlignment="1" applyProtection="1">
      <alignment horizontal="center" vertical="center"/>
      <protection locked="0"/>
    </xf>
    <xf numFmtId="0" fontId="0" fillId="0" borderId="12" xfId="0" applyBorder="1" applyAlignment="1">
      <alignment horizontal="center" vertical="center"/>
    </xf>
    <xf numFmtId="44" fontId="0" fillId="27" borderId="10" xfId="53" applyFont="1" applyFill="1" applyBorder="1" applyAlignment="1" applyProtection="1">
      <alignment horizontal="center" vertical="center"/>
      <protection locked="0"/>
    </xf>
    <xf numFmtId="0" fontId="0" fillId="0" borderId="13" xfId="0" applyBorder="1" applyAlignment="1">
      <alignment horizontal="center" vertical="center"/>
    </xf>
    <xf numFmtId="0" fontId="34" fillId="27" borderId="22" xfId="0" applyNumberFormat="1" applyFont="1" applyFill="1" applyBorder="1" applyAlignment="1" applyProtection="1">
      <alignment horizontal="left" vertical="center" wrapText="1"/>
      <protection locked="0"/>
    </xf>
    <xf numFmtId="0" fontId="34" fillId="27" borderId="4" xfId="0" applyNumberFormat="1" applyFont="1" applyFill="1" applyBorder="1" applyAlignment="1" applyProtection="1">
      <alignment horizontal="left" vertical="center" wrapText="1"/>
      <protection locked="0"/>
    </xf>
    <xf numFmtId="0" fontId="0" fillId="25" borderId="0" xfId="0" applyFill="1" applyBorder="1"/>
    <xf numFmtId="0" fontId="2" fillId="2" borderId="19" xfId="0" applyNumberFormat="1" applyFont="1" applyFill="1" applyBorder="1" applyAlignment="1" applyProtection="1">
      <alignment horizontal="left" wrapText="1"/>
    </xf>
    <xf numFmtId="0" fontId="2" fillId="2" borderId="36" xfId="0" applyNumberFormat="1" applyFont="1" applyFill="1" applyBorder="1" applyAlignment="1" applyProtection="1">
      <alignment horizontal="left" wrapText="1"/>
    </xf>
    <xf numFmtId="0" fontId="2" fillId="2" borderId="79" xfId="0" applyNumberFormat="1" applyFont="1" applyFill="1" applyBorder="1" applyAlignment="1" applyProtection="1">
      <alignment horizontal="left" wrapText="1"/>
    </xf>
    <xf numFmtId="0" fontId="13" fillId="0" borderId="0" xfId="54" applyProtection="1">
      <protection locked="0"/>
    </xf>
    <xf numFmtId="0" fontId="76" fillId="0" borderId="1" xfId="54" applyFont="1" applyBorder="1" applyAlignment="1" applyProtection="1">
      <alignment horizontal="center" vertical="center" wrapText="1"/>
    </xf>
    <xf numFmtId="0" fontId="11" fillId="0" borderId="0" xfId="618" applyFont="1" applyFill="1" applyBorder="1" applyAlignment="1" applyProtection="1">
      <alignment horizontal="left" vertical="top" wrapText="1"/>
    </xf>
    <xf numFmtId="0" fontId="76" fillId="40" borderId="35" xfId="618" applyFont="1" applyFill="1" applyBorder="1" applyAlignment="1" applyProtection="1">
      <alignment horizontal="center" vertical="center" wrapText="1"/>
    </xf>
    <xf numFmtId="0" fontId="91" fillId="0" borderId="1" xfId="505" applyFont="1" applyBorder="1" applyAlignment="1" applyProtection="1">
      <alignment horizontal="left" vertical="top" wrapText="1"/>
    </xf>
    <xf numFmtId="0" fontId="92" fillId="0" borderId="1" xfId="505" applyFont="1" applyBorder="1" applyAlignment="1" applyProtection="1">
      <alignment horizontal="left" vertical="top" wrapText="1"/>
    </xf>
    <xf numFmtId="0" fontId="92" fillId="0" borderId="1" xfId="505" applyFont="1" applyFill="1" applyBorder="1" applyAlignment="1" applyProtection="1">
      <alignment horizontal="left" vertical="top" wrapText="1"/>
    </xf>
    <xf numFmtId="0" fontId="97" fillId="56" borderId="1" xfId="54" applyFont="1" applyFill="1" applyBorder="1" applyAlignment="1" applyProtection="1">
      <alignment horizontal="center" vertical="center" wrapText="1"/>
    </xf>
    <xf numFmtId="0" fontId="96" fillId="56" borderId="1" xfId="54" applyFont="1" applyFill="1" applyBorder="1" applyAlignment="1" applyProtection="1">
      <alignment horizontal="center" vertical="center" wrapText="1"/>
    </xf>
    <xf numFmtId="0" fontId="96" fillId="56" borderId="2" xfId="54" applyFont="1" applyFill="1" applyBorder="1" applyAlignment="1" applyProtection="1">
      <alignment horizontal="center" vertical="center" wrapText="1"/>
    </xf>
    <xf numFmtId="0" fontId="96" fillId="56" borderId="16" xfId="54" applyFont="1" applyFill="1" applyBorder="1" applyAlignment="1" applyProtection="1">
      <alignment horizontal="center" vertical="center" wrapText="1"/>
    </xf>
    <xf numFmtId="0" fontId="96" fillId="56" borderId="42" xfId="54" applyFont="1" applyFill="1" applyBorder="1" applyAlignment="1" applyProtection="1">
      <alignment horizontal="center" vertical="center" wrapText="1"/>
    </xf>
    <xf numFmtId="0" fontId="79" fillId="40" borderId="3" xfId="54" applyFont="1" applyFill="1" applyBorder="1" applyAlignment="1" applyProtection="1">
      <alignment horizontal="left" wrapText="1"/>
    </xf>
    <xf numFmtId="0" fontId="90" fillId="50" borderId="2" xfId="54" applyFont="1" applyFill="1" applyBorder="1" applyAlignment="1" applyProtection="1">
      <alignment horizontal="left" vertical="top" wrapText="1"/>
    </xf>
    <xf numFmtId="0" fontId="13" fillId="40" borderId="0" xfId="54" applyFont="1" applyFill="1" applyBorder="1" applyAlignment="1" applyProtection="1">
      <alignment horizontal="left" wrapText="1"/>
    </xf>
    <xf numFmtId="0" fontId="76" fillId="40" borderId="0" xfId="54" applyFont="1" applyFill="1" applyBorder="1" applyAlignment="1" applyProtection="1">
      <alignment wrapText="1"/>
    </xf>
    <xf numFmtId="0" fontId="13" fillId="40" borderId="0" xfId="54" applyFill="1" applyBorder="1" applyAlignment="1" applyProtection="1">
      <alignment wrapText="1"/>
    </xf>
    <xf numFmtId="0" fontId="13" fillId="40" borderId="102" xfId="54" applyFont="1" applyFill="1" applyBorder="1" applyAlignment="1" applyProtection="1">
      <alignment horizontal="left" vertical="top" wrapText="1"/>
      <protection locked="0"/>
    </xf>
    <xf numFmtId="0" fontId="76" fillId="40" borderId="0" xfId="54" applyFont="1" applyFill="1" applyBorder="1" applyAlignment="1" applyProtection="1">
      <alignment horizontal="left" wrapText="1"/>
    </xf>
    <xf numFmtId="0" fontId="13" fillId="49" borderId="102" xfId="54" applyFont="1" applyFill="1" applyBorder="1" applyAlignment="1" applyProtection="1">
      <alignment horizontal="left" vertical="top"/>
      <protection locked="0"/>
    </xf>
    <xf numFmtId="0" fontId="13" fillId="49" borderId="102" xfId="54" applyFill="1" applyBorder="1" applyAlignment="1" applyProtection="1">
      <alignment horizontal="left" vertical="top"/>
      <protection locked="0"/>
    </xf>
    <xf numFmtId="0" fontId="13" fillId="0" borderId="1" xfId="54" applyFont="1" applyBorder="1" applyAlignment="1" applyProtection="1">
      <alignment horizontal="left" vertical="top" wrapText="1"/>
    </xf>
    <xf numFmtId="0" fontId="13" fillId="40" borderId="104" xfId="54" applyFont="1" applyFill="1" applyBorder="1" applyAlignment="1" applyProtection="1">
      <alignment horizontal="left" vertical="top" wrapText="1"/>
      <protection locked="0"/>
    </xf>
    <xf numFmtId="0" fontId="13" fillId="40" borderId="0" xfId="54" applyFont="1" applyFill="1" applyBorder="1" applyAlignment="1" applyProtection="1">
      <alignment horizontal="left" vertical="center" wrapText="1"/>
    </xf>
    <xf numFmtId="0" fontId="13" fillId="40" borderId="0" xfId="54" applyFill="1" applyBorder="1" applyAlignment="1" applyProtection="1">
      <alignment horizontal="center"/>
    </xf>
    <xf numFmtId="14" fontId="13" fillId="49" borderId="1" xfId="54" applyNumberFormat="1" applyFill="1" applyBorder="1" applyAlignment="1" applyProtection="1">
      <alignment horizontal="center"/>
      <protection locked="0"/>
    </xf>
    <xf numFmtId="0" fontId="13" fillId="49" borderId="1" xfId="54" applyFill="1" applyBorder="1" applyAlignment="1" applyProtection="1">
      <alignment horizontal="center"/>
      <protection locked="0"/>
    </xf>
    <xf numFmtId="0" fontId="109" fillId="50" borderId="16" xfId="54" applyFont="1" applyFill="1" applyBorder="1" applyAlignment="1" applyProtection="1">
      <alignment horizontal="left" vertical="top"/>
    </xf>
    <xf numFmtId="0" fontId="109" fillId="50" borderId="1" xfId="54" applyFont="1" applyFill="1" applyBorder="1" applyAlignment="1" applyProtection="1">
      <alignment horizontal="left" vertical="top"/>
    </xf>
    <xf numFmtId="0" fontId="13" fillId="40" borderId="0" xfId="54" applyFill="1" applyBorder="1" applyAlignment="1" applyProtection="1">
      <alignment horizontal="left"/>
    </xf>
    <xf numFmtId="0" fontId="13" fillId="49" borderId="1" xfId="54" applyFill="1" applyBorder="1" applyAlignment="1" applyProtection="1">
      <alignment horizontal="left"/>
      <protection locked="0"/>
    </xf>
    <xf numFmtId="0" fontId="13" fillId="43" borderId="16" xfId="54" applyFont="1" applyFill="1" applyBorder="1" applyAlignment="1" applyProtection="1">
      <alignment horizontal="left" vertical="top" wrapText="1"/>
    </xf>
    <xf numFmtId="0" fontId="76" fillId="40" borderId="101" xfId="54" applyFont="1" applyFill="1" applyBorder="1" applyAlignment="1" applyProtection="1">
      <alignment wrapText="1"/>
    </xf>
    <xf numFmtId="0" fontId="13" fillId="0" borderId="16" xfId="54" applyFont="1" applyBorder="1" applyAlignment="1" applyProtection="1">
      <alignment horizontal="left" vertical="top" wrapText="1"/>
    </xf>
    <xf numFmtId="0" fontId="90" fillId="50" borderId="2" xfId="54" applyFont="1" applyFill="1" applyBorder="1" applyAlignment="1" applyProtection="1">
      <alignment horizontal="center" vertical="center"/>
    </xf>
    <xf numFmtId="0" fontId="13" fillId="59" borderId="102" xfId="54" applyFont="1" applyFill="1" applyBorder="1" applyAlignment="1" applyProtection="1">
      <alignment horizontal="left" vertical="top" wrapText="1"/>
      <protection locked="0"/>
    </xf>
    <xf numFmtId="0" fontId="76" fillId="40" borderId="0" xfId="54" applyFont="1" applyFill="1" applyBorder="1" applyAlignment="1" applyProtection="1">
      <alignment horizontal="left" vertical="top" wrapText="1"/>
    </xf>
    <xf numFmtId="0" fontId="13" fillId="49" borderId="35" xfId="54" applyFont="1" applyFill="1" applyBorder="1" applyAlignment="1" applyProtection="1">
      <alignment horizontal="left" vertical="top" wrapText="1"/>
      <protection locked="0"/>
    </xf>
    <xf numFmtId="0" fontId="76" fillId="40" borderId="93" xfId="54" applyFont="1" applyFill="1" applyBorder="1" applyAlignment="1" applyProtection="1">
      <alignment wrapText="1"/>
    </xf>
    <xf numFmtId="14" fontId="13" fillId="49" borderId="1" xfId="54" applyNumberFormat="1" applyFont="1" applyFill="1" applyBorder="1" applyAlignment="1" applyProtection="1">
      <alignment horizontal="center"/>
      <protection locked="0"/>
    </xf>
    <xf numFmtId="0" fontId="13" fillId="40" borderId="0" xfId="54" applyFont="1" applyFill="1" applyBorder="1" applyAlignment="1" applyProtection="1"/>
    <xf numFmtId="0" fontId="13" fillId="40" borderId="0" xfId="54" applyFill="1" applyAlignment="1" applyProtection="1">
      <alignment horizontal="left" wrapText="1"/>
    </xf>
    <xf numFmtId="0" fontId="13" fillId="59" borderId="102" xfId="54" applyFont="1" applyFill="1" applyBorder="1" applyAlignment="1" applyProtection="1">
      <alignment vertical="top" wrapText="1"/>
      <protection locked="0"/>
    </xf>
    <xf numFmtId="0" fontId="76" fillId="0" borderId="0" xfId="54" applyFont="1" applyBorder="1" applyAlignment="1" applyProtection="1">
      <alignment horizontal="left" wrapText="1"/>
    </xf>
    <xf numFmtId="0" fontId="13" fillId="59" borderId="102" xfId="54" applyFill="1" applyBorder="1" applyAlignment="1" applyProtection="1">
      <alignment horizontal="left" vertical="top" wrapText="1"/>
      <protection locked="0"/>
    </xf>
    <xf numFmtId="0" fontId="13" fillId="0" borderId="1" xfId="54" applyFont="1" applyFill="1" applyBorder="1" applyAlignment="1" applyProtection="1">
      <alignment horizontal="left" vertical="top" wrapText="1"/>
      <protection locked="0"/>
    </xf>
    <xf numFmtId="0" fontId="13" fillId="0" borderId="102" xfId="54" applyFont="1" applyBorder="1" applyAlignment="1" applyProtection="1">
      <alignment horizontal="left" vertical="top" wrapText="1"/>
      <protection locked="0"/>
    </xf>
    <xf numFmtId="0" fontId="13" fillId="49" borderId="105" xfId="54" applyFont="1" applyFill="1" applyBorder="1" applyAlignment="1" applyProtection="1">
      <alignment horizontal="left" vertical="top" wrapText="1"/>
      <protection locked="0"/>
    </xf>
    <xf numFmtId="1" fontId="13" fillId="49" borderId="1" xfId="54" quotePrefix="1" applyNumberFormat="1" applyFill="1" applyBorder="1" applyAlignment="1" applyProtection="1">
      <alignment horizontal="center"/>
      <protection locked="0"/>
    </xf>
    <xf numFmtId="0" fontId="76" fillId="0" borderId="16" xfId="54" applyFont="1" applyBorder="1" applyAlignment="1" applyProtection="1">
      <alignment horizontal="center" vertical="center" wrapText="1"/>
    </xf>
    <xf numFmtId="1" fontId="13" fillId="49" borderId="16" xfId="54" quotePrefix="1" applyNumberFormat="1" applyFill="1" applyBorder="1" applyAlignment="1" applyProtection="1">
      <alignment horizontal="center"/>
      <protection locked="0"/>
    </xf>
    <xf numFmtId="0" fontId="13" fillId="0" borderId="0" xfId="54" applyFont="1" applyBorder="1" applyAlignment="1" applyProtection="1">
      <alignment horizontal="center" wrapText="1"/>
    </xf>
    <xf numFmtId="0" fontId="13" fillId="49" borderId="1" xfId="54" applyFont="1" applyFill="1" applyBorder="1" applyAlignment="1" applyProtection="1">
      <alignment horizontal="left" vertical="top" wrapText="1"/>
      <protection locked="0"/>
    </xf>
    <xf numFmtId="0" fontId="13" fillId="49" borderId="1" xfId="54" applyFill="1" applyBorder="1" applyAlignment="1" applyProtection="1">
      <alignment horizontal="left" vertical="top" wrapText="1"/>
      <protection locked="0"/>
    </xf>
    <xf numFmtId="0" fontId="13" fillId="0" borderId="16" xfId="54" applyFont="1" applyBorder="1" applyAlignment="1" applyProtection="1">
      <alignment horizontal="left" vertical="top" wrapText="1"/>
      <protection locked="0"/>
    </xf>
    <xf numFmtId="0" fontId="13" fillId="0" borderId="1" xfId="54" applyFont="1" applyBorder="1" applyAlignment="1" applyProtection="1">
      <alignment horizontal="left" vertical="top" wrapText="1"/>
      <protection locked="0"/>
    </xf>
    <xf numFmtId="0" fontId="13" fillId="0" borderId="1" xfId="54" applyBorder="1" applyAlignment="1" applyProtection="1">
      <alignment horizontal="left" vertical="top" wrapText="1"/>
      <protection locked="0"/>
    </xf>
    <xf numFmtId="0" fontId="13" fillId="49" borderId="16" xfId="54" applyFont="1" applyFill="1" applyBorder="1" applyAlignment="1" applyProtection="1">
      <alignment horizontal="left" vertical="top" wrapText="1"/>
      <protection locked="0"/>
    </xf>
    <xf numFmtId="0" fontId="13" fillId="49" borderId="42" xfId="54" applyFont="1" applyFill="1" applyBorder="1" applyAlignment="1" applyProtection="1">
      <alignment horizontal="left" vertical="top" wrapText="1"/>
      <protection locked="0"/>
    </xf>
    <xf numFmtId="0" fontId="13" fillId="0" borderId="102" xfId="54" applyBorder="1" applyAlignment="1" applyProtection="1">
      <alignment horizontal="left" vertical="top" wrapText="1"/>
      <protection locked="0"/>
    </xf>
    <xf numFmtId="0" fontId="13" fillId="43" borderId="1" xfId="54" applyFill="1" applyBorder="1" applyAlignment="1" applyProtection="1">
      <alignment horizontal="left" vertical="top" wrapText="1"/>
    </xf>
    <xf numFmtId="0" fontId="13" fillId="49" borderId="1" xfId="54" applyFont="1" applyFill="1" applyBorder="1" applyAlignment="1" applyProtection="1">
      <alignment horizontal="center"/>
      <protection locked="0"/>
    </xf>
    <xf numFmtId="0" fontId="13" fillId="40" borderId="102" xfId="54" applyFill="1" applyBorder="1" applyAlignment="1" applyProtection="1">
      <alignment horizontal="left" vertical="top" wrapText="1"/>
      <protection locked="0"/>
    </xf>
    <xf numFmtId="0" fontId="13" fillId="0" borderId="0" xfId="54" applyAlignment="1" applyProtection="1">
      <alignment horizontal="center" vertical="center" wrapText="1"/>
    </xf>
    <xf numFmtId="0" fontId="13" fillId="49" borderId="102" xfId="54" applyFont="1" applyFill="1" applyBorder="1" applyAlignment="1" applyProtection="1">
      <alignment horizontal="left" vertical="top" wrapText="1"/>
      <protection locked="0"/>
    </xf>
    <xf numFmtId="0" fontId="13" fillId="40" borderId="0" xfId="54" applyFill="1" applyBorder="1" applyAlignment="1" applyProtection="1"/>
    <xf numFmtId="0" fontId="13" fillId="40" borderId="1" xfId="54" applyFont="1" applyFill="1" applyBorder="1" applyAlignment="1" applyProtection="1">
      <alignment horizontal="left" vertical="top" wrapText="1"/>
      <protection locked="0"/>
    </xf>
    <xf numFmtId="0" fontId="76" fillId="40" borderId="0" xfId="54" applyFont="1" applyFill="1" applyBorder="1" applyAlignment="1" applyProtection="1">
      <alignment horizontal="left"/>
    </xf>
    <xf numFmtId="0" fontId="13" fillId="0" borderId="16" xfId="54" applyFont="1" applyBorder="1" applyAlignment="1" applyProtection="1">
      <alignment horizontal="center" vertical="center" wrapText="1"/>
    </xf>
    <xf numFmtId="1" fontId="13" fillId="49" borderId="16" xfId="54" applyNumberFormat="1" applyFont="1" applyFill="1" applyBorder="1" applyAlignment="1" applyProtection="1">
      <alignment horizontal="center" vertical="center"/>
      <protection locked="0"/>
    </xf>
    <xf numFmtId="0" fontId="13" fillId="0" borderId="1" xfId="54" applyFont="1" applyBorder="1" applyAlignment="1" applyProtection="1">
      <alignment horizontal="center" vertical="center" wrapText="1"/>
    </xf>
    <xf numFmtId="0" fontId="109" fillId="50" borderId="2" xfId="54" applyFont="1" applyFill="1" applyBorder="1" applyAlignment="1" applyProtection="1">
      <alignment horizontal="left" vertical="top"/>
    </xf>
    <xf numFmtId="0" fontId="13" fillId="0" borderId="0" xfId="51" applyFont="1" applyBorder="1" applyAlignment="1" applyProtection="1">
      <alignment horizontal="left" vertical="top" wrapText="1"/>
      <protection locked="0"/>
    </xf>
    <xf numFmtId="0" fontId="15" fillId="0" borderId="0" xfId="51" applyFont="1" applyBorder="1" applyAlignment="1" applyProtection="1">
      <alignment horizontal="left" vertical="top"/>
      <protection locked="0"/>
    </xf>
    <xf numFmtId="0" fontId="13" fillId="0" borderId="0" xfId="51" applyFont="1" applyBorder="1" applyAlignment="1" applyProtection="1">
      <alignment horizontal="left" vertical="top" wrapText="1"/>
    </xf>
    <xf numFmtId="0" fontId="13" fillId="0" borderId="0" xfId="51" applyFont="1" applyBorder="1" applyAlignment="1" applyProtection="1">
      <alignment horizontal="left" vertical="center"/>
    </xf>
    <xf numFmtId="165" fontId="72" fillId="0" borderId="0" xfId="505" applyNumberFormat="1" applyFont="1" applyBorder="1" applyAlignment="1" applyProtection="1">
      <alignment vertical="center"/>
    </xf>
    <xf numFmtId="0" fontId="12" fillId="0" borderId="0" xfId="505" applyProtection="1"/>
    <xf numFmtId="0" fontId="12" fillId="0" borderId="0" xfId="505" applyBorder="1" applyProtection="1"/>
    <xf numFmtId="0" fontId="72" fillId="0" borderId="0" xfId="505" applyFont="1" applyBorder="1" applyProtection="1"/>
    <xf numFmtId="165" fontId="72" fillId="0" borderId="0" xfId="505" applyNumberFormat="1" applyFont="1" applyBorder="1" applyAlignment="1" applyProtection="1">
      <alignment vertical="top"/>
    </xf>
    <xf numFmtId="0" fontId="13" fillId="0" borderId="0" xfId="51" applyFont="1" applyBorder="1" applyAlignment="1" applyProtection="1">
      <alignment horizontal="left" vertical="top" indent="1"/>
    </xf>
    <xf numFmtId="0" fontId="76" fillId="0" borderId="0" xfId="51" applyFont="1" applyAlignment="1" applyProtection="1">
      <alignment horizontal="left"/>
    </xf>
    <xf numFmtId="165" fontId="72" fillId="0" borderId="0" xfId="505" applyNumberFormat="1" applyFont="1" applyAlignment="1" applyProtection="1">
      <alignment vertical="top"/>
    </xf>
    <xf numFmtId="0" fontId="76" fillId="0" borderId="0" xfId="51" applyFont="1" applyProtection="1"/>
    <xf numFmtId="0" fontId="13" fillId="40" borderId="0" xfId="51" quotePrefix="1" applyFont="1" applyFill="1" applyBorder="1" applyAlignment="1" applyProtection="1"/>
    <xf numFmtId="0" fontId="13" fillId="48" borderId="1" xfId="54" applyFill="1" applyBorder="1" applyProtection="1"/>
    <xf numFmtId="0" fontId="13" fillId="25" borderId="0" xfId="51" applyFont="1" applyFill="1" applyBorder="1" applyAlignment="1" applyProtection="1"/>
    <xf numFmtId="0" fontId="13" fillId="47" borderId="1" xfId="54" applyFont="1" applyFill="1" applyBorder="1" applyProtection="1"/>
    <xf numFmtId="0" fontId="13" fillId="46" borderId="1" xfId="54" applyFont="1" applyFill="1" applyBorder="1" applyAlignment="1" applyProtection="1">
      <alignment vertical="center"/>
    </xf>
    <xf numFmtId="0" fontId="13" fillId="45" borderId="1" xfId="54" applyFont="1" applyFill="1" applyBorder="1" applyProtection="1"/>
    <xf numFmtId="0" fontId="13" fillId="29" borderId="1" xfId="54" applyFont="1" applyFill="1" applyBorder="1" applyAlignment="1" applyProtection="1">
      <alignment vertical="center"/>
    </xf>
    <xf numFmtId="0" fontId="13" fillId="38" borderId="102" xfId="51" applyFont="1" applyFill="1" applyBorder="1" applyAlignment="1" applyProtection="1"/>
    <xf numFmtId="0" fontId="13" fillId="0" borderId="101" xfId="51" applyFont="1" applyBorder="1" applyAlignment="1" applyProtection="1"/>
    <xf numFmtId="0" fontId="13" fillId="0" borderId="1" xfId="51" applyFont="1" applyBorder="1" applyAlignment="1" applyProtection="1"/>
    <xf numFmtId="0" fontId="13" fillId="40" borderId="0" xfId="51" applyFont="1" applyFill="1" applyAlignment="1" applyProtection="1"/>
    <xf numFmtId="0" fontId="13" fillId="44" borderId="1" xfId="51" applyFont="1" applyFill="1" applyBorder="1" applyAlignment="1" applyProtection="1"/>
    <xf numFmtId="0" fontId="13" fillId="40" borderId="0" xfId="51" quotePrefix="1" applyFont="1" applyFill="1" applyBorder="1" applyAlignment="1" applyProtection="1">
      <protection locked="0"/>
    </xf>
    <xf numFmtId="0" fontId="13" fillId="43" borderId="1" xfId="51" applyFont="1" applyFill="1" applyBorder="1" applyAlignment="1" applyProtection="1"/>
    <xf numFmtId="0" fontId="13" fillId="0" borderId="0" xfId="51" applyFont="1" applyProtection="1"/>
    <xf numFmtId="0" fontId="48" fillId="0" borderId="0" xfId="612" applyAlignment="1" applyProtection="1"/>
    <xf numFmtId="0" fontId="10" fillId="0" borderId="0" xfId="505" applyFont="1" applyProtection="1"/>
    <xf numFmtId="0" fontId="13" fillId="0" borderId="0" xfId="54" applyFont="1" applyProtection="1">
      <protection locked="0"/>
    </xf>
    <xf numFmtId="0" fontId="13" fillId="0" borderId="116" xfId="54" applyFont="1" applyBorder="1" applyProtection="1">
      <protection locked="0"/>
    </xf>
    <xf numFmtId="0" fontId="78" fillId="0" borderId="0" xfId="54" applyFont="1" applyProtection="1">
      <protection locked="0"/>
    </xf>
    <xf numFmtId="0" fontId="13" fillId="0" borderId="0" xfId="54" applyAlignment="1" applyProtection="1">
      <alignment horizontal="center" vertical="center" wrapText="1"/>
      <protection locked="0"/>
    </xf>
    <xf numFmtId="0" fontId="13" fillId="0" borderId="0" xfId="54" applyFill="1" applyProtection="1">
      <protection locked="0"/>
    </xf>
    <xf numFmtId="0" fontId="13" fillId="0" borderId="0" xfId="54" applyFill="1" applyAlignment="1" applyProtection="1">
      <protection locked="0"/>
    </xf>
    <xf numFmtId="0" fontId="13" fillId="47" borderId="1" xfId="54" applyFill="1" applyBorder="1" applyAlignment="1" applyProtection="1">
      <alignment vertical="center"/>
    </xf>
    <xf numFmtId="0" fontId="48" fillId="40" borderId="1" xfId="612" applyFill="1" applyBorder="1" applyAlignment="1" applyProtection="1">
      <alignment vertical="center"/>
    </xf>
    <xf numFmtId="0" fontId="13" fillId="40" borderId="1" xfId="54" applyFont="1" applyFill="1" applyBorder="1" applyAlignment="1" applyProtection="1">
      <alignment horizontal="left" vertical="center" wrapText="1"/>
    </xf>
    <xf numFmtId="0" fontId="48" fillId="49" borderId="1" xfId="612" applyFill="1" applyBorder="1" applyAlignment="1" applyProtection="1">
      <alignment vertical="center"/>
    </xf>
    <xf numFmtId="0" fontId="13" fillId="47" borderId="1" xfId="54" applyFont="1" applyFill="1" applyBorder="1" applyAlignment="1" applyProtection="1">
      <alignment vertical="center"/>
    </xf>
    <xf numFmtId="0" fontId="13" fillId="49" borderId="1" xfId="54" applyFont="1" applyFill="1" applyBorder="1" applyAlignment="1" applyProtection="1">
      <alignment horizontal="left" vertical="center" wrapText="1"/>
    </xf>
    <xf numFmtId="0" fontId="48" fillId="0" borderId="1" xfId="612" applyBorder="1" applyAlignment="1" applyProtection="1">
      <alignment vertical="center"/>
    </xf>
    <xf numFmtId="0" fontId="13" fillId="0" borderId="1" xfId="54" applyFont="1" applyBorder="1" applyAlignment="1" applyProtection="1">
      <alignment horizontal="left" vertical="center" wrapText="1"/>
    </xf>
    <xf numFmtId="0" fontId="13" fillId="49" borderId="1" xfId="54" applyFill="1" applyBorder="1" applyAlignment="1" applyProtection="1">
      <alignment horizontal="left" vertical="center" wrapText="1"/>
    </xf>
    <xf numFmtId="0" fontId="76" fillId="50" borderId="1" xfId="54" applyFont="1" applyFill="1" applyBorder="1" applyAlignment="1" applyProtection="1">
      <alignment horizontal="center" wrapText="1"/>
    </xf>
    <xf numFmtId="0" fontId="80" fillId="50" borderId="1" xfId="54" applyFont="1" applyFill="1" applyBorder="1" applyAlignment="1" applyProtection="1">
      <alignment horizontal="center"/>
    </xf>
    <xf numFmtId="0" fontId="76" fillId="50" borderId="1" xfId="54" applyFont="1" applyFill="1" applyBorder="1" applyAlignment="1" applyProtection="1">
      <alignment horizontal="center"/>
    </xf>
    <xf numFmtId="0" fontId="35" fillId="0" borderId="0" xfId="618" applyFont="1" applyFill="1" applyBorder="1" applyProtection="1">
      <protection locked="0"/>
    </xf>
    <xf numFmtId="166" fontId="82" fillId="0" borderId="0" xfId="618" applyNumberFormat="1" applyFont="1" applyFill="1" applyBorder="1" applyAlignment="1" applyProtection="1">
      <alignment horizontal="center"/>
      <protection locked="0"/>
    </xf>
    <xf numFmtId="0" fontId="82" fillId="0" borderId="0" xfId="618" applyFont="1" applyFill="1" applyBorder="1" applyAlignment="1" applyProtection="1">
      <alignment horizontal="center"/>
      <protection locked="0"/>
    </xf>
    <xf numFmtId="166" fontId="82" fillId="0" borderId="0" xfId="618" applyNumberFormat="1" applyFont="1" applyFill="1" applyBorder="1" applyProtection="1">
      <protection locked="0"/>
    </xf>
    <xf numFmtId="0" fontId="13" fillId="0" borderId="0" xfId="618" applyFont="1" applyFill="1" applyBorder="1" applyAlignment="1" applyProtection="1">
      <alignment wrapText="1"/>
      <protection locked="0"/>
    </xf>
    <xf numFmtId="0" fontId="13" fillId="43" borderId="102" xfId="612" applyNumberFormat="1" applyFont="1" applyFill="1" applyBorder="1" applyAlignment="1" applyProtection="1">
      <alignment horizontal="left" vertical="top" wrapText="1"/>
      <protection locked="0"/>
    </xf>
    <xf numFmtId="0" fontId="13" fillId="0" borderId="0" xfId="54" applyFill="1" applyBorder="1" applyAlignment="1" applyProtection="1">
      <protection locked="0"/>
    </xf>
    <xf numFmtId="0" fontId="13" fillId="40" borderId="0" xfId="54" applyFill="1" applyBorder="1" applyAlignment="1" applyProtection="1">
      <protection locked="0"/>
    </xf>
    <xf numFmtId="0" fontId="13" fillId="0" borderId="0" xfId="618" applyFont="1" applyFill="1" applyBorder="1" applyProtection="1">
      <protection locked="0"/>
    </xf>
    <xf numFmtId="0" fontId="82" fillId="40" borderId="92" xfId="618" applyFont="1" applyFill="1" applyBorder="1" applyAlignment="1" applyProtection="1">
      <alignment horizontal="left" vertical="top" wrapText="1"/>
    </xf>
    <xf numFmtId="0" fontId="82" fillId="49" borderId="92" xfId="618" applyFont="1" applyFill="1" applyBorder="1" applyAlignment="1" applyProtection="1">
      <alignment horizontal="left" vertical="top" wrapText="1"/>
    </xf>
    <xf numFmtId="0" fontId="85" fillId="0" borderId="0" xfId="618" applyFont="1" applyFill="1" applyBorder="1" applyProtection="1">
      <protection locked="0"/>
    </xf>
    <xf numFmtId="0" fontId="35" fillId="40" borderId="0" xfId="618" applyFont="1" applyFill="1" applyBorder="1" applyProtection="1">
      <protection locked="0"/>
    </xf>
    <xf numFmtId="0" fontId="79" fillId="40" borderId="0" xfId="618" applyFont="1" applyFill="1" applyBorder="1" applyAlignment="1" applyProtection="1">
      <alignment horizontal="center" vertical="center"/>
      <protection locked="0"/>
    </xf>
    <xf numFmtId="0" fontId="82" fillId="0" borderId="0" xfId="618" applyFont="1" applyFill="1" applyBorder="1" applyAlignment="1" applyProtection="1">
      <alignment wrapText="1"/>
      <protection locked="0"/>
    </xf>
    <xf numFmtId="0" fontId="12" fillId="40" borderId="92" xfId="505" applyFill="1" applyBorder="1" applyProtection="1"/>
    <xf numFmtId="0" fontId="125" fillId="40" borderId="0" xfId="505" applyFont="1" applyFill="1" applyProtection="1"/>
    <xf numFmtId="0" fontId="92" fillId="40" borderId="0" xfId="505" applyFont="1" applyFill="1" applyProtection="1"/>
    <xf numFmtId="0" fontId="92" fillId="0" borderId="3" xfId="505" applyFont="1" applyBorder="1" applyAlignment="1" applyProtection="1">
      <alignment vertical="top" wrapText="1"/>
    </xf>
    <xf numFmtId="0" fontId="89" fillId="50" borderId="92" xfId="505" applyFont="1" applyFill="1" applyBorder="1" applyAlignment="1" applyProtection="1">
      <alignment wrapText="1"/>
    </xf>
    <xf numFmtId="0" fontId="89" fillId="50" borderId="27" xfId="505" applyFont="1" applyFill="1" applyBorder="1" applyAlignment="1" applyProtection="1">
      <alignment wrapText="1"/>
    </xf>
    <xf numFmtId="0" fontId="89" fillId="50" borderId="93" xfId="505" applyFont="1" applyFill="1" applyBorder="1" applyAlignment="1" applyProtection="1"/>
    <xf numFmtId="0" fontId="89" fillId="50" borderId="93" xfId="505" applyFont="1" applyFill="1" applyBorder="1" applyAlignment="1" applyProtection="1">
      <alignment wrapText="1"/>
    </xf>
    <xf numFmtId="0" fontId="90" fillId="50" borderId="27" xfId="505" applyFont="1" applyFill="1" applyBorder="1" applyAlignment="1" applyProtection="1">
      <alignment horizontal="left"/>
    </xf>
    <xf numFmtId="0" fontId="89" fillId="50" borderId="41" xfId="505" applyFont="1" applyFill="1" applyBorder="1" applyAlignment="1" applyProtection="1">
      <alignment wrapText="1"/>
    </xf>
    <xf numFmtId="0" fontId="89" fillId="50" borderId="86" xfId="505" applyFont="1" applyFill="1" applyBorder="1" applyAlignment="1" applyProtection="1">
      <alignment wrapText="1"/>
    </xf>
    <xf numFmtId="0" fontId="89" fillId="50" borderId="0" xfId="505" applyFont="1" applyFill="1" applyBorder="1" applyAlignment="1" applyProtection="1">
      <alignment wrapText="1"/>
    </xf>
    <xf numFmtId="0" fontId="90" fillId="50" borderId="86" xfId="505" applyFont="1" applyFill="1" applyBorder="1" applyAlignment="1" applyProtection="1">
      <alignment horizontal="left" vertical="center"/>
    </xf>
    <xf numFmtId="0" fontId="89" fillId="50" borderId="40" xfId="505" applyFont="1" applyFill="1" applyBorder="1" applyAlignment="1" applyProtection="1">
      <alignment wrapText="1"/>
    </xf>
    <xf numFmtId="0" fontId="89" fillId="50" borderId="28" xfId="505" applyFont="1" applyFill="1" applyBorder="1" applyAlignment="1" applyProtection="1">
      <alignment wrapText="1"/>
    </xf>
    <xf numFmtId="0" fontId="89" fillId="50" borderId="84" xfId="505" applyFont="1" applyFill="1" applyBorder="1" applyAlignment="1" applyProtection="1">
      <alignment wrapText="1"/>
    </xf>
    <xf numFmtId="0" fontId="11" fillId="0" borderId="0" xfId="618" applyFont="1" applyFill="1" applyBorder="1" applyAlignment="1" applyProtection="1">
      <alignment vertical="top"/>
    </xf>
    <xf numFmtId="0" fontId="11" fillId="0" borderId="0" xfId="618" applyFont="1" applyFill="1" applyBorder="1" applyAlignment="1" applyProtection="1">
      <alignment horizontal="left" vertical="top"/>
    </xf>
    <xf numFmtId="0" fontId="74" fillId="0" borderId="0" xfId="618" applyFont="1" applyFill="1" applyBorder="1" applyProtection="1"/>
    <xf numFmtId="0" fontId="96" fillId="0" borderId="0" xfId="54" applyFont="1" applyFill="1" applyBorder="1" applyAlignment="1" applyProtection="1">
      <alignment horizontal="center" vertical="center" wrapText="1"/>
      <protection locked="0"/>
    </xf>
    <xf numFmtId="0" fontId="102" fillId="0" borderId="0" xfId="54" applyFont="1" applyFill="1" applyBorder="1" applyAlignment="1" applyProtection="1">
      <alignment horizontal="center" vertical="center" wrapText="1"/>
      <protection locked="0"/>
    </xf>
    <xf numFmtId="0" fontId="96" fillId="56" borderId="92" xfId="54" applyFont="1" applyFill="1" applyBorder="1" applyAlignment="1" applyProtection="1">
      <alignment horizontal="center" vertical="center" wrapText="1"/>
    </xf>
    <xf numFmtId="0" fontId="97" fillId="0" borderId="1" xfId="54" applyFont="1" applyBorder="1" applyAlignment="1" applyProtection="1">
      <alignment horizontal="center" vertical="center" wrapText="1"/>
    </xf>
    <xf numFmtId="0" fontId="96" fillId="0" borderId="1" xfId="54" applyFont="1" applyBorder="1" applyAlignment="1" applyProtection="1">
      <alignment horizontal="center" wrapText="1"/>
    </xf>
    <xf numFmtId="0" fontId="96" fillId="0" borderId="1" xfId="54" applyFont="1" applyBorder="1" applyAlignment="1" applyProtection="1">
      <alignment horizontal="center" vertical="center" wrapText="1"/>
    </xf>
    <xf numFmtId="0" fontId="11" fillId="0" borderId="3" xfId="54" applyFont="1" applyFill="1" applyBorder="1" applyAlignment="1" applyProtection="1">
      <alignment horizontal="center" vertical="center" wrapText="1"/>
    </xf>
    <xf numFmtId="0" fontId="98" fillId="0" borderId="0" xfId="54" applyFont="1" applyAlignment="1" applyProtection="1">
      <alignment vertical="center"/>
      <protection locked="0"/>
    </xf>
    <xf numFmtId="0" fontId="96" fillId="40" borderId="1" xfId="54" applyFont="1" applyFill="1" applyBorder="1" applyAlignment="1" applyProtection="1">
      <alignment horizontal="center" vertical="center" wrapText="1"/>
    </xf>
    <xf numFmtId="0" fontId="96" fillId="55" borderId="42" xfId="54" applyFont="1" applyFill="1" applyBorder="1" applyAlignment="1" applyProtection="1">
      <alignment vertical="center" wrapText="1"/>
    </xf>
    <xf numFmtId="0" fontId="88" fillId="40" borderId="0" xfId="54" applyFont="1" applyFill="1" applyBorder="1" applyProtection="1">
      <protection locked="0"/>
    </xf>
    <xf numFmtId="0" fontId="88" fillId="0" borderId="0" xfId="54" applyFont="1" applyFill="1" applyBorder="1" applyProtection="1">
      <protection locked="0"/>
    </xf>
    <xf numFmtId="0" fontId="88" fillId="41" borderId="0" xfId="54" applyFont="1" applyFill="1" applyProtection="1">
      <protection locked="0"/>
    </xf>
    <xf numFmtId="0" fontId="88" fillId="0" borderId="0" xfId="54" applyFont="1" applyAlignment="1" applyProtection="1">
      <alignment vertical="top" wrapText="1"/>
      <protection locked="0"/>
    </xf>
    <xf numFmtId="0" fontId="88" fillId="0" borderId="0" xfId="54" applyFont="1" applyAlignment="1" applyProtection="1">
      <alignment vertical="top"/>
      <protection locked="0"/>
    </xf>
    <xf numFmtId="0" fontId="88" fillId="0" borderId="0" xfId="54" applyFont="1" applyFill="1" applyAlignment="1" applyProtection="1">
      <alignment vertical="top" wrapText="1"/>
      <protection locked="0"/>
    </xf>
    <xf numFmtId="0" fontId="88" fillId="0" borderId="0" xfId="54" applyFont="1" applyFill="1" applyAlignment="1" applyProtection="1">
      <alignment vertical="top"/>
      <protection locked="0"/>
    </xf>
    <xf numFmtId="0" fontId="88" fillId="43" borderId="0" xfId="54" applyFont="1" applyFill="1" applyAlignment="1" applyProtection="1">
      <alignment vertical="top" wrapText="1"/>
      <protection locked="0"/>
    </xf>
    <xf numFmtId="49" fontId="88" fillId="43" borderId="0" xfId="54" applyNumberFormat="1" applyFont="1" applyFill="1" applyAlignment="1" applyProtection="1">
      <alignment horizontal="right" vertical="top"/>
      <protection locked="0"/>
    </xf>
    <xf numFmtId="0" fontId="88" fillId="0" borderId="0" xfId="54" applyFont="1" applyAlignment="1" applyProtection="1">
      <alignment wrapText="1"/>
      <protection locked="0"/>
    </xf>
    <xf numFmtId="0" fontId="88" fillId="0" borderId="0" xfId="54" applyFont="1" applyBorder="1" applyAlignment="1" applyProtection="1">
      <alignment horizontal="center" vertical="top" wrapText="1"/>
      <protection locked="0"/>
    </xf>
    <xf numFmtId="0" fontId="88" fillId="40" borderId="0" xfId="54" applyFont="1" applyFill="1" applyProtection="1">
      <protection locked="0"/>
    </xf>
    <xf numFmtId="49" fontId="88" fillId="40" borderId="0" xfId="54" applyNumberFormat="1" applyFont="1" applyFill="1" applyAlignment="1" applyProtection="1">
      <alignment horizontal="right" vertical="top"/>
      <protection locked="0"/>
    </xf>
    <xf numFmtId="0" fontId="88" fillId="40" borderId="0" xfId="54" applyFont="1" applyFill="1" applyAlignment="1" applyProtection="1">
      <alignment wrapText="1"/>
      <protection locked="0"/>
    </xf>
    <xf numFmtId="49" fontId="88" fillId="40" borderId="0" xfId="54" applyNumberFormat="1" applyFont="1" applyFill="1" applyBorder="1" applyAlignment="1" applyProtection="1">
      <alignment horizontal="right" vertical="top"/>
      <protection locked="0"/>
    </xf>
    <xf numFmtId="0" fontId="88" fillId="40" borderId="0" xfId="54" applyFont="1" applyFill="1" applyBorder="1" applyAlignment="1" applyProtection="1">
      <alignment horizontal="center" vertical="top" wrapText="1"/>
      <protection locked="0"/>
    </xf>
    <xf numFmtId="0" fontId="88" fillId="40" borderId="0" xfId="54" applyFont="1" applyFill="1" applyBorder="1" applyAlignment="1" applyProtection="1">
      <protection locked="0"/>
    </xf>
    <xf numFmtId="0" fontId="88" fillId="0" borderId="0" xfId="54" applyFont="1" applyFill="1" applyBorder="1" applyAlignment="1" applyProtection="1">
      <protection locked="0"/>
    </xf>
    <xf numFmtId="0" fontId="79" fillId="57" borderId="42" xfId="54" applyFont="1" applyFill="1" applyBorder="1" applyAlignment="1" applyProtection="1">
      <alignment vertical="center" wrapText="1"/>
    </xf>
    <xf numFmtId="0" fontId="88" fillId="25" borderId="1" xfId="618" applyFont="1" applyFill="1" applyBorder="1" applyAlignment="1" applyProtection="1">
      <alignment horizontal="left" vertical="top" wrapText="1"/>
    </xf>
    <xf numFmtId="0" fontId="107" fillId="40" borderId="0" xfId="618" applyFont="1" applyFill="1" applyBorder="1" applyAlignment="1" applyProtection="1">
      <alignment vertical="top"/>
      <protection locked="0"/>
    </xf>
    <xf numFmtId="0" fontId="107" fillId="0" borderId="0" xfId="618" applyFont="1" applyFill="1" applyBorder="1" applyAlignment="1" applyProtection="1">
      <alignment vertical="top"/>
      <protection locked="0"/>
    </xf>
    <xf numFmtId="0" fontId="79" fillId="43" borderId="3" xfId="54" applyFont="1" applyFill="1" applyBorder="1" applyAlignment="1" applyProtection="1">
      <alignment horizontal="left" wrapText="1"/>
      <protection locked="0"/>
    </xf>
    <xf numFmtId="0" fontId="105" fillId="40" borderId="0" xfId="54" applyFont="1" applyFill="1" applyBorder="1" applyAlignment="1" applyProtection="1">
      <alignment horizontal="left"/>
      <protection locked="0"/>
    </xf>
    <xf numFmtId="0" fontId="105" fillId="0" borderId="0" xfId="54" applyFont="1" applyFill="1" applyBorder="1" applyAlignment="1" applyProtection="1">
      <alignment horizontal="left"/>
      <protection locked="0"/>
    </xf>
    <xf numFmtId="0" fontId="88" fillId="40" borderId="93" xfId="54" applyFont="1" applyFill="1" applyBorder="1" applyAlignment="1" applyProtection="1">
      <alignment wrapText="1"/>
      <protection locked="0"/>
    </xf>
    <xf numFmtId="0" fontId="88" fillId="0" borderId="0" xfId="54" applyFont="1" applyFill="1" applyBorder="1" applyAlignment="1" applyProtection="1">
      <alignment vertical="top" wrapText="1"/>
      <protection locked="0"/>
    </xf>
    <xf numFmtId="0" fontId="88" fillId="0" borderId="0" xfId="54" applyFont="1" applyFill="1" applyBorder="1" applyAlignment="1" applyProtection="1">
      <alignment horizontal="center" vertical="center" wrapText="1"/>
      <protection locked="0"/>
    </xf>
    <xf numFmtId="0" fontId="88" fillId="40" borderId="0" xfId="54" applyFont="1" applyFill="1" applyBorder="1" applyAlignment="1" applyProtection="1">
      <alignment vertical="top" wrapText="1"/>
      <protection locked="0"/>
    </xf>
    <xf numFmtId="0" fontId="88" fillId="40" borderId="0" xfId="54" applyFont="1" applyFill="1" applyBorder="1" applyAlignment="1" applyProtection="1">
      <alignment horizontal="center" vertical="center" wrapText="1"/>
      <protection locked="0"/>
    </xf>
    <xf numFmtId="0" fontId="79" fillId="40" borderId="0" xfId="54" applyFont="1" applyFill="1" applyBorder="1" applyAlignment="1" applyProtection="1">
      <alignment vertical="top"/>
      <protection locked="0"/>
    </xf>
    <xf numFmtId="0" fontId="79" fillId="40" borderId="0" xfId="54" applyFont="1" applyFill="1" applyBorder="1" applyAlignment="1" applyProtection="1">
      <alignment horizontal="center" vertical="top"/>
      <protection locked="0"/>
    </xf>
    <xf numFmtId="0" fontId="35" fillId="40" borderId="0" xfId="618" applyFont="1" applyFill="1" applyBorder="1" applyAlignment="1" applyProtection="1">
      <alignment vertical="center"/>
    </xf>
    <xf numFmtId="0" fontId="103" fillId="0" borderId="0" xfId="618" applyFont="1" applyFill="1" applyBorder="1" applyAlignment="1" applyProtection="1">
      <alignment vertical="top" wrapText="1"/>
    </xf>
    <xf numFmtId="0" fontId="103" fillId="0" borderId="0" xfId="618" applyFont="1" applyFill="1" applyBorder="1" applyAlignment="1" applyProtection="1">
      <alignment vertical="top"/>
    </xf>
    <xf numFmtId="0" fontId="88" fillId="40" borderId="0" xfId="54" applyFont="1" applyFill="1" applyBorder="1" applyAlignment="1" applyProtection="1">
      <alignment horizontal="center"/>
      <protection locked="0"/>
    </xf>
    <xf numFmtId="0" fontId="110" fillId="0" borderId="0" xfId="54" applyFont="1" applyProtection="1">
      <protection locked="0"/>
    </xf>
    <xf numFmtId="0" fontId="13" fillId="0" borderId="0" xfId="54" applyFont="1" applyFill="1" applyProtection="1">
      <protection locked="0"/>
    </xf>
    <xf numFmtId="0" fontId="13" fillId="0" borderId="0" xfId="54" applyAlignment="1" applyProtection="1">
      <alignment wrapText="1"/>
      <protection locked="0"/>
    </xf>
    <xf numFmtId="0" fontId="13" fillId="0" borderId="0" xfId="54" applyFill="1" applyAlignment="1" applyProtection="1">
      <alignment wrapText="1"/>
      <protection locked="0"/>
    </xf>
    <xf numFmtId="0" fontId="13" fillId="0" borderId="0" xfId="54" applyBorder="1" applyProtection="1">
      <protection locked="0"/>
    </xf>
    <xf numFmtId="0" fontId="13" fillId="40" borderId="0" xfId="54" applyFill="1" applyBorder="1" applyProtection="1">
      <protection locked="0"/>
    </xf>
    <xf numFmtId="0" fontId="13" fillId="40" borderId="0" xfId="54" applyFill="1" applyBorder="1" applyAlignment="1" applyProtection="1">
      <alignment horizontal="center"/>
      <protection locked="0"/>
    </xf>
    <xf numFmtId="0" fontId="13" fillId="40" borderId="0" xfId="54" applyFill="1" applyBorder="1" applyAlignment="1" applyProtection="1">
      <alignment horizontal="left" vertical="top"/>
      <protection locked="0"/>
    </xf>
    <xf numFmtId="0" fontId="13" fillId="58" borderId="0" xfId="54" applyFill="1" applyAlignment="1" applyProtection="1">
      <alignment vertical="center"/>
      <protection locked="0"/>
    </xf>
    <xf numFmtId="0" fontId="13" fillId="0" borderId="0" xfId="54" applyFill="1" applyAlignment="1" applyProtection="1">
      <alignment vertical="center"/>
      <protection locked="0"/>
    </xf>
    <xf numFmtId="0" fontId="48" fillId="0" borderId="0" xfId="612" applyFill="1" applyAlignment="1" applyProtection="1">
      <protection locked="0"/>
    </xf>
    <xf numFmtId="0" fontId="13" fillId="0" borderId="0" xfId="54" applyFont="1" applyAlignment="1" applyProtection="1">
      <alignment wrapText="1"/>
      <protection locked="0"/>
    </xf>
    <xf numFmtId="0" fontId="87" fillId="0" borderId="0" xfId="54" applyFont="1" applyAlignment="1" applyProtection="1">
      <alignment wrapText="1"/>
      <protection locked="0"/>
    </xf>
    <xf numFmtId="0" fontId="13" fillId="26" borderId="0" xfId="54" applyFont="1" applyFill="1" applyAlignment="1" applyProtection="1">
      <alignment wrapText="1"/>
      <protection locked="0"/>
    </xf>
    <xf numFmtId="0" fontId="112" fillId="26" borderId="0" xfId="54" applyFont="1" applyFill="1" applyProtection="1">
      <protection locked="0"/>
    </xf>
    <xf numFmtId="0" fontId="13" fillId="60" borderId="0" xfId="54" applyFill="1" applyAlignment="1" applyProtection="1">
      <alignment vertical="center"/>
      <protection locked="0"/>
    </xf>
    <xf numFmtId="0" fontId="13" fillId="40" borderId="0" xfId="54" applyFill="1" applyAlignment="1" applyProtection="1">
      <alignment vertical="center"/>
      <protection locked="0"/>
    </xf>
    <xf numFmtId="0" fontId="76" fillId="0" borderId="0" xfId="54" applyFont="1" applyAlignment="1" applyProtection="1">
      <alignment wrapText="1"/>
      <protection locked="0"/>
    </xf>
    <xf numFmtId="0" fontId="15" fillId="0" borderId="0" xfId="54" applyFont="1" applyAlignment="1" applyProtection="1">
      <alignment wrapText="1"/>
      <protection locked="0"/>
    </xf>
    <xf numFmtId="0" fontId="111" fillId="40" borderId="0" xfId="54" applyFont="1" applyFill="1" applyProtection="1">
      <protection locked="0"/>
    </xf>
    <xf numFmtId="0" fontId="13" fillId="40" borderId="0" xfId="54" applyFill="1" applyBorder="1" applyAlignment="1" applyProtection="1">
      <alignment horizontal="left" vertical="center" wrapText="1"/>
      <protection locked="0"/>
    </xf>
    <xf numFmtId="0" fontId="13" fillId="40" borderId="0" xfId="54" applyFill="1" applyBorder="1" applyAlignment="1" applyProtection="1">
      <alignment horizontal="center" vertical="center"/>
      <protection locked="0"/>
    </xf>
    <xf numFmtId="0" fontId="77" fillId="40" borderId="0" xfId="54" applyFont="1" applyFill="1" applyBorder="1" applyAlignment="1" applyProtection="1">
      <alignment vertical="center" wrapText="1"/>
      <protection locked="0"/>
    </xf>
    <xf numFmtId="0" fontId="13" fillId="40" borderId="0" xfId="54" applyFill="1" applyBorder="1" applyAlignment="1" applyProtection="1">
      <alignment horizontal="left" vertical="center" indent="1"/>
      <protection locked="0"/>
    </xf>
    <xf numFmtId="0" fontId="13" fillId="40" borderId="0" xfId="54" applyFill="1" applyBorder="1" applyAlignment="1" applyProtection="1">
      <alignment horizontal="left" vertical="center" wrapText="1" indent="1"/>
      <protection locked="0"/>
    </xf>
    <xf numFmtId="2" fontId="13" fillId="59" borderId="1" xfId="54" applyNumberFormat="1" applyFont="1" applyFill="1" applyBorder="1" applyAlignment="1" applyProtection="1">
      <alignment horizontal="left" vertical="top"/>
      <protection locked="0"/>
    </xf>
    <xf numFmtId="0" fontId="111" fillId="0" borderId="0" xfId="54" applyFont="1" applyProtection="1">
      <protection locked="0"/>
    </xf>
    <xf numFmtId="0" fontId="13" fillId="0" borderId="0" xfId="54" applyAlignment="1" applyProtection="1">
      <alignment vertical="center" wrapText="1"/>
      <protection locked="0"/>
    </xf>
    <xf numFmtId="0" fontId="13" fillId="0" borderId="0" xfId="54" applyFill="1" applyBorder="1" applyProtection="1">
      <protection locked="0"/>
    </xf>
    <xf numFmtId="0" fontId="13" fillId="0" borderId="0" xfId="54" applyFont="1" applyFill="1" applyAlignment="1" applyProtection="1">
      <alignment wrapText="1"/>
      <protection locked="0"/>
    </xf>
    <xf numFmtId="0" fontId="13" fillId="40" borderId="0" xfId="54" applyFill="1" applyBorder="1" applyAlignment="1" applyProtection="1">
      <alignment horizontal="left" vertical="top" wrapText="1"/>
      <protection locked="0"/>
    </xf>
    <xf numFmtId="0" fontId="77" fillId="40" borderId="0" xfId="54" applyFont="1" applyFill="1" applyBorder="1" applyAlignment="1" applyProtection="1">
      <alignment horizontal="left" vertical="top" wrapText="1"/>
      <protection locked="0"/>
    </xf>
    <xf numFmtId="0" fontId="111" fillId="0" borderId="0" xfId="54" applyFont="1" applyFill="1" applyBorder="1" applyProtection="1">
      <protection locked="0"/>
    </xf>
    <xf numFmtId="0" fontId="113" fillId="0" borderId="0" xfId="54" applyFont="1" applyBorder="1" applyProtection="1">
      <protection locked="0"/>
    </xf>
    <xf numFmtId="0" fontId="77" fillId="0" borderId="0" xfId="54" applyFont="1" applyBorder="1" applyAlignment="1" applyProtection="1">
      <alignment horizontal="left" vertical="top"/>
      <protection locked="0"/>
    </xf>
    <xf numFmtId="0" fontId="13" fillId="0" borderId="0" xfId="54" applyBorder="1" applyAlignment="1" applyProtection="1">
      <alignment horizontal="left" vertical="top"/>
      <protection locked="0"/>
    </xf>
    <xf numFmtId="0" fontId="13" fillId="0" borderId="93" xfId="54" applyBorder="1" applyAlignment="1" applyProtection="1">
      <alignment wrapText="1"/>
      <protection locked="0"/>
    </xf>
    <xf numFmtId="0" fontId="13" fillId="0" borderId="0" xfId="54" applyAlignment="1" applyProtection="1">
      <alignment horizontal="left" vertical="top"/>
      <protection locked="0"/>
    </xf>
    <xf numFmtId="0" fontId="13" fillId="0" borderId="0" xfId="54" applyFill="1" applyBorder="1" applyAlignment="1" applyProtection="1">
      <alignment horizontal="left" vertical="top"/>
      <protection locked="0"/>
    </xf>
    <xf numFmtId="0" fontId="13" fillId="40" borderId="92" xfId="54" applyFill="1" applyBorder="1" applyAlignment="1" applyProtection="1">
      <alignment horizontal="left" vertical="top" wrapText="1"/>
    </xf>
    <xf numFmtId="0" fontId="13" fillId="0" borderId="0" xfId="54" applyBorder="1" applyAlignment="1" applyProtection="1">
      <alignment wrapText="1"/>
      <protection locked="0"/>
    </xf>
    <xf numFmtId="0" fontId="13" fillId="0" borderId="0" xfId="54" applyFill="1" applyAlignment="1" applyProtection="1">
      <alignment horizontal="left" vertical="top"/>
      <protection locked="0"/>
    </xf>
    <xf numFmtId="0" fontId="13" fillId="0" borderId="0" xfId="54" applyBorder="1" applyAlignment="1" applyProtection="1">
      <alignment vertical="top" wrapText="1"/>
      <protection locked="0"/>
    </xf>
    <xf numFmtId="0" fontId="76" fillId="0" borderId="36" xfId="54" applyFont="1" applyBorder="1" applyAlignment="1" applyProtection="1">
      <alignment vertical="top" wrapText="1"/>
    </xf>
    <xf numFmtId="0" fontId="13" fillId="0" borderId="84" xfId="54" applyBorder="1" applyAlignment="1" applyProtection="1">
      <alignment vertical="top" wrapText="1"/>
      <protection locked="0"/>
    </xf>
    <xf numFmtId="0" fontId="13" fillId="25" borderId="41" xfId="54" applyFont="1" applyFill="1" applyBorder="1" applyAlignment="1" applyProtection="1">
      <alignment horizontal="left" vertical="top" wrapText="1"/>
      <protection locked="0"/>
    </xf>
    <xf numFmtId="0" fontId="13" fillId="25" borderId="0" xfId="54" applyFont="1" applyFill="1" applyBorder="1" applyAlignment="1" applyProtection="1">
      <alignment horizontal="left" vertical="top" wrapText="1"/>
      <protection locked="0"/>
    </xf>
    <xf numFmtId="0" fontId="13" fillId="25" borderId="0" xfId="54" applyFont="1" applyFill="1" applyBorder="1" applyAlignment="1" applyProtection="1">
      <alignment vertical="top" wrapText="1"/>
      <protection locked="0"/>
    </xf>
    <xf numFmtId="0" fontId="13" fillId="25" borderId="0" xfId="54" applyFill="1" applyBorder="1" applyAlignment="1" applyProtection="1">
      <alignment horizontal="left" vertical="top" wrapText="1"/>
      <protection locked="0"/>
    </xf>
    <xf numFmtId="0" fontId="76" fillId="40" borderId="86" xfId="54" applyFont="1" applyFill="1" applyBorder="1" applyAlignment="1" applyProtection="1">
      <alignment horizontal="left" vertical="top"/>
      <protection locked="0"/>
    </xf>
    <xf numFmtId="0" fontId="13" fillId="0" borderId="0" xfId="54" applyFill="1" applyAlignment="1" applyProtection="1">
      <alignment horizontal="left" vertical="top" wrapText="1"/>
      <protection locked="0"/>
    </xf>
    <xf numFmtId="0" fontId="77" fillId="0" borderId="0" xfId="54" applyFont="1" applyBorder="1" applyProtection="1">
      <protection locked="0"/>
    </xf>
    <xf numFmtId="0" fontId="77" fillId="40" borderId="0" xfId="54" applyFont="1" applyFill="1" applyBorder="1" applyAlignment="1" applyProtection="1">
      <alignment horizontal="left" vertical="center" wrapText="1"/>
      <protection locked="0"/>
    </xf>
    <xf numFmtId="0" fontId="13" fillId="40" borderId="0" xfId="54" applyFill="1" applyBorder="1" applyAlignment="1" applyProtection="1">
      <alignment vertical="center" wrapText="1"/>
      <protection locked="0"/>
    </xf>
    <xf numFmtId="0" fontId="13" fillId="0" borderId="0" xfId="54" applyAlignment="1" applyProtection="1">
      <alignment horizontal="left" indent="1"/>
      <protection locked="0"/>
    </xf>
    <xf numFmtId="0" fontId="13" fillId="0" borderId="0" xfId="54" applyBorder="1" applyAlignment="1" applyProtection="1">
      <alignment horizontal="left" indent="1"/>
      <protection locked="0"/>
    </xf>
    <xf numFmtId="0" fontId="13" fillId="0" borderId="0" xfId="54" applyFill="1" applyBorder="1" applyAlignment="1" applyProtection="1">
      <alignment horizontal="left" indent="1"/>
      <protection locked="0"/>
    </xf>
    <xf numFmtId="0" fontId="13" fillId="40" borderId="0" xfId="54" applyFill="1" applyBorder="1" applyAlignment="1" applyProtection="1">
      <alignment horizontal="left" indent="1"/>
    </xf>
    <xf numFmtId="0" fontId="13" fillId="0" borderId="0" xfId="54" applyFill="1" applyAlignment="1" applyProtection="1">
      <alignment horizontal="left" indent="1"/>
      <protection locked="0"/>
    </xf>
    <xf numFmtId="0" fontId="13" fillId="25" borderId="0" xfId="54" applyFill="1" applyProtection="1">
      <protection locked="0"/>
    </xf>
    <xf numFmtId="0" fontId="13" fillId="25" borderId="0" xfId="54" applyFill="1" applyAlignment="1" applyProtection="1">
      <alignment wrapText="1"/>
      <protection locked="0"/>
    </xf>
    <xf numFmtId="0" fontId="13" fillId="25" borderId="79" xfId="54" applyFont="1" applyFill="1" applyBorder="1" applyAlignment="1" applyProtection="1">
      <alignment horizontal="left" vertical="top" wrapText="1"/>
      <protection locked="0"/>
    </xf>
    <xf numFmtId="0" fontId="13" fillId="25" borderId="45" xfId="54" applyFont="1" applyFill="1" applyBorder="1" applyAlignment="1" applyProtection="1">
      <alignment horizontal="left" vertical="top" wrapText="1"/>
      <protection locked="0"/>
    </xf>
    <xf numFmtId="0" fontId="13" fillId="25" borderId="45" xfId="54" applyFont="1" applyFill="1" applyBorder="1" applyAlignment="1" applyProtection="1">
      <alignment vertical="top" wrapText="1"/>
      <protection locked="0"/>
    </xf>
    <xf numFmtId="0" fontId="13" fillId="25" borderId="45" xfId="54" applyFill="1" applyBorder="1" applyAlignment="1" applyProtection="1">
      <alignment horizontal="left" vertical="top" wrapText="1"/>
    </xf>
    <xf numFmtId="0" fontId="13" fillId="25" borderId="44" xfId="54" applyFont="1" applyFill="1" applyBorder="1" applyAlignment="1" applyProtection="1">
      <alignment vertical="top" wrapText="1"/>
    </xf>
    <xf numFmtId="0" fontId="13" fillId="40" borderId="34" xfId="54" applyFont="1" applyFill="1" applyBorder="1" applyAlignment="1" applyProtection="1">
      <alignment horizontal="left" vertical="top" wrapText="1"/>
      <protection locked="0"/>
    </xf>
    <xf numFmtId="0" fontId="13" fillId="0" borderId="0" xfId="54" applyBorder="1" applyAlignment="1" applyProtection="1">
      <alignment vertical="top"/>
      <protection locked="0"/>
    </xf>
    <xf numFmtId="0" fontId="76" fillId="40" borderId="36" xfId="54" applyFont="1" applyFill="1" applyBorder="1" applyAlignment="1" applyProtection="1">
      <alignment horizontal="left" vertical="top"/>
    </xf>
    <xf numFmtId="0" fontId="13" fillId="40" borderId="63" xfId="54" applyFont="1" applyFill="1" applyBorder="1" applyAlignment="1" applyProtection="1">
      <alignment horizontal="left" vertical="top" wrapText="1"/>
      <protection locked="0"/>
    </xf>
    <xf numFmtId="0" fontId="13" fillId="40" borderId="35" xfId="54" applyFill="1" applyBorder="1" applyAlignment="1" applyProtection="1">
      <alignment horizontal="left" vertical="top"/>
      <protection locked="0"/>
    </xf>
    <xf numFmtId="0" fontId="13" fillId="49" borderId="35" xfId="54" applyFont="1" applyFill="1" applyBorder="1" applyAlignment="1" applyProtection="1">
      <alignment vertical="top" wrapText="1"/>
      <protection locked="0"/>
    </xf>
    <xf numFmtId="0" fontId="13" fillId="25" borderId="31" xfId="54" applyFont="1" applyFill="1" applyBorder="1" applyAlignment="1" applyProtection="1">
      <alignment horizontal="left" vertical="top" wrapText="1"/>
      <protection locked="0"/>
    </xf>
    <xf numFmtId="0" fontId="13" fillId="25" borderId="2" xfId="54" applyFont="1" applyFill="1" applyBorder="1" applyAlignment="1" applyProtection="1">
      <alignment horizontal="left" vertical="top" wrapText="1"/>
      <protection locked="0"/>
    </xf>
    <xf numFmtId="0" fontId="13" fillId="25" borderId="2" xfId="54" applyFont="1" applyFill="1" applyBorder="1" applyAlignment="1" applyProtection="1">
      <alignment vertical="top" wrapText="1"/>
      <protection locked="0"/>
    </xf>
    <xf numFmtId="0" fontId="13" fillId="25" borderId="93" xfId="54" applyFill="1" applyBorder="1" applyAlignment="1" applyProtection="1">
      <alignment horizontal="left" vertical="top" wrapText="1"/>
    </xf>
    <xf numFmtId="0" fontId="13" fillId="25" borderId="93" xfId="54" applyFont="1" applyFill="1" applyBorder="1" applyAlignment="1" applyProtection="1">
      <alignment vertical="top" wrapText="1"/>
      <protection locked="0"/>
    </xf>
    <xf numFmtId="0" fontId="76" fillId="40" borderId="15" xfId="54" applyFont="1" applyFill="1" applyBorder="1" applyAlignment="1" applyProtection="1">
      <alignment horizontal="left" vertical="top"/>
    </xf>
    <xf numFmtId="0" fontId="76" fillId="40" borderId="41" xfId="54" applyFont="1" applyFill="1" applyBorder="1" applyAlignment="1" applyProtection="1">
      <alignment horizontal="left" vertical="top" wrapText="1"/>
    </xf>
    <xf numFmtId="0" fontId="13" fillId="40" borderId="49" xfId="54" applyFont="1" applyFill="1" applyBorder="1" applyAlignment="1" applyProtection="1">
      <alignment horizontal="left" vertical="top" wrapText="1"/>
      <protection locked="0"/>
    </xf>
    <xf numFmtId="0" fontId="13" fillId="40" borderId="6" xfId="54" applyFill="1" applyBorder="1" applyAlignment="1" applyProtection="1">
      <alignment horizontal="left" vertical="top"/>
      <protection locked="0"/>
    </xf>
    <xf numFmtId="0" fontId="13" fillId="49" borderId="6" xfId="54" applyFont="1" applyFill="1" applyBorder="1" applyAlignment="1" applyProtection="1">
      <alignment horizontal="left" vertical="top" wrapText="1"/>
      <protection locked="0"/>
    </xf>
    <xf numFmtId="0" fontId="13" fillId="49" borderId="67" xfId="54" applyFont="1" applyFill="1" applyBorder="1" applyAlignment="1" applyProtection="1">
      <alignment horizontal="left" vertical="top" wrapText="1"/>
      <protection locked="0"/>
    </xf>
    <xf numFmtId="0" fontId="13" fillId="40" borderId="78" xfId="54" applyFill="1" applyBorder="1" applyAlignment="1" applyProtection="1">
      <alignment horizontal="left" vertical="top" wrapText="1"/>
    </xf>
    <xf numFmtId="0" fontId="13" fillId="0" borderId="70" xfId="54" applyBorder="1" applyAlignment="1" applyProtection="1">
      <alignment vertical="top"/>
      <protection locked="0"/>
    </xf>
    <xf numFmtId="0" fontId="13" fillId="0" borderId="70" xfId="54" applyBorder="1" applyAlignment="1" applyProtection="1">
      <alignment vertical="top" wrapText="1"/>
      <protection locked="0"/>
    </xf>
    <xf numFmtId="0" fontId="76" fillId="0" borderId="19" xfId="54" applyFont="1" applyBorder="1" applyAlignment="1" applyProtection="1">
      <alignment vertical="top"/>
    </xf>
    <xf numFmtId="0" fontId="13" fillId="25" borderId="43" xfId="54" applyFont="1" applyFill="1" applyBorder="1" applyAlignment="1" applyProtection="1">
      <alignment horizontal="left" vertical="top" wrapText="1"/>
      <protection locked="0"/>
    </xf>
    <xf numFmtId="0" fontId="13" fillId="25" borderId="84" xfId="54" applyFont="1" applyFill="1" applyBorder="1" applyAlignment="1" applyProtection="1">
      <alignment horizontal="left" vertical="top" wrapText="1"/>
      <protection locked="0"/>
    </xf>
    <xf numFmtId="0" fontId="13" fillId="25" borderId="36" xfId="54" applyFont="1" applyFill="1" applyBorder="1" applyAlignment="1" applyProtection="1">
      <alignment vertical="top" wrapText="1"/>
    </xf>
    <xf numFmtId="0" fontId="13" fillId="40" borderId="87" xfId="54" applyFont="1" applyFill="1" applyBorder="1" applyAlignment="1" applyProtection="1">
      <alignment horizontal="left" vertical="top" wrapText="1"/>
      <protection locked="0"/>
    </xf>
    <xf numFmtId="0" fontId="13" fillId="49" borderId="40" xfId="54" applyFont="1" applyFill="1" applyBorder="1" applyAlignment="1" applyProtection="1">
      <alignment horizontal="left" vertical="top" wrapText="1"/>
      <protection locked="0"/>
    </xf>
    <xf numFmtId="0" fontId="13" fillId="0" borderId="36" xfId="54" applyBorder="1" applyAlignment="1" applyProtection="1">
      <alignment vertical="top" wrapText="1"/>
    </xf>
    <xf numFmtId="0" fontId="13" fillId="0" borderId="0" xfId="54" applyAlignment="1" applyProtection="1">
      <alignment horizontal="left" vertical="top" wrapText="1"/>
      <protection locked="0"/>
    </xf>
    <xf numFmtId="0" fontId="76" fillId="0" borderId="20" xfId="54" applyFont="1" applyBorder="1" applyAlignment="1" applyProtection="1">
      <alignment vertical="top"/>
    </xf>
    <xf numFmtId="0" fontId="13" fillId="49" borderId="50" xfId="54" applyFont="1" applyFill="1" applyBorder="1" applyAlignment="1" applyProtection="1">
      <alignment vertical="top" wrapText="1"/>
      <protection locked="0"/>
    </xf>
    <xf numFmtId="0" fontId="13" fillId="0" borderId="36" xfId="54" applyBorder="1" applyAlignment="1" applyProtection="1">
      <alignment wrapText="1"/>
    </xf>
    <xf numFmtId="0" fontId="13" fillId="49" borderId="78" xfId="54" applyFont="1" applyFill="1" applyBorder="1" applyAlignment="1" applyProtection="1">
      <alignment vertical="top" wrapText="1"/>
      <protection locked="0"/>
    </xf>
    <xf numFmtId="0" fontId="13" fillId="40" borderId="70" xfId="54" applyFill="1" applyBorder="1" applyAlignment="1" applyProtection="1">
      <alignment horizontal="left" vertical="top" wrapText="1"/>
    </xf>
    <xf numFmtId="0" fontId="76" fillId="40" borderId="45" xfId="54" applyFont="1" applyFill="1" applyBorder="1" applyAlignment="1" applyProtection="1">
      <alignment wrapText="1"/>
    </xf>
    <xf numFmtId="0" fontId="13" fillId="0" borderId="0" xfId="54" applyBorder="1" applyAlignment="1" applyProtection="1">
      <alignment horizontal="left" vertical="top" wrapText="1"/>
      <protection locked="0"/>
    </xf>
    <xf numFmtId="0" fontId="13" fillId="59" borderId="103" xfId="54" applyFont="1" applyFill="1" applyBorder="1" applyAlignment="1" applyProtection="1">
      <alignment vertical="top" wrapText="1"/>
      <protection locked="0"/>
    </xf>
    <xf numFmtId="0" fontId="13" fillId="0" borderId="0" xfId="54" applyFill="1" applyBorder="1" applyAlignment="1" applyProtection="1">
      <alignment wrapText="1"/>
      <protection locked="0"/>
    </xf>
    <xf numFmtId="0" fontId="13" fillId="40" borderId="0" xfId="54" applyFont="1" applyFill="1" applyBorder="1" applyAlignment="1" applyProtection="1">
      <alignment horizontal="left" wrapText="1"/>
      <protection locked="0"/>
    </xf>
    <xf numFmtId="0" fontId="76" fillId="40" borderId="0" xfId="54" applyFont="1" applyFill="1" applyBorder="1" applyAlignment="1" applyProtection="1">
      <alignment horizontal="center" vertical="center" textRotation="180" wrapText="1"/>
      <protection locked="0"/>
    </xf>
    <xf numFmtId="0" fontId="13" fillId="29" borderId="0" xfId="54" applyFill="1" applyAlignment="1" applyProtection="1">
      <alignment vertical="center"/>
      <protection locked="0"/>
    </xf>
    <xf numFmtId="0" fontId="13" fillId="0" borderId="0" xfId="54" applyBorder="1" applyAlignment="1" applyProtection="1">
      <alignment horizontal="left" vertical="center" wrapText="1"/>
      <protection locked="0"/>
    </xf>
    <xf numFmtId="0" fontId="13" fillId="0" borderId="0" xfId="54" applyFill="1" applyBorder="1" applyAlignment="1" applyProtection="1">
      <alignment horizontal="left" vertical="center" wrapText="1"/>
      <protection locked="0"/>
    </xf>
    <xf numFmtId="0" fontId="13" fillId="40" borderId="0" xfId="54" applyFont="1" applyFill="1" applyBorder="1" applyAlignment="1" applyProtection="1">
      <alignment horizontal="left" vertical="top" wrapText="1"/>
      <protection locked="0"/>
    </xf>
    <xf numFmtId="0" fontId="13" fillId="40" borderId="0" xfId="54" quotePrefix="1" applyFont="1" applyFill="1" applyBorder="1" applyAlignment="1" applyProtection="1">
      <alignment horizontal="left" vertical="top" wrapText="1"/>
      <protection locked="0"/>
    </xf>
    <xf numFmtId="0" fontId="13" fillId="40" borderId="0" xfId="54" applyFill="1" applyAlignment="1" applyProtection="1">
      <alignment horizontal="left" vertical="top"/>
      <protection locked="0"/>
    </xf>
    <xf numFmtId="0" fontId="13" fillId="0" borderId="0" xfId="54" applyFill="1" applyBorder="1" applyAlignment="1" applyProtection="1">
      <alignment vertical="center"/>
      <protection locked="0"/>
    </xf>
    <xf numFmtId="0" fontId="77" fillId="40" borderId="0" xfId="54" applyFont="1" applyFill="1" applyBorder="1" applyAlignment="1" applyProtection="1">
      <alignment horizontal="center"/>
      <protection locked="0"/>
    </xf>
    <xf numFmtId="0" fontId="87" fillId="0" borderId="0" xfId="54" applyFont="1" applyProtection="1">
      <protection locked="0"/>
    </xf>
    <xf numFmtId="0" fontId="87" fillId="0" borderId="0" xfId="54" applyFont="1" applyFill="1" applyBorder="1" applyProtection="1">
      <protection locked="0"/>
    </xf>
    <xf numFmtId="0" fontId="112" fillId="40" borderId="28" xfId="54" applyFont="1" applyFill="1" applyBorder="1" applyAlignment="1" applyProtection="1">
      <alignment horizontal="left" vertical="top"/>
    </xf>
    <xf numFmtId="0" fontId="13" fillId="63" borderId="41" xfId="54" applyFont="1" applyFill="1" applyBorder="1" applyAlignment="1" applyProtection="1">
      <alignment horizontal="left" vertical="top" wrapText="1"/>
    </xf>
    <xf numFmtId="0" fontId="13" fillId="63" borderId="0" xfId="54" applyFont="1" applyFill="1" applyBorder="1" applyAlignment="1" applyProtection="1">
      <alignment horizontal="left" vertical="top" wrapText="1"/>
    </xf>
    <xf numFmtId="0" fontId="13" fillId="63" borderId="0" xfId="54" applyFont="1" applyFill="1" applyBorder="1" applyAlignment="1" applyProtection="1">
      <alignment vertical="top" wrapText="1"/>
    </xf>
    <xf numFmtId="0" fontId="13" fillId="63" borderId="0" xfId="54" applyFill="1" applyBorder="1" applyAlignment="1" applyProtection="1">
      <alignment horizontal="left" vertical="top" wrapText="1"/>
    </xf>
    <xf numFmtId="0" fontId="76" fillId="63" borderId="86" xfId="54" applyFont="1" applyFill="1" applyBorder="1" applyAlignment="1" applyProtection="1">
      <alignment horizontal="left" vertical="top"/>
    </xf>
    <xf numFmtId="0" fontId="77" fillId="0" borderId="0" xfId="54" applyFont="1" applyFill="1" applyBorder="1" applyAlignment="1" applyProtection="1">
      <alignment horizontal="left" vertical="top"/>
      <protection locked="0"/>
    </xf>
    <xf numFmtId="0" fontId="76" fillId="0" borderId="0" xfId="54" applyFont="1" applyBorder="1" applyAlignment="1" applyProtection="1">
      <alignment wrapText="1"/>
      <protection locked="0"/>
    </xf>
    <xf numFmtId="0" fontId="13" fillId="40" borderId="0" xfId="54" applyFont="1" applyFill="1" applyBorder="1" applyAlignment="1" applyProtection="1">
      <alignment horizontal="left"/>
      <protection locked="0"/>
    </xf>
    <xf numFmtId="0" fontId="13" fillId="40" borderId="0" xfId="54" applyFill="1" applyBorder="1" applyAlignment="1" applyProtection="1">
      <alignment horizontal="left"/>
      <protection locked="0"/>
    </xf>
    <xf numFmtId="0" fontId="13" fillId="40" borderId="41" xfId="54" applyFill="1" applyBorder="1" applyAlignment="1" applyProtection="1">
      <alignment horizontal="center"/>
      <protection locked="0"/>
    </xf>
    <xf numFmtId="0" fontId="13" fillId="40" borderId="40" xfId="54" applyFill="1" applyBorder="1" applyAlignment="1" applyProtection="1">
      <alignment horizontal="center"/>
      <protection locked="0"/>
    </xf>
    <xf numFmtId="0" fontId="13" fillId="40" borderId="0" xfId="54" applyFont="1" applyFill="1" applyAlignment="1" applyProtection="1">
      <alignment wrapText="1"/>
      <protection locked="0"/>
    </xf>
    <xf numFmtId="0" fontId="13" fillId="40" borderId="0" xfId="54" applyFont="1" applyFill="1" applyProtection="1">
      <protection locked="0"/>
    </xf>
    <xf numFmtId="0" fontId="77" fillId="40" borderId="0" xfId="54" applyFont="1" applyFill="1" applyBorder="1" applyProtection="1">
      <protection locked="0"/>
    </xf>
    <xf numFmtId="0" fontId="111" fillId="40" borderId="0" xfId="54" applyFont="1" applyFill="1" applyBorder="1" applyProtection="1">
      <protection locked="0"/>
    </xf>
    <xf numFmtId="0" fontId="87" fillId="40" borderId="0" xfId="54" applyFont="1" applyFill="1" applyBorder="1" applyProtection="1">
      <protection locked="0"/>
    </xf>
    <xf numFmtId="0" fontId="13" fillId="61" borderId="0" xfId="54" applyFill="1" applyBorder="1" applyAlignment="1" applyProtection="1">
      <alignment horizontal="left" vertical="top" wrapText="1"/>
      <protection locked="0"/>
    </xf>
    <xf numFmtId="0" fontId="13" fillId="61" borderId="0" xfId="54" applyFill="1" applyBorder="1" applyAlignment="1" applyProtection="1">
      <alignment vertical="top" wrapText="1"/>
      <protection locked="0"/>
    </xf>
    <xf numFmtId="0" fontId="13" fillId="0" borderId="0" xfId="54" applyFont="1" applyFill="1" applyBorder="1" applyAlignment="1" applyProtection="1">
      <alignment wrapText="1"/>
      <protection locked="0"/>
    </xf>
    <xf numFmtId="1" fontId="13" fillId="49" borderId="16" xfId="54" applyNumberFormat="1" applyFont="1" applyFill="1" applyBorder="1" applyAlignment="1" applyProtection="1">
      <alignment horizontal="center" wrapText="1"/>
      <protection locked="0"/>
    </xf>
    <xf numFmtId="1" fontId="13" fillId="43" borderId="16" xfId="54" applyNumberFormat="1" applyFill="1" applyBorder="1" applyAlignment="1" applyProtection="1">
      <alignment horizontal="center"/>
    </xf>
    <xf numFmtId="0" fontId="13" fillId="43" borderId="0" xfId="54" applyFill="1" applyAlignment="1" applyProtection="1">
      <alignment vertical="center"/>
      <protection locked="0"/>
    </xf>
    <xf numFmtId="0" fontId="13" fillId="0" borderId="0" xfId="54"/>
    <xf numFmtId="0" fontId="76" fillId="0" borderId="16" xfId="54" applyFont="1" applyFill="1" applyBorder="1" applyAlignment="1" applyProtection="1">
      <alignment horizontal="center" vertical="center" wrapText="1"/>
    </xf>
    <xf numFmtId="0" fontId="13" fillId="40" borderId="0" xfId="54" applyFont="1" applyFill="1" applyBorder="1" applyAlignment="1" applyProtection="1">
      <alignment wrapText="1"/>
      <protection locked="0"/>
    </xf>
    <xf numFmtId="0" fontId="13" fillId="40" borderId="0" xfId="54" applyFont="1" applyFill="1" applyAlignment="1" applyProtection="1">
      <alignment vertical="center"/>
      <protection locked="0"/>
    </xf>
    <xf numFmtId="0" fontId="15" fillId="26" borderId="0" xfId="54" applyFont="1" applyFill="1" applyAlignment="1" applyProtection="1">
      <alignment wrapText="1"/>
      <protection locked="0"/>
    </xf>
    <xf numFmtId="0" fontId="13" fillId="0" borderId="0" xfId="54" applyFont="1" applyFill="1" applyAlignment="1" applyProtection="1">
      <alignment vertical="center"/>
      <protection locked="0"/>
    </xf>
    <xf numFmtId="0" fontId="13" fillId="0" borderId="41" xfId="54" applyFont="1" applyBorder="1" applyAlignment="1" applyProtection="1">
      <alignment vertical="top" wrapText="1"/>
      <protection locked="0"/>
    </xf>
    <xf numFmtId="0" fontId="87" fillId="40" borderId="41" xfId="54" applyFont="1" applyFill="1" applyBorder="1" applyAlignment="1" applyProtection="1">
      <alignment horizontal="left" vertical="top" wrapText="1"/>
      <protection locked="0"/>
    </xf>
    <xf numFmtId="0" fontId="13" fillId="59" borderId="1" xfId="54" applyNumberFormat="1" applyFont="1" applyFill="1" applyBorder="1" applyAlignment="1" applyProtection="1">
      <alignment horizontal="left" vertical="top"/>
      <protection locked="0"/>
    </xf>
    <xf numFmtId="0" fontId="77" fillId="59" borderId="1" xfId="54" applyNumberFormat="1" applyFont="1" applyFill="1" applyBorder="1" applyAlignment="1" applyProtection="1">
      <alignment horizontal="left" vertical="top"/>
      <protection locked="0"/>
    </xf>
    <xf numFmtId="0" fontId="13" fillId="0" borderId="0" xfId="54" applyAlignment="1" applyProtection="1">
      <protection locked="0"/>
    </xf>
    <xf numFmtId="0" fontId="76" fillId="0" borderId="0" xfId="54" applyFont="1" applyBorder="1" applyAlignment="1" applyProtection="1">
      <alignment horizontal="center" vertical="center" wrapText="1"/>
      <protection locked="0"/>
    </xf>
    <xf numFmtId="0" fontId="76" fillId="0" borderId="0" xfId="54" applyFont="1" applyFill="1" applyBorder="1" applyAlignment="1" applyProtection="1">
      <alignment horizontal="center" vertical="center" wrapText="1"/>
      <protection locked="0"/>
    </xf>
    <xf numFmtId="0" fontId="13" fillId="40" borderId="0" xfId="54" applyFill="1" applyBorder="1" applyAlignment="1" applyProtection="1">
      <alignment wrapText="1"/>
      <protection locked="0"/>
    </xf>
    <xf numFmtId="0" fontId="13" fillId="0" borderId="0" xfId="54" applyAlignment="1" applyProtection="1"/>
    <xf numFmtId="1" fontId="13" fillId="59" borderId="1" xfId="54" applyNumberFormat="1" applyFont="1" applyFill="1" applyBorder="1" applyAlignment="1" applyProtection="1">
      <alignment horizontal="left" vertical="top" wrapText="1"/>
      <protection locked="0"/>
    </xf>
    <xf numFmtId="0" fontId="13" fillId="59" borderId="1" xfId="54" applyFont="1" applyFill="1" applyBorder="1" applyAlignment="1" applyProtection="1">
      <alignment horizontal="left" wrapText="1"/>
      <protection locked="0"/>
    </xf>
    <xf numFmtId="0" fontId="76" fillId="50" borderId="2" xfId="54" applyFont="1" applyFill="1" applyBorder="1" applyAlignment="1" applyProtection="1">
      <alignment wrapText="1"/>
    </xf>
    <xf numFmtId="0" fontId="13" fillId="40" borderId="0" xfId="54" applyFill="1" applyAlignment="1" applyProtection="1"/>
    <xf numFmtId="0" fontId="13" fillId="0" borderId="0" xfId="54" applyFont="1" applyBorder="1" applyProtection="1">
      <protection locked="0"/>
    </xf>
    <xf numFmtId="0" fontId="114" fillId="26" borderId="0" xfId="54" applyFont="1" applyFill="1" applyBorder="1" applyProtection="1">
      <protection locked="0"/>
    </xf>
    <xf numFmtId="0" fontId="13" fillId="0" borderId="0" xfId="54" applyBorder="1" applyAlignment="1" applyProtection="1">
      <alignment horizontal="left" wrapText="1"/>
      <protection locked="0"/>
    </xf>
    <xf numFmtId="0" fontId="76" fillId="40" borderId="0" xfId="54" applyFont="1" applyFill="1" applyBorder="1" applyAlignment="1" applyProtection="1">
      <alignment horizontal="left" wrapText="1"/>
      <protection locked="0"/>
    </xf>
    <xf numFmtId="0" fontId="76" fillId="40" borderId="0" xfId="54" applyFont="1" applyFill="1" applyBorder="1" applyAlignment="1" applyProtection="1">
      <alignment wrapText="1"/>
      <protection locked="0"/>
    </xf>
    <xf numFmtId="9" fontId="13" fillId="0" borderId="1" xfId="52" applyFont="1" applyBorder="1" applyAlignment="1" applyProtection="1">
      <alignment horizontal="center"/>
    </xf>
    <xf numFmtId="0" fontId="13" fillId="0" borderId="1" xfId="54" applyFont="1" applyBorder="1" applyAlignment="1" applyProtection="1">
      <alignment horizontal="center"/>
    </xf>
    <xf numFmtId="0" fontId="13" fillId="0" borderId="1" xfId="54" applyFont="1" applyBorder="1" applyAlignment="1" applyProtection="1">
      <alignment horizontal="center" wrapText="1"/>
    </xf>
    <xf numFmtId="165" fontId="13" fillId="43" borderId="16" xfId="54" applyNumberFormat="1" applyFont="1" applyFill="1" applyBorder="1" applyAlignment="1" applyProtection="1">
      <alignment horizontal="left" vertical="top" wrapText="1"/>
    </xf>
    <xf numFmtId="0" fontId="13" fillId="0" borderId="42" xfId="54" applyBorder="1" applyAlignment="1" applyProtection="1">
      <alignment horizontal="left" vertical="top" wrapText="1"/>
      <protection locked="0"/>
    </xf>
    <xf numFmtId="0" fontId="15" fillId="0" borderId="0" xfId="54" applyFont="1" applyBorder="1" applyAlignment="1" applyProtection="1">
      <alignment wrapText="1"/>
      <protection locked="0"/>
    </xf>
    <xf numFmtId="0" fontId="126" fillId="40" borderId="0" xfId="54" applyFont="1" applyFill="1" applyBorder="1" applyAlignment="1" applyProtection="1">
      <alignment horizontal="left"/>
    </xf>
    <xf numFmtId="0" fontId="13" fillId="44" borderId="1" xfId="54" applyFill="1" applyBorder="1" applyProtection="1">
      <protection locked="0"/>
    </xf>
    <xf numFmtId="0" fontId="76" fillId="40" borderId="93" xfId="54" applyFont="1" applyFill="1" applyBorder="1" applyAlignment="1" applyProtection="1">
      <alignment horizontal="center" wrapText="1"/>
    </xf>
    <xf numFmtId="0" fontId="13" fillId="0" borderId="0" xfId="54" applyFont="1" applyFill="1" applyBorder="1" applyProtection="1">
      <protection locked="0"/>
    </xf>
    <xf numFmtId="0" fontId="76" fillId="40" borderId="84" xfId="54" applyFont="1" applyFill="1" applyBorder="1" applyAlignment="1" applyProtection="1">
      <alignment horizontal="left" wrapText="1"/>
      <protection locked="0"/>
    </xf>
    <xf numFmtId="0" fontId="76" fillId="0" borderId="0" xfId="54" applyFont="1" applyFill="1" applyAlignment="1" applyProtection="1">
      <alignment horizontal="center" wrapText="1"/>
    </xf>
    <xf numFmtId="0" fontId="13" fillId="0" borderId="0" xfId="54" applyFill="1" applyBorder="1" applyAlignment="1" applyProtection="1">
      <alignment horizontal="left" wrapText="1"/>
      <protection locked="0"/>
    </xf>
    <xf numFmtId="0" fontId="13" fillId="40" borderId="0" xfId="54" applyFill="1" applyBorder="1" applyAlignment="1" applyProtection="1">
      <alignment horizontal="left" wrapText="1"/>
      <protection locked="0"/>
    </xf>
    <xf numFmtId="0" fontId="13" fillId="40" borderId="84" xfId="54" applyFill="1" applyBorder="1" applyAlignment="1" applyProtection="1">
      <alignment horizontal="left" wrapText="1"/>
      <protection locked="0"/>
    </xf>
    <xf numFmtId="0" fontId="13" fillId="0" borderId="0" xfId="54" applyFill="1" applyBorder="1" applyAlignment="1" applyProtection="1">
      <alignment vertical="top" wrapText="1"/>
      <protection locked="0"/>
    </xf>
    <xf numFmtId="0" fontId="76" fillId="0" borderId="0" xfId="54" applyFont="1" applyFill="1" applyBorder="1" applyAlignment="1" applyProtection="1">
      <alignment wrapText="1"/>
    </xf>
    <xf numFmtId="0" fontId="76" fillId="40" borderId="0" xfId="54" applyFont="1" applyFill="1" applyBorder="1" applyAlignment="1" applyProtection="1">
      <alignment horizontal="left"/>
      <protection locked="0"/>
    </xf>
    <xf numFmtId="0" fontId="13" fillId="40" borderId="84" xfId="54" applyFill="1" applyBorder="1" applyProtection="1">
      <protection locked="0"/>
    </xf>
    <xf numFmtId="0" fontId="13" fillId="40" borderId="84" xfId="54" applyFill="1" applyBorder="1" applyAlignment="1" applyProtection="1">
      <alignment horizontal="center"/>
      <protection locked="0"/>
    </xf>
    <xf numFmtId="0" fontId="13" fillId="40" borderId="0" xfId="54" applyFill="1" applyBorder="1" applyAlignment="1" applyProtection="1">
      <alignment vertical="center"/>
      <protection locked="0"/>
    </xf>
    <xf numFmtId="0" fontId="114" fillId="0" borderId="0" xfId="54" applyFont="1" applyAlignment="1" applyProtection="1">
      <alignment wrapText="1"/>
      <protection locked="0"/>
    </xf>
    <xf numFmtId="0" fontId="87" fillId="0" borderId="0" xfId="54" applyFont="1" applyFill="1" applyProtection="1">
      <protection locked="0"/>
    </xf>
    <xf numFmtId="0" fontId="15" fillId="0" borderId="0" xfId="54" applyFont="1" applyFill="1" applyAlignment="1" applyProtection="1">
      <alignment wrapText="1"/>
      <protection locked="0"/>
    </xf>
    <xf numFmtId="0" fontId="15" fillId="0" borderId="0" xfId="54" applyFont="1" applyFill="1" applyProtection="1">
      <protection locked="0"/>
    </xf>
    <xf numFmtId="0" fontId="15" fillId="0" borderId="0" xfId="54" applyFont="1" applyFill="1" applyAlignment="1" applyProtection="1">
      <alignment horizontal="left" vertical="top"/>
      <protection locked="0"/>
    </xf>
    <xf numFmtId="0" fontId="84" fillId="40" borderId="0" xfId="54" applyFont="1" applyFill="1" applyBorder="1" applyAlignment="1" applyProtection="1">
      <alignment horizontal="left" vertical="center" wrapText="1"/>
      <protection locked="0"/>
    </xf>
    <xf numFmtId="0" fontId="13" fillId="40" borderId="0" xfId="54" applyFill="1" applyAlignment="1" applyProtection="1">
      <alignment horizontal="center" vertical="center" wrapText="1"/>
      <protection locked="0"/>
    </xf>
    <xf numFmtId="0" fontId="76" fillId="0" borderId="0" xfId="54" applyFont="1" applyAlignment="1" applyProtection="1">
      <alignment horizontal="center" vertical="center" wrapText="1"/>
      <protection locked="0"/>
    </xf>
    <xf numFmtId="0" fontId="76" fillId="40" borderId="0" xfId="54" applyFont="1" applyFill="1" applyAlignment="1" applyProtection="1">
      <alignment horizontal="center" vertical="center" wrapText="1"/>
      <protection locked="0"/>
    </xf>
    <xf numFmtId="0" fontId="13" fillId="40" borderId="0" xfId="54" applyFont="1" applyFill="1" applyAlignment="1" applyProtection="1">
      <alignment horizontal="center"/>
      <protection locked="0"/>
    </xf>
    <xf numFmtId="0" fontId="13" fillId="40" borderId="0" xfId="54" applyFont="1" applyFill="1" applyAlignment="1" applyProtection="1">
      <alignment horizontal="center" vertical="center" wrapText="1"/>
      <protection locked="0"/>
    </xf>
    <xf numFmtId="0" fontId="13" fillId="40" borderId="0" xfId="54" applyFill="1" applyBorder="1" applyAlignment="1" applyProtection="1">
      <alignment horizontal="center" vertical="center" wrapText="1"/>
      <protection locked="0"/>
    </xf>
    <xf numFmtId="0" fontId="13" fillId="40" borderId="0" xfId="54" applyFont="1" applyFill="1" applyBorder="1" applyAlignment="1" applyProtection="1">
      <alignment horizontal="center" vertical="center" wrapText="1"/>
      <protection locked="0"/>
    </xf>
    <xf numFmtId="0" fontId="13" fillId="0" borderId="93" xfId="54" applyFont="1" applyFill="1" applyBorder="1" applyAlignment="1" applyProtection="1">
      <alignment horizontal="left" vertical="top" wrapText="1"/>
      <protection locked="0"/>
    </xf>
    <xf numFmtId="0" fontId="13" fillId="0" borderId="0" xfId="54" applyFont="1" applyFill="1" applyBorder="1" applyAlignment="1" applyProtection="1">
      <alignment horizontal="left" vertical="top" wrapText="1"/>
      <protection locked="0"/>
    </xf>
    <xf numFmtId="0" fontId="15" fillId="40" borderId="0" xfId="54" applyFont="1" applyFill="1" applyAlignment="1" applyProtection="1">
      <alignment wrapText="1"/>
      <protection locked="0"/>
    </xf>
    <xf numFmtId="0" fontId="15" fillId="40" borderId="0" xfId="54" applyFont="1" applyFill="1" applyBorder="1" applyAlignment="1" applyProtection="1">
      <alignment horizontal="left" vertical="top"/>
      <protection locked="0"/>
    </xf>
    <xf numFmtId="0" fontId="76" fillId="40" borderId="116" xfId="54" applyFont="1" applyFill="1" applyBorder="1" applyAlignment="1" applyProtection="1"/>
    <xf numFmtId="0" fontId="13" fillId="0" borderId="37" xfId="54" applyFont="1" applyBorder="1" applyAlignment="1" applyProtection="1">
      <alignment horizontal="center" vertical="center"/>
    </xf>
    <xf numFmtId="0" fontId="13" fillId="0" borderId="9" xfId="54" applyBorder="1" applyAlignment="1" applyProtection="1">
      <alignment horizontal="center" vertical="center"/>
    </xf>
    <xf numFmtId="0" fontId="13" fillId="0" borderId="9" xfId="54" applyFont="1" applyBorder="1" applyAlignment="1" applyProtection="1">
      <alignment horizontal="center" vertical="center"/>
    </xf>
    <xf numFmtId="0" fontId="76" fillId="0" borderId="8" xfId="54" applyFont="1" applyBorder="1" applyAlignment="1" applyProtection="1">
      <alignment horizontal="center" vertical="center"/>
    </xf>
    <xf numFmtId="0" fontId="13" fillId="0" borderId="34" xfId="54" applyFont="1" applyBorder="1" applyAlignment="1" applyProtection="1">
      <alignment horizontal="center" vertical="center"/>
    </xf>
    <xf numFmtId="0" fontId="76" fillId="0" borderId="7" xfId="54" applyFont="1" applyBorder="1" applyAlignment="1" applyProtection="1">
      <alignment horizontal="center" vertical="center"/>
    </xf>
    <xf numFmtId="0" fontId="76" fillId="0" borderId="49" xfId="54" applyFont="1" applyBorder="1" applyAlignment="1" applyProtection="1">
      <alignment horizontal="center" vertical="center"/>
    </xf>
    <xf numFmtId="0" fontId="76" fillId="0" borderId="6" xfId="54" applyFont="1" applyBorder="1" applyAlignment="1" applyProtection="1">
      <alignment horizontal="center" vertical="center"/>
    </xf>
    <xf numFmtId="0" fontId="76" fillId="0" borderId="5" xfId="54" applyFont="1" applyBorder="1" applyAlignment="1" applyProtection="1">
      <alignment horizontal="center" vertical="center"/>
    </xf>
    <xf numFmtId="0" fontId="13" fillId="0" borderId="1" xfId="54" quotePrefix="1" applyFont="1" applyBorder="1" applyAlignment="1" applyProtection="1">
      <alignment horizontal="center" vertical="center"/>
    </xf>
    <xf numFmtId="0" fontId="76" fillId="0" borderId="7" xfId="54" applyFont="1" applyBorder="1" applyAlignment="1" applyProtection="1">
      <alignment horizontal="center" vertical="center" wrapText="1"/>
    </xf>
    <xf numFmtId="0" fontId="76" fillId="0" borderId="49" xfId="54" applyFont="1" applyFill="1" applyBorder="1" applyAlignment="1" applyProtection="1">
      <alignment horizontal="center" vertical="center"/>
    </xf>
    <xf numFmtId="0" fontId="76" fillId="0" borderId="6" xfId="54" applyFont="1" applyFill="1" applyBorder="1" applyAlignment="1" applyProtection="1">
      <alignment horizontal="center" vertical="center" wrapText="1"/>
    </xf>
    <xf numFmtId="0" fontId="76" fillId="0" borderId="6" xfId="54" applyFont="1" applyFill="1" applyBorder="1" applyAlignment="1" applyProtection="1">
      <alignment horizontal="center" vertical="center"/>
    </xf>
    <xf numFmtId="0" fontId="76" fillId="0" borderId="5" xfId="54" applyFont="1" applyFill="1" applyBorder="1" applyAlignment="1" applyProtection="1">
      <alignment horizontal="center" vertical="center" wrapText="1"/>
    </xf>
    <xf numFmtId="0" fontId="13" fillId="0" borderId="0" xfId="54" applyAlignment="1" applyProtection="1">
      <alignment horizontal="center"/>
      <protection locked="0"/>
    </xf>
    <xf numFmtId="0" fontId="76" fillId="0" borderId="0" xfId="54" applyFont="1" applyProtection="1">
      <protection locked="0"/>
    </xf>
    <xf numFmtId="0" fontId="13" fillId="25" borderId="37" xfId="54" applyFont="1" applyFill="1" applyBorder="1" applyAlignment="1" applyProtection="1">
      <alignment horizontal="center" vertical="center"/>
    </xf>
    <xf numFmtId="0" fontId="13" fillId="25" borderId="9" xfId="54" applyFont="1" applyFill="1" applyBorder="1" applyAlignment="1" applyProtection="1">
      <alignment horizontal="center" vertical="center"/>
    </xf>
    <xf numFmtId="1" fontId="13" fillId="25" borderId="9" xfId="52" applyNumberFormat="1" applyFont="1" applyFill="1" applyBorder="1" applyAlignment="1" applyProtection="1">
      <alignment horizontal="center" vertical="center"/>
    </xf>
    <xf numFmtId="0" fontId="13" fillId="25" borderId="8" xfId="54" applyFont="1" applyFill="1" applyBorder="1" applyAlignment="1" applyProtection="1">
      <alignment horizontal="center" vertical="center"/>
    </xf>
    <xf numFmtId="0" fontId="13" fillId="25" borderId="34" xfId="54" applyFont="1" applyFill="1" applyBorder="1" applyAlignment="1" applyProtection="1">
      <alignment horizontal="center" vertical="center"/>
    </xf>
    <xf numFmtId="0" fontId="13" fillId="25" borderId="1" xfId="54" applyFont="1" applyFill="1" applyBorder="1" applyAlignment="1" applyProtection="1">
      <alignment horizontal="center" vertical="center"/>
    </xf>
    <xf numFmtId="1" fontId="13" fillId="25" borderId="1" xfId="52" applyNumberFormat="1" applyFont="1" applyFill="1" applyBorder="1" applyAlignment="1" applyProtection="1">
      <alignment horizontal="center" vertical="center"/>
    </xf>
    <xf numFmtId="0" fontId="13" fillId="25" borderId="7" xfId="54" applyFont="1" applyFill="1" applyBorder="1" applyAlignment="1" applyProtection="1">
      <alignment horizontal="center" vertical="center"/>
    </xf>
    <xf numFmtId="0" fontId="13" fillId="25" borderId="34" xfId="54" applyNumberFormat="1" applyFont="1" applyFill="1" applyBorder="1" applyAlignment="1" applyProtection="1">
      <alignment horizontal="center" vertical="center"/>
    </xf>
    <xf numFmtId="0" fontId="13" fillId="25" borderId="1" xfId="54" applyNumberFormat="1" applyFont="1" applyFill="1" applyBorder="1" applyAlignment="1" applyProtection="1">
      <alignment horizontal="center" vertical="center"/>
    </xf>
    <xf numFmtId="0" fontId="13" fillId="25" borderId="1" xfId="52" applyNumberFormat="1" applyFont="1" applyFill="1" applyBorder="1" applyAlignment="1" applyProtection="1">
      <alignment horizontal="center" vertical="center"/>
    </xf>
    <xf numFmtId="0" fontId="13" fillId="25" borderId="1" xfId="52" quotePrefix="1" applyNumberFormat="1" applyFont="1" applyFill="1" applyBorder="1" applyAlignment="1" applyProtection="1">
      <alignment horizontal="center" vertical="center"/>
    </xf>
    <xf numFmtId="0" fontId="13" fillId="25" borderId="1" xfId="54" quotePrefix="1" applyNumberFormat="1" applyFont="1" applyFill="1" applyBorder="1" applyAlignment="1" applyProtection="1">
      <alignment horizontal="center" vertical="center"/>
    </xf>
    <xf numFmtId="0" fontId="76" fillId="25" borderId="7" xfId="54" applyFont="1" applyFill="1" applyBorder="1" applyAlignment="1" applyProtection="1">
      <alignment horizontal="center" vertical="center" wrapText="1"/>
    </xf>
    <xf numFmtId="0" fontId="13" fillId="0" borderId="5" xfId="54" applyFont="1" applyBorder="1" applyProtection="1"/>
    <xf numFmtId="0" fontId="76" fillId="25" borderId="0" xfId="54" applyFont="1" applyFill="1" applyBorder="1" applyAlignment="1" applyProtection="1">
      <alignment horizontal="left" vertical="center"/>
    </xf>
    <xf numFmtId="0" fontId="13" fillId="0" borderId="0" xfId="54" applyFont="1" applyAlignment="1" applyProtection="1">
      <alignment horizontal="center" wrapText="1"/>
    </xf>
    <xf numFmtId="0" fontId="76" fillId="0" borderId="0" xfId="54" applyFont="1" applyBorder="1" applyAlignment="1" applyProtection="1">
      <alignment horizontal="center" vertical="center"/>
      <protection locked="0"/>
    </xf>
    <xf numFmtId="9" fontId="76" fillId="25" borderId="0" xfId="52" applyFont="1" applyFill="1" applyBorder="1" applyAlignment="1" applyProtection="1">
      <alignment horizontal="center" vertical="center"/>
      <protection locked="0"/>
    </xf>
    <xf numFmtId="0" fontId="76" fillId="25" borderId="0" xfId="54" applyFont="1" applyFill="1" applyBorder="1" applyAlignment="1" applyProtection="1">
      <alignment horizontal="center" vertical="center"/>
      <protection locked="0"/>
    </xf>
    <xf numFmtId="0" fontId="13" fillId="40" borderId="0" xfId="54" applyFont="1" applyFill="1" applyBorder="1" applyAlignment="1" applyProtection="1">
      <alignment horizontal="left" vertical="center"/>
      <protection locked="0"/>
    </xf>
    <xf numFmtId="0" fontId="112" fillId="0" borderId="0" xfId="54" applyFont="1" applyProtection="1">
      <protection locked="0"/>
    </xf>
    <xf numFmtId="0" fontId="76" fillId="40" borderId="0" xfId="54" applyFont="1" applyFill="1" applyBorder="1" applyAlignment="1" applyProtection="1">
      <alignment horizontal="left" vertical="center"/>
      <protection locked="0"/>
    </xf>
    <xf numFmtId="0" fontId="13" fillId="25" borderId="0" xfId="54" applyFont="1" applyFill="1" applyProtection="1">
      <protection locked="0"/>
    </xf>
    <xf numFmtId="0" fontId="13" fillId="52" borderId="1" xfId="54" applyFont="1" applyFill="1" applyBorder="1" applyAlignment="1" applyProtection="1">
      <alignment horizontal="center" vertical="center"/>
    </xf>
    <xf numFmtId="9" fontId="0" fillId="0" borderId="0" xfId="52" applyFont="1" applyProtection="1">
      <protection locked="0"/>
    </xf>
    <xf numFmtId="0" fontId="13" fillId="44" borderId="1" xfId="54" applyFont="1" applyFill="1" applyBorder="1" applyAlignment="1" applyProtection="1">
      <alignment wrapText="1"/>
      <protection locked="0"/>
    </xf>
    <xf numFmtId="0" fontId="13" fillId="0" borderId="0" xfId="54" applyFont="1" applyFill="1" applyAlignment="1" applyProtection="1">
      <alignment horizontal="center" vertical="center" wrapText="1"/>
    </xf>
    <xf numFmtId="0" fontId="77" fillId="0" borderId="0" xfId="54" applyFont="1" applyBorder="1" applyAlignment="1" applyProtection="1">
      <alignment horizontal="center" vertical="center" wrapText="1"/>
    </xf>
    <xf numFmtId="0" fontId="77" fillId="0" borderId="40" xfId="54" applyFont="1" applyBorder="1" applyAlignment="1" applyProtection="1">
      <alignment horizontal="center" vertical="center" wrapText="1"/>
    </xf>
    <xf numFmtId="0" fontId="13" fillId="40" borderId="0" xfId="54" applyFont="1" applyFill="1" applyBorder="1" applyAlignment="1" applyProtection="1">
      <alignment horizontal="center" vertical="center"/>
      <protection locked="0"/>
    </xf>
    <xf numFmtId="0" fontId="13" fillId="40" borderId="16" xfId="54" applyFont="1" applyFill="1" applyBorder="1" applyAlignment="1" applyProtection="1">
      <alignment horizontal="center" vertical="center" wrapText="1"/>
    </xf>
    <xf numFmtId="1" fontId="13" fillId="49" borderId="34" xfId="54" applyNumberFormat="1" applyFont="1" applyFill="1" applyBorder="1" applyAlignment="1" applyProtection="1">
      <alignment horizontal="center" vertical="center"/>
      <protection locked="0"/>
    </xf>
    <xf numFmtId="0" fontId="13" fillId="49" borderId="7" xfId="54" applyFont="1" applyFill="1" applyBorder="1" applyAlignment="1" applyProtection="1">
      <alignment horizontal="center" vertical="center"/>
      <protection locked="0"/>
    </xf>
    <xf numFmtId="0" fontId="13" fillId="49" borderId="16" xfId="54" applyFill="1" applyBorder="1" applyAlignment="1" applyProtection="1">
      <alignment horizontal="center" vertical="center"/>
      <protection locked="0"/>
    </xf>
    <xf numFmtId="0" fontId="13" fillId="0" borderId="34" xfId="54" applyFont="1" applyBorder="1" applyAlignment="1" applyProtection="1">
      <alignment horizontal="center" vertical="center" wrapText="1"/>
    </xf>
    <xf numFmtId="0" fontId="13" fillId="0" borderId="7" xfId="54" applyFont="1" applyBorder="1" applyAlignment="1" applyProtection="1">
      <alignment horizontal="center" vertical="center" wrapText="1"/>
    </xf>
    <xf numFmtId="0" fontId="13" fillId="40" borderId="16" xfId="54" applyFill="1" applyBorder="1" applyAlignment="1" applyProtection="1">
      <alignment horizontal="center" vertical="center"/>
    </xf>
    <xf numFmtId="0" fontId="87" fillId="40" borderId="0" xfId="54" applyFont="1" applyFill="1" applyAlignment="1" applyProtection="1">
      <alignment wrapText="1"/>
      <protection locked="0"/>
    </xf>
    <xf numFmtId="0" fontId="76" fillId="0" borderId="0" xfId="54" applyFont="1" applyAlignment="1" applyProtection="1">
      <alignment vertical="top" wrapText="1"/>
      <protection locked="0"/>
    </xf>
    <xf numFmtId="0" fontId="13" fillId="0" borderId="45" xfId="54" applyBorder="1" applyProtection="1"/>
    <xf numFmtId="0" fontId="76" fillId="40" borderId="45" xfId="54" applyFont="1" applyFill="1" applyBorder="1" applyAlignment="1" applyProtection="1">
      <alignment horizontal="center" vertical="center" textRotation="180" wrapText="1"/>
    </xf>
    <xf numFmtId="0" fontId="76" fillId="40" borderId="45" xfId="54" applyFont="1" applyFill="1" applyBorder="1" applyAlignment="1" applyProtection="1">
      <alignment horizontal="left" wrapText="1"/>
    </xf>
    <xf numFmtId="0" fontId="13" fillId="40" borderId="45" xfId="54" applyFill="1" applyBorder="1" applyAlignment="1" applyProtection="1">
      <alignment wrapText="1"/>
    </xf>
    <xf numFmtId="0" fontId="13" fillId="40" borderId="16" xfId="54" applyFont="1" applyFill="1" applyBorder="1" applyAlignment="1" applyProtection="1">
      <alignment horizontal="left" vertical="top" wrapText="1"/>
      <protection locked="0"/>
    </xf>
    <xf numFmtId="14" fontId="13" fillId="40" borderId="0" xfId="54" applyNumberFormat="1" applyFill="1" applyBorder="1" applyAlignment="1" applyProtection="1">
      <alignment horizontal="left"/>
      <protection locked="0"/>
    </xf>
    <xf numFmtId="0" fontId="109" fillId="50" borderId="2" xfId="54" applyFont="1" applyFill="1" applyBorder="1" applyAlignment="1" applyProtection="1">
      <alignment vertical="top"/>
    </xf>
    <xf numFmtId="0" fontId="109" fillId="50" borderId="16" xfId="54" applyFont="1" applyFill="1" applyBorder="1" applyAlignment="1" applyProtection="1">
      <alignment vertical="top"/>
    </xf>
    <xf numFmtId="0" fontId="90" fillId="50" borderId="116" xfId="54" applyFont="1" applyFill="1" applyBorder="1" applyAlignment="1" applyProtection="1">
      <alignment vertical="top" wrapText="1"/>
    </xf>
    <xf numFmtId="0" fontId="13" fillId="40" borderId="116" xfId="54" applyFill="1" applyBorder="1" applyProtection="1">
      <protection locked="0"/>
    </xf>
    <xf numFmtId="2" fontId="13" fillId="0" borderId="0" xfId="54" applyNumberFormat="1" applyFont="1" applyBorder="1" applyAlignment="1" applyProtection="1">
      <alignment horizontal="center"/>
      <protection locked="0"/>
    </xf>
    <xf numFmtId="0" fontId="13" fillId="0" borderId="0" xfId="54" applyFont="1" applyFill="1" applyBorder="1" applyAlignment="1" applyProtection="1">
      <alignment horizontal="right"/>
      <protection locked="0"/>
    </xf>
    <xf numFmtId="1" fontId="13" fillId="0" borderId="0" xfId="54" applyNumberFormat="1" applyFont="1" applyBorder="1" applyAlignment="1" applyProtection="1">
      <alignment horizontal="center"/>
      <protection locked="0"/>
    </xf>
    <xf numFmtId="0" fontId="13" fillId="0" borderId="0" xfId="54" applyFont="1" applyBorder="1" applyAlignment="1" applyProtection="1">
      <alignment horizontal="right"/>
      <protection locked="0"/>
    </xf>
    <xf numFmtId="165" fontId="13" fillId="0" borderId="0" xfId="54" applyNumberFormat="1" applyFont="1" applyBorder="1" applyAlignment="1" applyProtection="1">
      <alignment horizontal="center"/>
      <protection locked="0"/>
    </xf>
    <xf numFmtId="2" fontId="13" fillId="0" borderId="0" xfId="54" applyNumberFormat="1" applyFont="1" applyBorder="1" applyProtection="1">
      <protection locked="0"/>
    </xf>
    <xf numFmtId="0" fontId="13" fillId="0" borderId="0" xfId="54" applyFont="1" applyAlignment="1" applyProtection="1">
      <alignment horizontal="right"/>
      <protection locked="0"/>
    </xf>
    <xf numFmtId="1" fontId="13" fillId="0" borderId="0" xfId="54" applyNumberFormat="1" applyFont="1" applyAlignment="1" applyProtection="1">
      <alignment horizontal="center"/>
      <protection locked="0"/>
    </xf>
    <xf numFmtId="0" fontId="13" fillId="0" borderId="42" xfId="54" applyFont="1" applyBorder="1" applyProtection="1">
      <protection locked="0"/>
    </xf>
    <xf numFmtId="0" fontId="13" fillId="0" borderId="16" xfId="54" applyFont="1" applyBorder="1" applyProtection="1">
      <protection locked="0"/>
    </xf>
    <xf numFmtId="0" fontId="13" fillId="0" borderId="3" xfId="54" applyFont="1" applyBorder="1" applyAlignment="1" applyProtection="1">
      <alignment horizontal="right"/>
      <protection locked="0"/>
    </xf>
    <xf numFmtId="0" fontId="13" fillId="0" borderId="35" xfId="54" applyFont="1" applyBorder="1" applyProtection="1">
      <protection locked="0"/>
    </xf>
    <xf numFmtId="0" fontId="13" fillId="0" borderId="35" xfId="54" applyFont="1" applyBorder="1" applyAlignment="1" applyProtection="1">
      <alignment horizontal="right"/>
      <protection locked="0"/>
    </xf>
    <xf numFmtId="0" fontId="13" fillId="0" borderId="0" xfId="54" applyFont="1" applyAlignment="1" applyProtection="1">
      <protection locked="0"/>
    </xf>
    <xf numFmtId="0" fontId="13" fillId="0" borderId="1" xfId="54" applyFont="1" applyBorder="1" applyAlignment="1" applyProtection="1">
      <alignment horizontal="right"/>
      <protection locked="0"/>
    </xf>
    <xf numFmtId="0" fontId="13" fillId="0" borderId="0" xfId="54" applyFont="1" applyAlignment="1" applyProtection="1">
      <alignment horizontal="center"/>
      <protection locked="0"/>
    </xf>
    <xf numFmtId="166" fontId="118" fillId="0" borderId="0" xfId="54" applyNumberFormat="1" applyFont="1" applyFill="1" applyBorder="1" applyAlignment="1" applyProtection="1">
      <alignment horizontal="center"/>
      <protection locked="0"/>
    </xf>
    <xf numFmtId="0" fontId="118" fillId="0" borderId="0" xfId="54" applyFont="1" applyBorder="1" applyAlignment="1" applyProtection="1">
      <alignment horizontal="center" wrapText="1"/>
      <protection locked="0"/>
    </xf>
    <xf numFmtId="0" fontId="118" fillId="0" borderId="1" xfId="54" applyFont="1" applyBorder="1" applyAlignment="1" applyProtection="1">
      <alignment horizontal="center" wrapText="1"/>
      <protection locked="0"/>
    </xf>
    <xf numFmtId="0" fontId="118" fillId="0" borderId="0" xfId="54" applyFont="1" applyAlignment="1" applyProtection="1">
      <protection locked="0"/>
    </xf>
    <xf numFmtId="0" fontId="88" fillId="0" borderId="0" xfId="54" applyFont="1" applyProtection="1">
      <protection locked="0"/>
    </xf>
    <xf numFmtId="0" fontId="77" fillId="0" borderId="0" xfId="54" applyFont="1" applyProtection="1">
      <protection locked="0"/>
    </xf>
    <xf numFmtId="14" fontId="117" fillId="0" borderId="0" xfId="54" applyNumberFormat="1" applyFont="1" applyFill="1" applyAlignment="1" applyProtection="1">
      <alignment horizontal="left"/>
      <protection locked="0"/>
    </xf>
    <xf numFmtId="1" fontId="13" fillId="49" borderId="2" xfId="54" applyNumberFormat="1" applyFont="1" applyFill="1" applyBorder="1" applyAlignment="1" applyProtection="1">
      <alignment horizontal="center"/>
      <protection locked="0"/>
    </xf>
    <xf numFmtId="0" fontId="13" fillId="0" borderId="0" xfId="54" applyFont="1" applyFill="1" applyAlignment="1" applyProtection="1">
      <alignment horizontal="left" vertical="top"/>
      <protection locked="0"/>
    </xf>
    <xf numFmtId="0" fontId="13" fillId="43" borderId="35" xfId="54" applyFont="1" applyFill="1" applyBorder="1" applyAlignment="1" applyProtection="1">
      <alignment vertical="top" wrapText="1"/>
    </xf>
    <xf numFmtId="0" fontId="87" fillId="0" borderId="0" xfId="54" applyFont="1" applyFill="1" applyAlignment="1" applyProtection="1">
      <alignment horizontal="left" vertical="top" wrapText="1"/>
      <protection locked="0"/>
    </xf>
    <xf numFmtId="0" fontId="13" fillId="0" borderId="0" xfId="54" applyFont="1" applyFill="1" applyBorder="1" applyAlignment="1" applyProtection="1">
      <alignment horizontal="left" vertical="top"/>
      <protection locked="0"/>
    </xf>
    <xf numFmtId="0" fontId="13" fillId="40" borderId="0" xfId="54" applyFont="1" applyFill="1" applyBorder="1" applyAlignment="1" applyProtection="1">
      <alignment horizontal="center"/>
      <protection locked="0"/>
    </xf>
    <xf numFmtId="0" fontId="13" fillId="49" borderId="84" xfId="54" applyFont="1" applyFill="1" applyBorder="1" applyAlignment="1" applyProtection="1">
      <alignment horizontal="left" vertical="top" wrapText="1"/>
      <protection locked="0"/>
    </xf>
    <xf numFmtId="0" fontId="76" fillId="40" borderId="116" xfId="54" applyFont="1" applyFill="1" applyBorder="1" applyAlignment="1" applyProtection="1">
      <alignment vertical="center" textRotation="180" wrapText="1"/>
    </xf>
    <xf numFmtId="0" fontId="74" fillId="26" borderId="0" xfId="505" applyFont="1" applyFill="1" applyProtection="1"/>
    <xf numFmtId="0" fontId="12" fillId="26" borderId="0" xfId="505" applyFill="1" applyProtection="1"/>
    <xf numFmtId="0" fontId="3" fillId="0" borderId="30" xfId="0" applyNumberFormat="1" applyFont="1" applyFill="1" applyBorder="1" applyAlignment="1" applyProtection="1">
      <alignment horizontal="left" vertical="top" wrapText="1"/>
    </xf>
    <xf numFmtId="0" fontId="6" fillId="25" borderId="23" xfId="0" applyNumberFormat="1" applyFont="1" applyFill="1" applyBorder="1" applyAlignment="1" applyProtection="1">
      <alignment horizontal="center" vertical="center" wrapText="1"/>
    </xf>
    <xf numFmtId="0" fontId="5" fillId="25" borderId="23" xfId="0" applyNumberFormat="1" applyFont="1" applyFill="1" applyBorder="1" applyAlignment="1" applyProtection="1">
      <alignment horizontal="left" vertical="center" wrapText="1"/>
    </xf>
    <xf numFmtId="1" fontId="1" fillId="25" borderId="98" xfId="0" applyNumberFormat="1" applyFont="1" applyFill="1" applyBorder="1" applyAlignment="1">
      <alignment horizontal="center" vertical="center"/>
    </xf>
    <xf numFmtId="1" fontId="1" fillId="25" borderId="64" xfId="0" applyNumberFormat="1" applyFont="1" applyFill="1" applyBorder="1" applyAlignment="1">
      <alignment horizontal="center" vertical="center"/>
    </xf>
    <xf numFmtId="0" fontId="1" fillId="25" borderId="64" xfId="0" applyFont="1" applyFill="1" applyBorder="1" applyAlignment="1">
      <alignment horizontal="center" vertical="center"/>
    </xf>
    <xf numFmtId="167" fontId="1" fillId="25" borderId="64" xfId="0" applyNumberFormat="1" applyFont="1" applyFill="1" applyBorder="1" applyAlignment="1" applyProtection="1">
      <alignment horizontal="center" vertical="center"/>
      <protection locked="0"/>
    </xf>
    <xf numFmtId="0" fontId="1" fillId="25" borderId="64" xfId="0" applyNumberFormat="1" applyFont="1" applyFill="1" applyBorder="1" applyAlignment="1" applyProtection="1">
      <alignment horizontal="center" vertical="center"/>
      <protection locked="0"/>
    </xf>
    <xf numFmtId="170" fontId="1" fillId="25" borderId="64" xfId="1" applyNumberFormat="1" applyFont="1" applyFill="1" applyBorder="1" applyAlignment="1">
      <alignment horizontal="center" vertical="center"/>
    </xf>
    <xf numFmtId="2" fontId="1" fillId="25" borderId="64" xfId="0" applyNumberFormat="1" applyFont="1" applyFill="1" applyBorder="1" applyAlignment="1">
      <alignment horizontal="center" vertical="center"/>
    </xf>
    <xf numFmtId="44" fontId="1" fillId="25" borderId="64" xfId="53" applyFont="1" applyFill="1" applyBorder="1" applyAlignment="1">
      <alignment horizontal="center" vertical="center"/>
    </xf>
    <xf numFmtId="44" fontId="4" fillId="25" borderId="64" xfId="53" applyFont="1" applyFill="1" applyBorder="1" applyAlignment="1" applyProtection="1">
      <alignment horizontal="center" vertical="center" wrapText="1"/>
    </xf>
    <xf numFmtId="165" fontId="1" fillId="25" borderId="64" xfId="0" applyNumberFormat="1" applyFont="1" applyFill="1" applyBorder="1" applyAlignment="1">
      <alignment horizontal="center" vertical="center"/>
    </xf>
    <xf numFmtId="165" fontId="1" fillId="25" borderId="65" xfId="0" applyNumberFormat="1" applyFont="1" applyFill="1" applyBorder="1" applyAlignment="1">
      <alignment horizontal="center" vertical="center"/>
    </xf>
    <xf numFmtId="0" fontId="14" fillId="0" borderId="4" xfId="0" applyFont="1" applyBorder="1" applyAlignment="1">
      <alignment horizontal="center" wrapText="1"/>
    </xf>
    <xf numFmtId="9" fontId="5" fillId="25" borderId="29" xfId="0" applyNumberFormat="1" applyFont="1" applyFill="1" applyBorder="1" applyAlignment="1" applyProtection="1">
      <alignment horizontal="left" vertical="center" wrapText="1"/>
    </xf>
    <xf numFmtId="0" fontId="5" fillId="34" borderId="20" xfId="0" applyNumberFormat="1" applyFont="1" applyFill="1" applyBorder="1" applyAlignment="1" applyProtection="1">
      <alignment horizontal="left" vertical="center" wrapText="1"/>
    </xf>
    <xf numFmtId="1" fontId="1" fillId="34" borderId="98" xfId="0" applyNumberFormat="1" applyFont="1" applyFill="1" applyBorder="1" applyAlignment="1">
      <alignment horizontal="center" vertical="center"/>
    </xf>
    <xf numFmtId="44" fontId="1" fillId="34" borderId="99" xfId="53" applyFont="1" applyFill="1" applyBorder="1" applyAlignment="1">
      <alignment horizontal="center" vertical="center"/>
    </xf>
    <xf numFmtId="165" fontId="1" fillId="34" borderId="99" xfId="0" applyNumberFormat="1" applyFont="1" applyFill="1" applyBorder="1" applyAlignment="1">
      <alignment horizontal="center" vertical="center"/>
    </xf>
    <xf numFmtId="0" fontId="7" fillId="0" borderId="30" xfId="0" applyNumberFormat="1" applyFont="1" applyFill="1" applyBorder="1" applyAlignment="1" applyProtection="1">
      <alignment horizontal="center" vertical="center" wrapText="1"/>
    </xf>
    <xf numFmtId="0" fontId="7" fillId="0" borderId="18" xfId="0" applyNumberFormat="1" applyFont="1" applyFill="1" applyBorder="1" applyAlignment="1" applyProtection="1">
      <alignment horizontal="center" vertical="center" wrapText="1"/>
    </xf>
    <xf numFmtId="0" fontId="2" fillId="0" borderId="30"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27" borderId="30" xfId="0" applyFont="1" applyFill="1" applyBorder="1" applyAlignment="1" applyProtection="1">
      <alignment horizontal="center" vertical="center" wrapText="1"/>
      <protection locked="0"/>
    </xf>
    <xf numFmtId="0" fontId="2" fillId="0" borderId="30" xfId="0" applyNumberFormat="1" applyFont="1" applyFill="1" applyBorder="1" applyAlignment="1" applyProtection="1">
      <alignment horizontal="left" vertical="center" wrapText="1"/>
    </xf>
    <xf numFmtId="0" fontId="130" fillId="0" borderId="0" xfId="0" applyFont="1"/>
    <xf numFmtId="0" fontId="0" fillId="0" borderId="0" xfId="0" applyAlignment="1">
      <alignment wrapText="1"/>
    </xf>
    <xf numFmtId="0" fontId="0" fillId="25" borderId="1" xfId="0" applyFill="1" applyBorder="1" applyAlignment="1">
      <alignment horizontal="center"/>
    </xf>
    <xf numFmtId="0" fontId="2" fillId="27" borderId="18" xfId="0" applyFont="1" applyFill="1" applyBorder="1" applyAlignment="1" applyProtection="1">
      <alignment horizontal="center" vertical="center" wrapText="1"/>
      <protection locked="0"/>
    </xf>
    <xf numFmtId="0" fontId="2" fillId="25" borderId="18" xfId="0" applyNumberFormat="1" applyFont="1" applyFill="1" applyBorder="1" applyAlignment="1" applyProtection="1">
      <alignment horizontal="center" vertical="center" wrapText="1"/>
    </xf>
    <xf numFmtId="0" fontId="7" fillId="0" borderId="22" xfId="0" applyNumberFormat="1" applyFont="1" applyFill="1" applyBorder="1" applyAlignment="1" applyProtection="1">
      <alignment vertical="center" wrapText="1"/>
    </xf>
    <xf numFmtId="0" fontId="7" fillId="0" borderId="12" xfId="0" applyNumberFormat="1" applyFont="1" applyFill="1" applyBorder="1" applyAlignment="1" applyProtection="1">
      <alignment vertical="center" wrapText="1"/>
    </xf>
    <xf numFmtId="0" fontId="2" fillId="27" borderId="12" xfId="0" applyFont="1" applyFill="1" applyBorder="1" applyAlignment="1" applyProtection="1">
      <alignment horizontal="center" wrapText="1"/>
      <protection locked="0"/>
    </xf>
    <xf numFmtId="0" fontId="2" fillId="27" borderId="29" xfId="0" applyFont="1" applyFill="1" applyBorder="1" applyAlignment="1" applyProtection="1">
      <alignment vertical="center" wrapText="1"/>
      <protection locked="0"/>
    </xf>
    <xf numFmtId="0" fontId="2" fillId="27" borderId="13" xfId="0" applyFont="1" applyFill="1" applyBorder="1" applyAlignment="1" applyProtection="1">
      <alignment vertical="center" wrapText="1"/>
      <protection locked="0"/>
    </xf>
    <xf numFmtId="0" fontId="0" fillId="64" borderId="3" xfId="0" applyFont="1" applyFill="1" applyBorder="1" applyAlignment="1">
      <alignment horizontal="center" vertical="center"/>
    </xf>
    <xf numFmtId="165" fontId="0" fillId="25" borderId="3" xfId="0" applyNumberFormat="1" applyFont="1" applyFill="1" applyBorder="1" applyAlignment="1">
      <alignment horizontal="center" vertical="center"/>
    </xf>
    <xf numFmtId="0" fontId="32" fillId="0" borderId="0" xfId="54" applyFont="1" applyBorder="1"/>
    <xf numFmtId="0" fontId="132" fillId="65" borderId="23" xfId="44" applyFont="1" applyFill="1" applyBorder="1" applyAlignment="1">
      <alignment vertical="center"/>
    </xf>
    <xf numFmtId="0" fontId="46" fillId="65" borderId="21" xfId="44" applyFont="1" applyFill="1" applyBorder="1" applyAlignment="1">
      <alignment vertical="center"/>
    </xf>
    <xf numFmtId="0" fontId="46" fillId="65" borderId="24" xfId="44" applyFont="1" applyFill="1" applyBorder="1" applyAlignment="1">
      <alignment vertical="center"/>
    </xf>
    <xf numFmtId="0" fontId="32" fillId="0" borderId="19" xfId="44" applyFont="1" applyBorder="1"/>
    <xf numFmtId="0" fontId="32" fillId="0" borderId="70" xfId="44" applyFont="1" applyBorder="1"/>
    <xf numFmtId="0" fontId="32" fillId="0" borderId="46" xfId="44" applyFont="1" applyBorder="1"/>
    <xf numFmtId="0" fontId="32" fillId="0" borderId="36" xfId="44" applyFont="1" applyBorder="1"/>
    <xf numFmtId="0" fontId="32" fillId="0" borderId="0" xfId="44" applyFont="1" applyBorder="1"/>
    <xf numFmtId="0" fontId="32" fillId="0" borderId="47" xfId="44" applyFont="1" applyBorder="1"/>
    <xf numFmtId="0" fontId="47" fillId="0" borderId="36" xfId="44" applyFont="1" applyBorder="1"/>
    <xf numFmtId="0" fontId="32" fillId="0" borderId="0" xfId="54" applyFont="1" applyBorder="1" applyAlignment="1" applyProtection="1">
      <protection locked="0"/>
    </xf>
    <xf numFmtId="0" fontId="32" fillId="0" borderId="0" xfId="54" applyFont="1" applyFill="1" applyBorder="1" applyAlignment="1" applyProtection="1">
      <protection locked="0"/>
    </xf>
    <xf numFmtId="0" fontId="32" fillId="0" borderId="47" xfId="54" applyFont="1" applyFill="1" applyBorder="1" applyAlignment="1" applyProtection="1">
      <protection locked="0"/>
    </xf>
    <xf numFmtId="0" fontId="132" fillId="65" borderId="1" xfId="44" applyFont="1" applyFill="1" applyBorder="1" applyAlignment="1">
      <alignment horizontal="center" vertical="center"/>
    </xf>
    <xf numFmtId="0" fontId="32" fillId="0" borderId="11" xfId="44" applyFont="1" applyBorder="1"/>
    <xf numFmtId="44" fontId="32" fillId="0" borderId="35" xfId="2" applyNumberFormat="1" applyFont="1" applyBorder="1" applyProtection="1"/>
    <xf numFmtId="165" fontId="33" fillId="25" borderId="35" xfId="44" applyNumberFormat="1" applyFont="1" applyFill="1" applyBorder="1" applyAlignment="1" applyProtection="1">
      <alignment horizontal="center"/>
    </xf>
    <xf numFmtId="0" fontId="32" fillId="0" borderId="1" xfId="54" applyFont="1" applyBorder="1" applyAlignment="1" applyProtection="1">
      <protection locked="0"/>
    </xf>
    <xf numFmtId="175" fontId="32" fillId="0" borderId="34" xfId="2" applyNumberFormat="1" applyFont="1" applyBorder="1" applyAlignment="1" applyProtection="1"/>
    <xf numFmtId="0" fontId="33" fillId="0" borderId="7" xfId="44" applyFont="1" applyBorder="1"/>
    <xf numFmtId="44" fontId="33" fillId="31" borderId="35" xfId="2" applyNumberFormat="1" applyFont="1" applyFill="1" applyBorder="1" applyProtection="1"/>
    <xf numFmtId="0" fontId="32" fillId="0" borderId="7" xfId="44" applyFont="1" applyBorder="1"/>
    <xf numFmtId="0" fontId="46" fillId="0" borderId="0" xfId="44" applyFont="1" applyFill="1" applyBorder="1" applyAlignment="1">
      <alignment vertical="center"/>
    </xf>
    <xf numFmtId="0" fontId="32" fillId="0" borderId="0" xfId="54" applyFont="1" applyFill="1" applyBorder="1" applyAlignment="1"/>
    <xf numFmtId="0" fontId="32" fillId="0" borderId="89" xfId="44" applyFont="1" applyBorder="1"/>
    <xf numFmtId="9" fontId="32" fillId="0" borderId="35" xfId="52" applyFont="1" applyBorder="1" applyProtection="1"/>
    <xf numFmtId="0" fontId="32" fillId="0" borderId="86" xfId="54" applyFont="1" applyBorder="1"/>
    <xf numFmtId="0" fontId="32" fillId="0" borderId="7" xfId="44" applyFont="1" applyFill="1" applyBorder="1" applyAlignment="1">
      <alignment vertical="center" wrapText="1"/>
    </xf>
    <xf numFmtId="0" fontId="32" fillId="0" borderId="86" xfId="54" applyFont="1" applyFill="1" applyBorder="1" applyAlignment="1" applyProtection="1">
      <protection locked="0"/>
    </xf>
    <xf numFmtId="0" fontId="132" fillId="65" borderId="1" xfId="44" applyFont="1" applyFill="1" applyBorder="1" applyAlignment="1">
      <alignment horizontal="center" vertical="center" wrapText="1"/>
    </xf>
    <xf numFmtId="0" fontId="32" fillId="0" borderId="47" xfId="54" applyFont="1" applyBorder="1"/>
    <xf numFmtId="0" fontId="33" fillId="0" borderId="7" xfId="54" applyFont="1" applyFill="1" applyBorder="1" applyAlignment="1" applyProtection="1">
      <protection locked="0"/>
    </xf>
    <xf numFmtId="0" fontId="32" fillId="0" borderId="1" xfId="54" applyFont="1" applyBorder="1" applyAlignment="1" applyProtection="1">
      <alignment horizontal="center"/>
    </xf>
    <xf numFmtId="176" fontId="32" fillId="0" borderId="0" xfId="54" applyNumberFormat="1" applyFont="1" applyFill="1" applyBorder="1" applyAlignment="1"/>
    <xf numFmtId="0" fontId="32" fillId="0" borderId="7" xfId="54" applyFont="1" applyFill="1" applyBorder="1" applyAlignment="1" applyProtection="1">
      <alignment wrapText="1"/>
      <protection locked="0"/>
    </xf>
    <xf numFmtId="0" fontId="32" fillId="0" borderId="44" xfId="54" applyFont="1" applyFill="1" applyBorder="1" applyAlignment="1" applyProtection="1">
      <protection locked="0"/>
    </xf>
    <xf numFmtId="0" fontId="32" fillId="0" borderId="45" xfId="54" applyFont="1" applyFill="1" applyBorder="1" applyAlignment="1" applyProtection="1">
      <protection locked="0"/>
    </xf>
    <xf numFmtId="0" fontId="32" fillId="0" borderId="45" xfId="54" applyFont="1" applyBorder="1"/>
    <xf numFmtId="0" fontId="32" fillId="0" borderId="79" xfId="54" applyFont="1" applyFill="1" applyBorder="1" applyAlignment="1" applyProtection="1">
      <protection locked="0"/>
    </xf>
    <xf numFmtId="0" fontId="32" fillId="65" borderId="45" xfId="44" applyFont="1" applyFill="1" applyBorder="1"/>
    <xf numFmtId="0" fontId="32" fillId="65" borderId="79" xfId="44" applyFont="1" applyFill="1" applyBorder="1"/>
    <xf numFmtId="0" fontId="32" fillId="0" borderId="0" xfId="44" applyFont="1" applyBorder="1" applyAlignment="1">
      <alignment horizontal="right"/>
    </xf>
    <xf numFmtId="0" fontId="133" fillId="31" borderId="34" xfId="44" applyFont="1" applyFill="1" applyBorder="1" applyAlignment="1">
      <alignment horizontal="center"/>
    </xf>
    <xf numFmtId="0" fontId="134" fillId="0" borderId="119" xfId="44" applyFont="1" applyBorder="1" applyAlignment="1">
      <alignment horizontal="center"/>
    </xf>
    <xf numFmtId="0" fontId="134" fillId="0" borderId="120" xfId="44" applyFont="1" applyBorder="1" applyAlignment="1">
      <alignment horizontal="center"/>
    </xf>
    <xf numFmtId="0" fontId="134" fillId="0" borderId="122" xfId="44" applyFont="1" applyBorder="1" applyAlignment="1">
      <alignment horizontal="center"/>
    </xf>
    <xf numFmtId="0" fontId="134" fillId="0" borderId="123" xfId="44" applyFont="1" applyBorder="1" applyAlignment="1">
      <alignment horizontal="center"/>
    </xf>
    <xf numFmtId="175" fontId="32" fillId="0" borderId="1" xfId="2" applyNumberFormat="1" applyFont="1" applyBorder="1" applyAlignment="1">
      <alignment horizontal="center"/>
    </xf>
    <xf numFmtId="9" fontId="32" fillId="0" borderId="1" xfId="52" applyFont="1" applyBorder="1" applyAlignment="1">
      <alignment horizontal="center"/>
    </xf>
    <xf numFmtId="175" fontId="32" fillId="0" borderId="1" xfId="44" applyNumberFormat="1" applyFont="1" applyBorder="1" applyAlignment="1">
      <alignment horizontal="center"/>
    </xf>
    <xf numFmtId="9" fontId="32" fillId="0" borderId="34" xfId="52" applyFont="1" applyBorder="1" applyAlignment="1">
      <alignment horizontal="center"/>
    </xf>
    <xf numFmtId="0" fontId="32" fillId="0" borderId="20" xfId="54" applyFont="1" applyBorder="1" applyAlignment="1" applyProtection="1">
      <protection locked="0"/>
    </xf>
    <xf numFmtId="0" fontId="135" fillId="0" borderId="84" xfId="54" applyFont="1" applyBorder="1" applyAlignment="1" applyProtection="1">
      <protection locked="0"/>
    </xf>
    <xf numFmtId="0" fontId="32" fillId="0" borderId="84" xfId="54" applyFont="1" applyBorder="1" applyAlignment="1" applyProtection="1">
      <protection locked="0"/>
    </xf>
    <xf numFmtId="0" fontId="32" fillId="0" borderId="43" xfId="54" applyFont="1" applyBorder="1" applyAlignment="1" applyProtection="1">
      <protection locked="0"/>
    </xf>
    <xf numFmtId="0" fontId="32" fillId="0" borderId="47" xfId="54" applyFont="1" applyBorder="1" applyAlignment="1" applyProtection="1">
      <protection locked="0"/>
    </xf>
    <xf numFmtId="0" fontId="33" fillId="0" borderId="35" xfId="44" applyFont="1" applyBorder="1" applyAlignment="1">
      <alignment horizontal="center"/>
    </xf>
    <xf numFmtId="175" fontId="32" fillId="0" borderId="1" xfId="2" applyNumberFormat="1" applyFont="1" applyBorder="1" applyAlignment="1" applyProtection="1">
      <alignment horizontal="center"/>
      <protection locked="0"/>
    </xf>
    <xf numFmtId="0" fontId="136" fillId="65" borderId="21" xfId="54" applyFont="1" applyFill="1" applyBorder="1" applyAlignment="1" applyProtection="1">
      <protection locked="0"/>
    </xf>
    <xf numFmtId="0" fontId="136" fillId="65" borderId="24" xfId="54" applyFont="1" applyFill="1" applyBorder="1" applyAlignment="1" applyProtection="1">
      <protection locked="0"/>
    </xf>
    <xf numFmtId="0" fontId="32" fillId="0" borderId="19" xfId="54" applyFont="1" applyFill="1" applyBorder="1" applyAlignment="1" applyProtection="1">
      <protection locked="0"/>
    </xf>
    <xf numFmtId="0" fontId="32" fillId="0" borderId="70" xfId="54" applyFont="1" applyFill="1" applyBorder="1" applyAlignment="1" applyProtection="1">
      <protection locked="0"/>
    </xf>
    <xf numFmtId="0" fontId="33" fillId="0" borderId="70" xfId="496" applyFont="1" applyFill="1" applyBorder="1" applyAlignment="1" applyProtection="1">
      <alignment horizontal="center" vertical="center" wrapText="1"/>
      <protection hidden="1"/>
    </xf>
    <xf numFmtId="0" fontId="32" fillId="0" borderId="46" xfId="54" applyFont="1" applyFill="1" applyBorder="1" applyAlignment="1" applyProtection="1">
      <protection locked="0"/>
    </xf>
    <xf numFmtId="0" fontId="32" fillId="0" borderId="36" xfId="54" applyFont="1" applyFill="1" applyBorder="1" applyAlignment="1" applyProtection="1">
      <protection locked="0"/>
    </xf>
    <xf numFmtId="0" fontId="33" fillId="0" borderId="0" xfId="496" applyFont="1" applyFill="1" applyBorder="1" applyAlignment="1" applyProtection="1">
      <alignment horizontal="center" vertical="center" wrapText="1"/>
      <protection hidden="1"/>
    </xf>
    <xf numFmtId="0" fontId="33" fillId="0" borderId="1" xfId="496" applyFont="1" applyFill="1" applyBorder="1" applyAlignment="1" applyProtection="1">
      <alignment horizontal="center" vertical="center" wrapText="1"/>
      <protection hidden="1"/>
    </xf>
    <xf numFmtId="167" fontId="32" fillId="0" borderId="0" xfId="496" applyNumberFormat="1" applyFont="1" applyFill="1" applyBorder="1" applyAlignment="1" applyProtection="1">
      <alignment horizontal="center" vertical="center" wrapText="1"/>
      <protection hidden="1"/>
    </xf>
    <xf numFmtId="0" fontId="33" fillId="0" borderId="47" xfId="496" applyFont="1" applyFill="1" applyBorder="1" applyAlignment="1" applyProtection="1">
      <alignment horizontal="center" vertical="center" wrapText="1"/>
      <protection hidden="1"/>
    </xf>
    <xf numFmtId="0" fontId="33" fillId="0" borderId="7" xfId="54" applyFont="1" applyFill="1" applyBorder="1" applyAlignment="1" applyProtection="1">
      <alignment horizontal="left" vertical="center" wrapText="1"/>
      <protection locked="0"/>
    </xf>
    <xf numFmtId="167" fontId="32" fillId="0" borderId="1" xfId="496" applyNumberFormat="1" applyFont="1" applyFill="1" applyBorder="1" applyAlignment="1" applyProtection="1">
      <alignment horizontal="center" vertical="center" wrapText="1"/>
      <protection hidden="1"/>
    </xf>
    <xf numFmtId="0" fontId="33" fillId="0" borderId="7" xfId="496" applyFont="1" applyFill="1" applyBorder="1" applyAlignment="1" applyProtection="1">
      <alignment horizontal="left" vertical="center" wrapText="1"/>
      <protection hidden="1"/>
    </xf>
    <xf numFmtId="167" fontId="32" fillId="0" borderId="47" xfId="496" applyNumberFormat="1" applyFont="1" applyFill="1" applyBorder="1" applyAlignment="1" applyProtection="1">
      <alignment horizontal="center" vertical="center" wrapText="1"/>
      <protection hidden="1"/>
    </xf>
    <xf numFmtId="167" fontId="32" fillId="0" borderId="44" xfId="496" applyNumberFormat="1" applyFont="1" applyFill="1" applyBorder="1" applyAlignment="1" applyProtection="1">
      <alignment horizontal="center" vertical="center" wrapText="1"/>
      <protection hidden="1"/>
    </xf>
    <xf numFmtId="167" fontId="32" fillId="0" borderId="45" xfId="496" applyNumberFormat="1" applyFont="1" applyFill="1" applyBorder="1" applyAlignment="1" applyProtection="1">
      <alignment horizontal="center" vertical="center" wrapText="1"/>
      <protection hidden="1"/>
    </xf>
    <xf numFmtId="167" fontId="32" fillId="0" borderId="79" xfId="496" applyNumberFormat="1" applyFont="1" applyFill="1" applyBorder="1" applyAlignment="1" applyProtection="1">
      <alignment horizontal="center" vertical="center" wrapText="1"/>
      <protection hidden="1"/>
    </xf>
    <xf numFmtId="0" fontId="136" fillId="65" borderId="70" xfId="54" applyFont="1" applyFill="1" applyBorder="1" applyAlignment="1" applyProtection="1">
      <protection locked="0"/>
    </xf>
    <xf numFmtId="0" fontId="136" fillId="65" borderId="46" xfId="54" applyFont="1" applyFill="1" applyBorder="1" applyAlignment="1" applyProtection="1">
      <protection locked="0"/>
    </xf>
    <xf numFmtId="0" fontId="32" fillId="0" borderId="19" xfId="54" applyFont="1" applyBorder="1"/>
    <xf numFmtId="0" fontId="32" fillId="0" borderId="70" xfId="54" applyNumberFormat="1" applyFont="1" applyBorder="1"/>
    <xf numFmtId="0" fontId="32" fillId="0" borderId="70" xfId="54" applyFont="1" applyBorder="1"/>
    <xf numFmtId="0" fontId="32" fillId="0" borderId="46" xfId="54" applyFont="1" applyBorder="1"/>
    <xf numFmtId="0" fontId="32" fillId="0" borderId="36" xfId="54" applyFont="1" applyBorder="1" applyAlignment="1"/>
    <xf numFmtId="0" fontId="32" fillId="0" borderId="0" xfId="54" applyFont="1" applyBorder="1" applyAlignment="1">
      <alignment wrapText="1"/>
    </xf>
    <xf numFmtId="0" fontId="32" fillId="0" borderId="47" xfId="54" applyFont="1" applyBorder="1" applyAlignment="1">
      <alignment wrapText="1"/>
    </xf>
    <xf numFmtId="0" fontId="32" fillId="0" borderId="36" xfId="54" applyFont="1" applyFill="1" applyBorder="1" applyAlignment="1"/>
    <xf numFmtId="0" fontId="32" fillId="0" borderId="36" xfId="54" applyFont="1" applyBorder="1"/>
    <xf numFmtId="0" fontId="32" fillId="0" borderId="0" xfId="54" applyNumberFormat="1" applyFont="1" applyBorder="1"/>
    <xf numFmtId="0" fontId="32" fillId="0" borderId="7" xfId="54" applyFont="1" applyBorder="1"/>
    <xf numFmtId="0" fontId="32" fillId="2" borderId="1" xfId="54" applyNumberFormat="1" applyFont="1" applyFill="1" applyBorder="1"/>
    <xf numFmtId="0" fontId="32" fillId="0" borderId="7" xfId="54" applyFont="1" applyBorder="1" applyAlignment="1">
      <alignment wrapText="1"/>
    </xf>
    <xf numFmtId="175" fontId="32" fillId="2" borderId="1" xfId="54" applyNumberFormat="1" applyFont="1" applyFill="1" applyBorder="1"/>
    <xf numFmtId="44" fontId="32" fillId="2" borderId="1" xfId="2" applyFont="1" applyFill="1" applyBorder="1" applyAlignment="1" applyProtection="1"/>
    <xf numFmtId="0" fontId="32" fillId="0" borderId="1" xfId="54" applyFont="1" applyBorder="1"/>
    <xf numFmtId="170" fontId="32" fillId="2" borderId="1" xfId="54" applyNumberFormat="1" applyFont="1" applyFill="1" applyBorder="1"/>
    <xf numFmtId="44" fontId="32" fillId="2" borderId="1" xfId="2" applyFont="1" applyFill="1" applyBorder="1"/>
    <xf numFmtId="0" fontId="137" fillId="0" borderId="0" xfId="54" applyFont="1" applyBorder="1"/>
    <xf numFmtId="0" fontId="32" fillId="0" borderId="10" xfId="54" applyFont="1" applyBorder="1"/>
    <xf numFmtId="0" fontId="32" fillId="0" borderId="1" xfId="54" applyFont="1" applyFill="1" applyBorder="1" applyAlignment="1" applyProtection="1">
      <protection locked="0"/>
    </xf>
    <xf numFmtId="44" fontId="32" fillId="0" borderId="1" xfId="2" applyFont="1" applyBorder="1"/>
    <xf numFmtId="0" fontId="32" fillId="0" borderId="1" xfId="2" applyNumberFormat="1" applyFont="1" applyBorder="1"/>
    <xf numFmtId="0" fontId="32" fillId="0" borderId="44" xfId="54" applyFont="1" applyBorder="1"/>
    <xf numFmtId="0" fontId="32" fillId="0" borderId="79" xfId="54" applyFont="1" applyBorder="1"/>
    <xf numFmtId="44" fontId="32" fillId="0" borderId="1" xfId="2" applyFont="1" applyFill="1" applyBorder="1" applyAlignment="1" applyProtection="1"/>
    <xf numFmtId="0" fontId="138" fillId="0" borderId="0" xfId="54" applyFont="1" applyBorder="1"/>
    <xf numFmtId="44" fontId="32" fillId="0" borderId="0" xfId="2" applyFont="1" applyBorder="1"/>
    <xf numFmtId="0" fontId="136" fillId="66" borderId="23" xfId="0" applyFont="1" applyFill="1" applyBorder="1" applyAlignment="1">
      <alignment horizontal="center" vertical="center"/>
    </xf>
    <xf numFmtId="0" fontId="136" fillId="66" borderId="4" xfId="0" applyFont="1" applyFill="1" applyBorder="1" applyAlignment="1">
      <alignment horizontal="center" vertical="center"/>
    </xf>
    <xf numFmtId="0" fontId="32" fillId="0" borderId="0" xfId="0" applyFont="1" applyFill="1" applyBorder="1" applyAlignment="1" applyProtection="1">
      <alignment horizontal="right"/>
      <protection locked="0"/>
    </xf>
    <xf numFmtId="167" fontId="32" fillId="25" borderId="98" xfId="2" applyNumberFormat="1" applyFont="1" applyFill="1" applyBorder="1" applyAlignment="1" applyProtection="1">
      <alignment horizontal="center" vertical="center"/>
    </xf>
    <xf numFmtId="0" fontId="35" fillId="0" borderId="0" xfId="620"/>
    <xf numFmtId="0" fontId="2" fillId="32" borderId="116" xfId="0" applyFont="1" applyFill="1" applyBorder="1" applyAlignment="1" applyProtection="1">
      <alignment wrapText="1"/>
    </xf>
    <xf numFmtId="0" fontId="44" fillId="33" borderId="7" xfId="0" applyNumberFormat="1" applyFont="1" applyFill="1" applyBorder="1" applyAlignment="1" applyProtection="1">
      <alignment horizontal="center" vertical="center" wrapText="1"/>
    </xf>
    <xf numFmtId="0" fontId="2" fillId="32" borderId="10" xfId="0" applyFont="1" applyFill="1" applyBorder="1" applyAlignment="1" applyProtection="1">
      <alignment wrapText="1"/>
    </xf>
    <xf numFmtId="0" fontId="2" fillId="32" borderId="20" xfId="0" applyFont="1" applyFill="1" applyBorder="1" applyAlignment="1" applyProtection="1">
      <alignment wrapText="1"/>
    </xf>
    <xf numFmtId="0" fontId="2" fillId="32" borderId="15" xfId="0" applyFont="1" applyFill="1" applyBorder="1" applyAlignment="1" applyProtection="1">
      <alignment wrapText="1"/>
    </xf>
    <xf numFmtId="0" fontId="2" fillId="32" borderId="36" xfId="0" applyFont="1" applyFill="1" applyBorder="1" applyAlignment="1" applyProtection="1">
      <alignment wrapText="1"/>
    </xf>
    <xf numFmtId="167" fontId="32" fillId="33" borderId="63" xfId="44" applyNumberFormat="1" applyFont="1" applyFill="1" applyBorder="1" applyAlignment="1" applyProtection="1">
      <alignment horizontal="center" vertical="center"/>
    </xf>
    <xf numFmtId="44" fontId="1" fillId="32" borderId="116" xfId="53" applyFont="1" applyFill="1" applyBorder="1" applyAlignment="1">
      <alignment horizontal="center" vertical="center"/>
    </xf>
    <xf numFmtId="0" fontId="1" fillId="32" borderId="116" xfId="0" applyFont="1" applyFill="1" applyBorder="1" applyAlignment="1">
      <alignment vertical="center"/>
    </xf>
    <xf numFmtId="174" fontId="4" fillId="25" borderId="35" xfId="610" applyNumberFormat="1" applyFont="1" applyFill="1" applyBorder="1" applyAlignment="1" applyProtection="1">
      <alignment horizontal="center" vertical="center" wrapText="1"/>
    </xf>
    <xf numFmtId="174" fontId="4" fillId="25" borderId="1" xfId="610" applyNumberFormat="1" applyFont="1" applyFill="1" applyBorder="1" applyAlignment="1" applyProtection="1">
      <alignment horizontal="center" vertical="center" wrapText="1"/>
    </xf>
    <xf numFmtId="174" fontId="4" fillId="25" borderId="3" xfId="610" applyNumberFormat="1" applyFont="1" applyFill="1" applyBorder="1" applyAlignment="1" applyProtection="1">
      <alignment horizontal="center" vertical="center" wrapText="1"/>
    </xf>
    <xf numFmtId="174" fontId="4" fillId="25" borderId="9" xfId="610" applyNumberFormat="1" applyFont="1" applyFill="1" applyBorder="1" applyAlignment="1" applyProtection="1">
      <alignment horizontal="center" vertical="center" wrapText="1"/>
    </xf>
    <xf numFmtId="174" fontId="4" fillId="34" borderId="35" xfId="610" applyNumberFormat="1" applyFont="1" applyFill="1" applyBorder="1" applyAlignment="1" applyProtection="1">
      <alignment horizontal="center" vertical="center" wrapText="1"/>
    </xf>
    <xf numFmtId="174" fontId="4" fillId="34" borderId="1" xfId="610" applyNumberFormat="1" applyFont="1" applyFill="1" applyBorder="1" applyAlignment="1" applyProtection="1">
      <alignment horizontal="center" vertical="center" wrapText="1"/>
    </xf>
    <xf numFmtId="174" fontId="4" fillId="34" borderId="94" xfId="610" applyNumberFormat="1" applyFont="1" applyFill="1" applyBorder="1" applyAlignment="1" applyProtection="1">
      <alignment horizontal="center" vertical="center" wrapText="1"/>
    </xf>
    <xf numFmtId="174" fontId="4" fillId="25" borderId="6" xfId="610" applyNumberFormat="1" applyFont="1" applyFill="1" applyBorder="1" applyAlignment="1" applyProtection="1">
      <alignment horizontal="center" vertical="center" wrapText="1"/>
    </xf>
    <xf numFmtId="174" fontId="4" fillId="34" borderId="3" xfId="610" applyNumberFormat="1" applyFont="1" applyFill="1" applyBorder="1" applyAlignment="1" applyProtection="1">
      <alignment horizontal="center" vertical="center" wrapText="1"/>
    </xf>
    <xf numFmtId="174" fontId="4" fillId="25" borderId="64" xfId="610" applyNumberFormat="1" applyFont="1" applyFill="1" applyBorder="1" applyAlignment="1" applyProtection="1">
      <alignment horizontal="center" vertical="center" wrapText="1"/>
    </xf>
    <xf numFmtId="174" fontId="4" fillId="34" borderId="99" xfId="610" applyNumberFormat="1" applyFont="1" applyFill="1" applyBorder="1" applyAlignment="1" applyProtection="1">
      <alignment horizontal="center" vertical="center" wrapText="1"/>
    </xf>
    <xf numFmtId="174" fontId="1" fillId="25" borderId="35" xfId="610" applyNumberFormat="1" applyFont="1" applyFill="1" applyBorder="1" applyAlignment="1">
      <alignment horizontal="center" vertical="center"/>
    </xf>
    <xf numFmtId="174" fontId="1" fillId="25" borderId="3" xfId="610" applyNumberFormat="1" applyFont="1" applyFill="1" applyBorder="1" applyAlignment="1">
      <alignment horizontal="center" vertical="center"/>
    </xf>
    <xf numFmtId="174" fontId="4" fillId="25" borderId="48" xfId="610" applyNumberFormat="1" applyFont="1" applyFill="1" applyBorder="1" applyAlignment="1" applyProtection="1">
      <alignment horizontal="center" vertical="center" wrapText="1"/>
    </xf>
    <xf numFmtId="174" fontId="4" fillId="25" borderId="50" xfId="610" applyNumberFormat="1" applyFont="1" applyFill="1" applyBorder="1" applyAlignment="1" applyProtection="1">
      <alignment horizontal="center" vertical="center" wrapText="1"/>
    </xf>
    <xf numFmtId="174" fontId="1" fillId="34" borderId="6" xfId="610" applyNumberFormat="1" applyFont="1" applyFill="1" applyBorder="1" applyAlignment="1">
      <alignment horizontal="center" vertical="center"/>
    </xf>
    <xf numFmtId="174" fontId="1" fillId="34" borderId="50" xfId="610" applyNumberFormat="1" applyFont="1" applyFill="1" applyBorder="1" applyAlignment="1">
      <alignment horizontal="center" vertical="center"/>
    </xf>
    <xf numFmtId="174" fontId="1" fillId="25" borderId="6" xfId="610" applyNumberFormat="1" applyFont="1" applyFill="1" applyBorder="1" applyAlignment="1">
      <alignment horizontal="center" vertical="center"/>
    </xf>
    <xf numFmtId="174" fontId="1" fillId="0" borderId="1" xfId="610" applyNumberFormat="1" applyFont="1" applyBorder="1" applyAlignment="1">
      <alignment horizontal="center" vertical="center"/>
    </xf>
    <xf numFmtId="174" fontId="1" fillId="0" borderId="3" xfId="610" applyNumberFormat="1" applyFont="1" applyBorder="1" applyAlignment="1">
      <alignment horizontal="center" vertical="center"/>
    </xf>
    <xf numFmtId="9" fontId="32" fillId="0" borderId="1" xfId="1" applyFont="1" applyBorder="1" applyProtection="1"/>
    <xf numFmtId="0" fontId="132" fillId="65" borderId="44" xfId="44" applyFont="1" applyFill="1" applyBorder="1"/>
    <xf numFmtId="0" fontId="132" fillId="65" borderId="23" xfId="54" applyFont="1" applyFill="1" applyBorder="1" applyAlignment="1" applyProtection="1">
      <protection locked="0"/>
    </xf>
    <xf numFmtId="0" fontId="132" fillId="65" borderId="19" xfId="54" applyFont="1" applyFill="1" applyBorder="1" applyAlignment="1" applyProtection="1">
      <protection locked="0"/>
    </xf>
    <xf numFmtId="167" fontId="32" fillId="25" borderId="0" xfId="496" applyNumberFormat="1" applyFont="1" applyFill="1" applyBorder="1" applyAlignment="1" applyProtection="1">
      <alignment horizontal="center" vertical="center" wrapText="1"/>
      <protection hidden="1"/>
    </xf>
    <xf numFmtId="165" fontId="135" fillId="0" borderId="42" xfId="44" applyNumberFormat="1" applyFont="1" applyBorder="1" applyAlignment="1">
      <alignment horizontal="center"/>
    </xf>
    <xf numFmtId="0" fontId="135" fillId="0" borderId="42" xfId="44" applyFont="1" applyBorder="1" applyAlignment="1">
      <alignment horizontal="center"/>
    </xf>
    <xf numFmtId="175" fontId="135" fillId="0" borderId="124" xfId="2" applyNumberFormat="1" applyFont="1" applyBorder="1" applyAlignment="1">
      <alignment horizontal="center"/>
    </xf>
    <xf numFmtId="0" fontId="47" fillId="0" borderId="36" xfId="54" applyFont="1" applyBorder="1"/>
    <xf numFmtId="44" fontId="32" fillId="0" borderId="1" xfId="2" applyNumberFormat="1" applyFont="1" applyBorder="1"/>
    <xf numFmtId="167" fontId="147" fillId="0" borderId="0" xfId="496" applyNumberFormat="1" applyFont="1" applyFill="1" applyBorder="1" applyAlignment="1" applyProtection="1">
      <alignment horizontal="center" vertical="center" wrapText="1"/>
      <protection hidden="1"/>
    </xf>
    <xf numFmtId="0" fontId="147" fillId="0" borderId="0" xfId="54" applyFont="1" applyFill="1" applyBorder="1" applyAlignment="1" applyProtection="1">
      <protection locked="0"/>
    </xf>
    <xf numFmtId="167" fontId="147" fillId="25" borderId="0" xfId="486" applyNumberFormat="1" applyFont="1" applyFill="1" applyBorder="1" applyAlignment="1" applyProtection="1">
      <alignment horizontal="center"/>
      <protection hidden="1"/>
    </xf>
    <xf numFmtId="0" fontId="147" fillId="0" borderId="0" xfId="54" applyFont="1" applyFill="1" applyBorder="1" applyAlignment="1" applyProtection="1">
      <alignment vertical="center" wrapText="1"/>
      <protection locked="0"/>
    </xf>
    <xf numFmtId="167" fontId="147" fillId="0" borderId="133" xfId="496" applyNumberFormat="1" applyFont="1" applyFill="1" applyBorder="1" applyAlignment="1" applyProtection="1">
      <alignment horizontal="center" vertical="center" wrapText="1"/>
      <protection hidden="1"/>
    </xf>
    <xf numFmtId="167" fontId="147" fillId="0" borderId="134" xfId="496" applyNumberFormat="1" applyFont="1" applyFill="1" applyBorder="1" applyAlignment="1" applyProtection="1">
      <alignment horizontal="center" vertical="center" wrapText="1"/>
      <protection hidden="1"/>
    </xf>
    <xf numFmtId="167" fontId="147" fillId="0" borderId="135" xfId="496" applyNumberFormat="1" applyFont="1" applyFill="1" applyBorder="1" applyAlignment="1" applyProtection="1">
      <alignment horizontal="center" vertical="center" wrapText="1"/>
      <protection hidden="1"/>
    </xf>
    <xf numFmtId="167" fontId="147" fillId="0" borderId="136" xfId="496" applyNumberFormat="1" applyFont="1" applyFill="1" applyBorder="1" applyAlignment="1" applyProtection="1">
      <alignment horizontal="left" vertical="center" wrapText="1"/>
      <protection hidden="1"/>
    </xf>
    <xf numFmtId="167" fontId="147" fillId="0" borderId="137" xfId="496" applyNumberFormat="1" applyFont="1" applyFill="1" applyBorder="1" applyAlignment="1" applyProtection="1">
      <alignment horizontal="center" vertical="center" wrapText="1"/>
      <protection hidden="1"/>
    </xf>
    <xf numFmtId="167" fontId="147" fillId="0" borderId="138" xfId="496" applyNumberFormat="1" applyFont="1" applyFill="1" applyBorder="1" applyAlignment="1" applyProtection="1">
      <alignment horizontal="center" vertical="center" wrapText="1"/>
      <protection hidden="1"/>
    </xf>
    <xf numFmtId="167" fontId="147" fillId="25" borderId="137" xfId="486" applyNumberFormat="1" applyFont="1" applyFill="1" applyBorder="1" applyAlignment="1" applyProtection="1">
      <alignment horizontal="center"/>
      <protection hidden="1"/>
    </xf>
    <xf numFmtId="167" fontId="148" fillId="25" borderId="138" xfId="486" applyNumberFormat="1" applyFont="1" applyFill="1" applyBorder="1" applyAlignment="1" applyProtection="1">
      <alignment horizontal="left"/>
      <protection hidden="1"/>
    </xf>
    <xf numFmtId="0" fontId="147" fillId="0" borderId="137" xfId="54" applyFont="1" applyFill="1" applyBorder="1" applyAlignment="1" applyProtection="1">
      <protection locked="0"/>
    </xf>
    <xf numFmtId="0" fontId="147" fillId="0" borderId="137" xfId="54" applyFont="1" applyFill="1" applyBorder="1" applyAlignment="1" applyProtection="1">
      <alignment vertical="center" wrapText="1"/>
      <protection locked="0"/>
    </xf>
    <xf numFmtId="0" fontId="147" fillId="0" borderId="139" xfId="54" applyFont="1" applyFill="1" applyBorder="1" applyAlignment="1" applyProtection="1">
      <alignment vertical="center" wrapText="1"/>
      <protection locked="0"/>
    </xf>
    <xf numFmtId="0" fontId="147" fillId="0" borderId="140" xfId="54" applyFont="1" applyFill="1" applyBorder="1" applyAlignment="1" applyProtection="1">
      <alignment vertical="center" wrapText="1"/>
      <protection locked="0"/>
    </xf>
    <xf numFmtId="0" fontId="147" fillId="0" borderId="141" xfId="54" applyFont="1" applyFill="1" applyBorder="1" applyAlignment="1" applyProtection="1">
      <alignment vertical="center" wrapText="1"/>
      <protection locked="0"/>
    </xf>
    <xf numFmtId="167" fontId="32" fillId="42" borderId="142" xfId="496" applyNumberFormat="1" applyFont="1" applyFill="1" applyBorder="1" applyAlignment="1" applyProtection="1">
      <alignment horizontal="center" vertical="center" wrapText="1"/>
      <protection hidden="1"/>
    </xf>
    <xf numFmtId="167" fontId="32" fillId="42" borderId="143" xfId="496" applyNumberFormat="1" applyFont="1" applyFill="1" applyBorder="1" applyAlignment="1" applyProtection="1">
      <alignment horizontal="center" vertical="center" wrapText="1"/>
      <protection hidden="1"/>
    </xf>
    <xf numFmtId="167" fontId="32" fillId="42" borderId="144" xfId="496" applyNumberFormat="1" applyFont="1" applyFill="1" applyBorder="1" applyAlignment="1" applyProtection="1">
      <alignment horizontal="center" vertical="center" wrapText="1"/>
      <protection hidden="1"/>
    </xf>
    <xf numFmtId="167" fontId="32" fillId="42" borderId="145" xfId="496" applyNumberFormat="1" applyFont="1" applyFill="1" applyBorder="1" applyAlignment="1" applyProtection="1">
      <alignment horizontal="center" vertical="center" wrapText="1"/>
      <protection hidden="1"/>
    </xf>
    <xf numFmtId="167" fontId="32" fillId="42" borderId="146" xfId="496" applyNumberFormat="1" applyFont="1" applyFill="1" applyBorder="1" applyAlignment="1" applyProtection="1">
      <alignment horizontal="center" vertical="center" wrapText="1"/>
      <protection hidden="1"/>
    </xf>
    <xf numFmtId="167" fontId="32" fillId="42" borderId="147" xfId="496" applyNumberFormat="1" applyFont="1" applyFill="1" applyBorder="1" applyAlignment="1" applyProtection="1">
      <alignment horizontal="center" vertical="center" wrapText="1"/>
      <protection hidden="1"/>
    </xf>
    <xf numFmtId="167" fontId="148" fillId="25" borderId="132" xfId="44" applyNumberFormat="1" applyFont="1" applyFill="1" applyBorder="1" applyAlignment="1" applyProtection="1">
      <alignment horizontal="center" vertical="center"/>
    </xf>
    <xf numFmtId="0" fontId="147" fillId="0" borderId="0" xfId="54" applyFont="1" applyFill="1" applyBorder="1" applyAlignment="1" applyProtection="1"/>
    <xf numFmtId="0" fontId="147" fillId="0" borderId="136" xfId="54" applyFont="1" applyFill="1" applyBorder="1" applyAlignment="1" applyProtection="1"/>
    <xf numFmtId="175" fontId="147" fillId="0" borderId="132" xfId="2" applyNumberFormat="1" applyFont="1" applyFill="1" applyBorder="1" applyAlignment="1" applyProtection="1"/>
    <xf numFmtId="0" fontId="147" fillId="0" borderId="0" xfId="54" applyFont="1" applyFill="1" applyBorder="1" applyAlignment="1" applyProtection="1">
      <alignment vertical="center" wrapText="1"/>
    </xf>
    <xf numFmtId="0" fontId="147" fillId="0" borderId="138" xfId="54" applyFont="1" applyFill="1" applyBorder="1" applyAlignment="1" applyProtection="1"/>
    <xf numFmtId="0" fontId="148" fillId="0" borderId="132" xfId="54" applyFont="1" applyFill="1" applyBorder="1" applyAlignment="1" applyProtection="1">
      <alignment horizontal="center" vertical="center" wrapText="1"/>
    </xf>
    <xf numFmtId="44" fontId="147" fillId="0" borderId="132" xfId="53" applyFont="1" applyFill="1" applyBorder="1" applyAlignment="1" applyProtection="1">
      <alignment vertical="center" wrapText="1"/>
    </xf>
    <xf numFmtId="3" fontId="147" fillId="0" borderId="132" xfId="54" applyNumberFormat="1" applyFont="1" applyFill="1" applyBorder="1" applyAlignment="1" applyProtection="1">
      <alignment vertical="center" wrapText="1"/>
    </xf>
    <xf numFmtId="0" fontId="147" fillId="0" borderId="136" xfId="54" applyFont="1" applyFill="1" applyBorder="1" applyAlignment="1" applyProtection="1">
      <alignment vertical="center" wrapText="1"/>
    </xf>
    <xf numFmtId="0" fontId="34" fillId="27" borderId="18" xfId="0" applyNumberFormat="1" applyFont="1" applyFill="1" applyBorder="1" applyAlignment="1" applyProtection="1">
      <alignment horizontal="left" vertical="center" wrapText="1"/>
      <protection locked="0"/>
    </xf>
    <xf numFmtId="173" fontId="34" fillId="27" borderId="4" xfId="610" applyNumberFormat="1" applyFont="1" applyFill="1" applyBorder="1" applyAlignment="1" applyProtection="1">
      <alignment horizontal="left" vertical="center" wrapText="1"/>
      <protection locked="0"/>
    </xf>
    <xf numFmtId="0" fontId="61" fillId="2" borderId="45" xfId="0" applyFont="1" applyFill="1" applyBorder="1" applyAlignment="1">
      <alignment horizontal="center" vertical="center"/>
    </xf>
    <xf numFmtId="0" fontId="61" fillId="2" borderId="66" xfId="0" applyFont="1" applyFill="1" applyBorder="1" applyAlignment="1">
      <alignment horizontal="center" vertical="center"/>
    </xf>
    <xf numFmtId="177" fontId="32" fillId="2" borderId="1" xfId="2" applyNumberFormat="1" applyFont="1" applyFill="1" applyBorder="1"/>
    <xf numFmtId="0" fontId="0" fillId="0" borderId="1" xfId="0" applyFont="1" applyBorder="1" applyAlignment="1">
      <alignment horizontal="center"/>
    </xf>
    <xf numFmtId="0" fontId="2" fillId="0" borderId="116" xfId="0" applyNumberFormat="1" applyFont="1" applyFill="1" applyBorder="1" applyAlignment="1" applyProtection="1">
      <alignment horizontal="left" vertical="center" wrapText="1"/>
    </xf>
    <xf numFmtId="0" fontId="2" fillId="0" borderId="0" xfId="0" applyNumberFormat="1" applyFont="1" applyFill="1" applyBorder="1" applyAlignment="1" applyProtection="1">
      <alignment horizontal="left" vertical="center" wrapText="1"/>
    </xf>
    <xf numFmtId="0" fontId="1" fillId="2" borderId="21" xfId="0" applyFont="1" applyFill="1" applyBorder="1"/>
    <xf numFmtId="0" fontId="1" fillId="0" borderId="116" xfId="0" applyFont="1" applyBorder="1" applyAlignment="1"/>
    <xf numFmtId="0" fontId="1" fillId="0" borderId="2" xfId="0" applyFont="1" applyBorder="1" applyAlignment="1"/>
    <xf numFmtId="0" fontId="1" fillId="0" borderId="84" xfId="0" applyFont="1" applyBorder="1" applyAlignment="1"/>
    <xf numFmtId="0" fontId="1" fillId="0" borderId="148" xfId="0" applyFont="1" applyBorder="1" applyAlignment="1"/>
    <xf numFmtId="0" fontId="1" fillId="0" borderId="148" xfId="0" applyFont="1" applyBorder="1" applyAlignment="1">
      <alignment horizontal="left" vertical="center"/>
    </xf>
    <xf numFmtId="0" fontId="2" fillId="0" borderId="148" xfId="0" applyNumberFormat="1" applyFont="1" applyFill="1" applyBorder="1" applyAlignment="1" applyProtection="1">
      <alignment horizontal="left" vertical="top" wrapText="1"/>
    </xf>
    <xf numFmtId="0" fontId="1" fillId="0" borderId="2" xfId="0" applyFont="1" applyBorder="1"/>
    <xf numFmtId="0" fontId="1" fillId="0" borderId="84" xfId="0" applyFont="1" applyBorder="1"/>
    <xf numFmtId="0" fontId="4" fillId="25" borderId="51" xfId="0" applyNumberFormat="1" applyFont="1" applyFill="1" applyBorder="1" applyAlignment="1" applyProtection="1">
      <alignment vertical="center" wrapText="1"/>
    </xf>
    <xf numFmtId="0" fontId="1" fillId="2" borderId="81" xfId="0" applyFont="1" applyFill="1" applyBorder="1" applyAlignment="1">
      <alignment horizontal="left"/>
    </xf>
    <xf numFmtId="0" fontId="1" fillId="2" borderId="2" xfId="0" applyFont="1" applyFill="1" applyBorder="1" applyAlignment="1">
      <alignment horizontal="left"/>
    </xf>
    <xf numFmtId="0" fontId="1" fillId="2" borderId="82" xfId="0" applyFont="1" applyFill="1" applyBorder="1" applyAlignment="1">
      <alignment horizontal="left"/>
    </xf>
    <xf numFmtId="0" fontId="44" fillId="0" borderId="116" xfId="0" applyNumberFormat="1" applyFont="1" applyFill="1" applyBorder="1" applyAlignment="1" applyProtection="1">
      <alignment horizontal="left" vertical="center" wrapText="1"/>
    </xf>
    <xf numFmtId="0" fontId="44" fillId="0" borderId="2" xfId="0" applyNumberFormat="1" applyFont="1" applyFill="1" applyBorder="1" applyAlignment="1" applyProtection="1">
      <alignment horizontal="left" vertical="center" wrapText="1"/>
    </xf>
    <xf numFmtId="0" fontId="44" fillId="0" borderId="84" xfId="0" applyNumberFormat="1" applyFont="1" applyFill="1" applyBorder="1" applyAlignment="1" applyProtection="1">
      <alignment horizontal="left" vertical="center" wrapText="1"/>
    </xf>
    <xf numFmtId="0" fontId="0" fillId="2" borderId="23" xfId="0" applyFont="1" applyFill="1" applyBorder="1"/>
    <xf numFmtId="0" fontId="0" fillId="0" borderId="148" xfId="0" applyFont="1" applyBorder="1" applyAlignment="1"/>
    <xf numFmtId="0" fontId="10" fillId="2" borderId="21" xfId="0" applyFont="1" applyFill="1" applyBorder="1"/>
    <xf numFmtId="0" fontId="0" fillId="0" borderId="21" xfId="0" applyFont="1" applyBorder="1"/>
    <xf numFmtId="0" fontId="0" fillId="0" borderId="16" xfId="0" applyFont="1" applyBorder="1"/>
    <xf numFmtId="0" fontId="0" fillId="2" borderId="67" xfId="0" applyFont="1" applyFill="1" applyBorder="1"/>
    <xf numFmtId="0" fontId="10" fillId="2" borderId="42" xfId="0" applyFont="1" applyFill="1" applyBorder="1" applyAlignment="1">
      <alignment horizontal="left"/>
    </xf>
    <xf numFmtId="0" fontId="10" fillId="2" borderId="51" xfId="0" applyFont="1" applyFill="1" applyBorder="1" applyAlignment="1">
      <alignment horizontal="left"/>
    </xf>
    <xf numFmtId="0" fontId="6" fillId="2" borderId="81" xfId="0" applyFont="1" applyFill="1" applyBorder="1" applyAlignment="1">
      <alignment horizontal="left"/>
    </xf>
    <xf numFmtId="0" fontId="6" fillId="2" borderId="2" xfId="0" applyFont="1" applyFill="1" applyBorder="1" applyAlignment="1">
      <alignment horizontal="left"/>
    </xf>
    <xf numFmtId="0" fontId="6" fillId="2" borderId="82" xfId="0" applyFont="1" applyFill="1" applyBorder="1" applyAlignment="1">
      <alignment horizontal="left"/>
    </xf>
    <xf numFmtId="0" fontId="0" fillId="35" borderId="16" xfId="0" applyFont="1" applyFill="1" applyBorder="1" applyAlignment="1">
      <alignment horizontal="center"/>
    </xf>
    <xf numFmtId="0" fontId="0" fillId="0" borderId="16" xfId="0" applyFont="1" applyBorder="1" applyAlignment="1">
      <alignment horizontal="center"/>
    </xf>
    <xf numFmtId="0" fontId="0" fillId="0" borderId="28" xfId="0" applyFont="1" applyBorder="1" applyAlignment="1">
      <alignment horizontal="center"/>
    </xf>
    <xf numFmtId="0" fontId="10" fillId="2" borderId="99" xfId="0" applyFont="1" applyFill="1" applyBorder="1" applyAlignment="1">
      <alignment horizontal="center"/>
    </xf>
    <xf numFmtId="0" fontId="0" fillId="0" borderId="1" xfId="0" applyFont="1" applyBorder="1" applyAlignment="1">
      <alignment horizontal="center"/>
    </xf>
    <xf numFmtId="0" fontId="0" fillId="36" borderId="42" xfId="0" applyFont="1" applyFill="1" applyBorder="1" applyAlignment="1">
      <alignment horizontal="center"/>
    </xf>
    <xf numFmtId="0" fontId="0" fillId="25" borderId="1" xfId="0" applyFont="1" applyFill="1" applyBorder="1" applyAlignment="1">
      <alignment horizontal="center"/>
    </xf>
    <xf numFmtId="0" fontId="0" fillId="25" borderId="16" xfId="0" applyFont="1" applyFill="1" applyBorder="1" applyAlignment="1">
      <alignment horizontal="center"/>
    </xf>
    <xf numFmtId="0" fontId="0" fillId="35" borderId="28" xfId="0" applyFont="1" applyFill="1" applyBorder="1" applyAlignment="1">
      <alignment horizontal="center"/>
    </xf>
    <xf numFmtId="0" fontId="10" fillId="2" borderId="64" xfId="0" applyFont="1" applyFill="1" applyBorder="1" applyAlignment="1">
      <alignment horizontal="center"/>
    </xf>
    <xf numFmtId="0" fontId="1" fillId="0" borderId="7" xfId="0" applyFont="1" applyBorder="1"/>
    <xf numFmtId="165" fontId="0" fillId="0" borderId="35" xfId="0" applyNumberFormat="1" applyFont="1" applyFill="1" applyBorder="1" applyAlignment="1">
      <alignment horizontal="center"/>
    </xf>
    <xf numFmtId="0" fontId="2" fillId="0" borderId="116" xfId="0" applyNumberFormat="1" applyFont="1" applyFill="1" applyBorder="1" applyAlignment="1" applyProtection="1">
      <alignment horizontal="left" vertical="top" wrapText="1"/>
    </xf>
    <xf numFmtId="0" fontId="2" fillId="0" borderId="2" xfId="0" applyNumberFormat="1" applyFont="1" applyFill="1" applyBorder="1" applyAlignment="1" applyProtection="1">
      <alignment horizontal="left" vertical="top" wrapText="1"/>
    </xf>
    <xf numFmtId="0" fontId="1" fillId="0" borderId="116" xfId="0" applyFont="1" applyBorder="1"/>
    <xf numFmtId="0" fontId="0" fillId="25" borderId="28" xfId="0" applyFont="1" applyFill="1" applyBorder="1"/>
    <xf numFmtId="0" fontId="0" fillId="0" borderId="150" xfId="0" applyFont="1" applyBorder="1"/>
    <xf numFmtId="0" fontId="0" fillId="36" borderId="3" xfId="0" applyFont="1" applyFill="1" applyBorder="1" applyAlignment="1">
      <alignment horizontal="center"/>
    </xf>
    <xf numFmtId="0" fontId="0" fillId="25" borderId="3" xfId="0" applyFont="1" applyFill="1" applyBorder="1" applyAlignment="1">
      <alignment horizontal="center"/>
    </xf>
    <xf numFmtId="0" fontId="2" fillId="0" borderId="1" xfId="0" applyNumberFormat="1" applyFont="1" applyFill="1" applyBorder="1" applyAlignment="1" applyProtection="1">
      <alignment horizontal="left" vertical="top" wrapText="1"/>
    </xf>
    <xf numFmtId="0" fontId="2" fillId="0" borderId="35" xfId="0" applyNumberFormat="1" applyFont="1" applyFill="1" applyBorder="1" applyAlignment="1" applyProtection="1">
      <alignment horizontal="left" vertical="top" wrapText="1"/>
    </xf>
    <xf numFmtId="0" fontId="6" fillId="2" borderId="94" xfId="0" applyFont="1" applyFill="1" applyBorder="1"/>
    <xf numFmtId="0" fontId="10" fillId="2" borderId="94" xfId="0" applyFont="1" applyFill="1" applyBorder="1" applyAlignment="1">
      <alignment horizontal="center"/>
    </xf>
    <xf numFmtId="0" fontId="44" fillId="25" borderId="9" xfId="0" applyNumberFormat="1" applyFont="1" applyFill="1" applyBorder="1" applyAlignment="1" applyProtection="1">
      <alignment horizontal="left" vertical="center" wrapText="1"/>
    </xf>
    <xf numFmtId="0" fontId="10" fillId="2" borderId="69" xfId="0" applyFont="1" applyFill="1" applyBorder="1" applyAlignment="1">
      <alignment horizontal="center"/>
    </xf>
    <xf numFmtId="0" fontId="10" fillId="2" borderId="32" xfId="0" applyFont="1" applyFill="1" applyBorder="1" applyAlignment="1">
      <alignment horizontal="center" vertical="center" wrapText="1"/>
    </xf>
    <xf numFmtId="0" fontId="44" fillId="0" borderId="9" xfId="0" applyNumberFormat="1" applyFont="1" applyFill="1" applyBorder="1" applyAlignment="1" applyProtection="1">
      <alignment horizontal="center" wrapText="1"/>
    </xf>
    <xf numFmtId="0" fontId="0" fillId="0" borderId="150" xfId="0" applyFont="1" applyBorder="1" applyAlignment="1">
      <alignment horizontal="center"/>
    </xf>
    <xf numFmtId="0" fontId="0" fillId="0" borderId="16" xfId="0" applyFont="1" applyFill="1" applyBorder="1" applyAlignment="1">
      <alignment horizontal="center"/>
    </xf>
    <xf numFmtId="0" fontId="0" fillId="25" borderId="150" xfId="0" applyFont="1" applyFill="1" applyBorder="1" applyAlignment="1">
      <alignment horizontal="center"/>
    </xf>
    <xf numFmtId="165" fontId="0" fillId="0" borderId="16" xfId="0" applyNumberFormat="1" applyFont="1" applyBorder="1" applyAlignment="1">
      <alignment horizontal="center"/>
    </xf>
    <xf numFmtId="2" fontId="0" fillId="25" borderId="16" xfId="0" applyNumberFormat="1" applyFont="1" applyFill="1" applyBorder="1" applyAlignment="1">
      <alignment horizontal="center"/>
    </xf>
    <xf numFmtId="2" fontId="0" fillId="25" borderId="42" xfId="0" applyNumberFormat="1" applyFont="1" applyFill="1" applyBorder="1" applyAlignment="1">
      <alignment horizontal="center"/>
    </xf>
    <xf numFmtId="0" fontId="0" fillId="25" borderId="1" xfId="0" applyFont="1" applyFill="1" applyBorder="1" applyAlignment="1">
      <alignment horizontal="center"/>
    </xf>
    <xf numFmtId="0" fontId="0" fillId="25" borderId="16" xfId="0" applyFont="1" applyFill="1" applyBorder="1" applyAlignment="1">
      <alignment horizontal="center"/>
    </xf>
    <xf numFmtId="165" fontId="0" fillId="25" borderId="1" xfId="0" applyNumberFormat="1" applyFont="1" applyFill="1" applyBorder="1" applyAlignment="1">
      <alignment horizontal="center"/>
    </xf>
    <xf numFmtId="165" fontId="0" fillId="25" borderId="16" xfId="0" applyNumberFormat="1" applyFont="1" applyFill="1" applyBorder="1" applyAlignment="1">
      <alignment horizontal="center"/>
    </xf>
    <xf numFmtId="0" fontId="0" fillId="25" borderId="16" xfId="0" applyFont="1" applyFill="1" applyBorder="1" applyAlignment="1">
      <alignment horizontal="center" wrapText="1"/>
    </xf>
    <xf numFmtId="165" fontId="0" fillId="25" borderId="9" xfId="0" applyNumberFormat="1" applyFont="1" applyFill="1" applyBorder="1" applyAlignment="1">
      <alignment horizontal="center" vertical="center"/>
    </xf>
    <xf numFmtId="0" fontId="0" fillId="25" borderId="9" xfId="0" applyFont="1" applyFill="1" applyBorder="1" applyAlignment="1">
      <alignment horizontal="center" vertical="center"/>
    </xf>
    <xf numFmtId="2" fontId="0" fillId="25" borderId="148" xfId="0" applyNumberFormat="1" applyFont="1" applyFill="1" applyBorder="1" applyAlignment="1">
      <alignment horizontal="center"/>
    </xf>
    <xf numFmtId="2" fontId="0" fillId="25" borderId="150" xfId="0" applyNumberFormat="1" applyFont="1" applyFill="1" applyBorder="1" applyAlignment="1">
      <alignment horizontal="center"/>
    </xf>
    <xf numFmtId="0" fontId="0" fillId="25" borderId="116" xfId="0" applyFont="1" applyFill="1" applyBorder="1" applyAlignment="1"/>
    <xf numFmtId="0" fontId="1" fillId="25" borderId="2" xfId="0" applyFont="1" applyFill="1" applyBorder="1" applyAlignment="1"/>
    <xf numFmtId="0" fontId="0" fillId="25" borderId="2" xfId="0" applyFont="1" applyFill="1" applyBorder="1" applyAlignment="1"/>
    <xf numFmtId="0" fontId="0" fillId="25" borderId="84" xfId="0" applyFont="1" applyFill="1" applyBorder="1" applyAlignment="1"/>
    <xf numFmtId="0" fontId="0" fillId="25" borderId="1" xfId="0" applyFont="1" applyFill="1" applyBorder="1" applyAlignment="1">
      <alignment horizontal="left" vertical="center" wrapText="1"/>
    </xf>
    <xf numFmtId="0" fontId="0" fillId="2" borderId="0" xfId="0" applyFill="1" applyBorder="1" applyAlignment="1">
      <alignment horizontal="center"/>
    </xf>
    <xf numFmtId="0" fontId="0" fillId="0" borderId="1" xfId="0" applyFill="1" applyBorder="1" applyAlignment="1">
      <alignment horizontal="center"/>
    </xf>
    <xf numFmtId="0" fontId="7" fillId="0" borderId="17" xfId="0" applyNumberFormat="1" applyFont="1" applyFill="1" applyBorder="1" applyAlignment="1" applyProtection="1">
      <alignment horizontal="center" vertical="center" wrapText="1"/>
    </xf>
    <xf numFmtId="0" fontId="0" fillId="35" borderId="42" xfId="0" applyFont="1" applyFill="1" applyBorder="1" applyAlignment="1">
      <alignment horizontal="center"/>
    </xf>
    <xf numFmtId="0" fontId="0" fillId="25" borderId="1" xfId="0" applyFont="1" applyFill="1" applyBorder="1" applyAlignment="1">
      <alignment horizontal="center"/>
    </xf>
    <xf numFmtId="0" fontId="10" fillId="2" borderId="97" xfId="0" applyFont="1" applyFill="1" applyBorder="1" applyAlignment="1">
      <alignment horizontal="left" vertical="top" wrapText="1"/>
    </xf>
    <xf numFmtId="0" fontId="0" fillId="0" borderId="148" xfId="0" applyFont="1" applyFill="1" applyBorder="1" applyAlignment="1">
      <alignment wrapText="1"/>
    </xf>
    <xf numFmtId="0" fontId="1" fillId="27" borderId="116" xfId="0" applyFont="1" applyFill="1" applyBorder="1" applyAlignment="1" applyProtection="1">
      <alignment horizontal="center" vertical="center"/>
      <protection locked="0"/>
    </xf>
    <xf numFmtId="0" fontId="2" fillId="0" borderId="149" xfId="0" applyNumberFormat="1" applyFont="1" applyFill="1" applyBorder="1" applyAlignment="1" applyProtection="1">
      <alignment horizontal="center" vertical="center" wrapText="1"/>
    </xf>
    <xf numFmtId="0" fontId="1" fillId="0" borderId="148" xfId="0" applyFont="1" applyBorder="1" applyAlignment="1">
      <alignment horizontal="left" vertical="center" wrapText="1"/>
    </xf>
    <xf numFmtId="0" fontId="149" fillId="25" borderId="148" xfId="719" applyFill="1" applyBorder="1" applyAlignment="1">
      <alignment horizontal="left" vertical="center" wrapText="1"/>
    </xf>
    <xf numFmtId="165" fontId="0" fillId="0" borderId="7" xfId="0" applyNumberFormat="1" applyFont="1" applyBorder="1"/>
    <xf numFmtId="0" fontId="6" fillId="0" borderId="15" xfId="0" applyFont="1" applyBorder="1" applyAlignment="1">
      <alignment horizontal="left" vertical="center" wrapText="1"/>
    </xf>
    <xf numFmtId="1" fontId="1" fillId="0" borderId="85" xfId="0" applyNumberFormat="1" applyFont="1" applyBorder="1" applyAlignment="1">
      <alignment horizontal="center" vertical="center"/>
    </xf>
    <xf numFmtId="0" fontId="1" fillId="0" borderId="48" xfId="0" applyFont="1" applyBorder="1" applyAlignment="1">
      <alignment horizontal="center" vertical="center"/>
    </xf>
    <xf numFmtId="167" fontId="1" fillId="25" borderId="48" xfId="0" applyNumberFormat="1" applyFont="1" applyFill="1" applyBorder="1" applyAlignment="1" applyProtection="1">
      <alignment horizontal="center" vertical="center"/>
      <protection locked="0"/>
    </xf>
    <xf numFmtId="0" fontId="1" fillId="25" borderId="48" xfId="0" applyNumberFormat="1" applyFont="1" applyFill="1" applyBorder="1" applyAlignment="1" applyProtection="1">
      <alignment horizontal="center" vertical="center"/>
      <protection locked="0"/>
    </xf>
    <xf numFmtId="170" fontId="1" fillId="0" borderId="48" xfId="1" applyNumberFormat="1" applyFont="1" applyFill="1" applyBorder="1" applyAlignment="1">
      <alignment horizontal="center" vertical="center"/>
    </xf>
    <xf numFmtId="1" fontId="1" fillId="0" borderId="48" xfId="0" applyNumberFormat="1" applyFont="1" applyBorder="1" applyAlignment="1">
      <alignment horizontal="center" vertical="center"/>
    </xf>
    <xf numFmtId="44" fontId="1" fillId="0" borderId="48" xfId="53" applyFont="1" applyBorder="1" applyAlignment="1">
      <alignment horizontal="center" vertical="center"/>
    </xf>
    <xf numFmtId="165" fontId="1" fillId="0" borderId="48" xfId="0" applyNumberFormat="1" applyFont="1" applyBorder="1" applyAlignment="1">
      <alignment horizontal="center" vertical="center"/>
    </xf>
    <xf numFmtId="165" fontId="1" fillId="0" borderId="91" xfId="0" applyNumberFormat="1" applyFont="1" applyBorder="1" applyAlignment="1">
      <alignment horizontal="center" vertical="center"/>
    </xf>
    <xf numFmtId="0" fontId="14" fillId="0" borderId="18" xfId="0" applyFont="1" applyBorder="1" applyAlignment="1">
      <alignment horizontal="center" wrapText="1"/>
    </xf>
    <xf numFmtId="1" fontId="1" fillId="0" borderId="154" xfId="0" applyNumberFormat="1" applyFont="1" applyBorder="1" applyAlignment="1">
      <alignment horizontal="center" vertical="center"/>
    </xf>
    <xf numFmtId="0" fontId="1" fillId="0" borderId="131" xfId="0" applyFont="1" applyBorder="1" applyAlignment="1">
      <alignment horizontal="center" vertical="center"/>
    </xf>
    <xf numFmtId="167" fontId="1" fillId="25" borderId="131" xfId="0" applyNumberFormat="1" applyFont="1" applyFill="1" applyBorder="1" applyAlignment="1" applyProtection="1">
      <alignment horizontal="center" vertical="center"/>
      <protection locked="0"/>
    </xf>
    <xf numFmtId="0" fontId="1" fillId="25" borderId="131" xfId="0" applyNumberFormat="1" applyFont="1" applyFill="1" applyBorder="1" applyAlignment="1" applyProtection="1">
      <alignment horizontal="center" vertical="center"/>
      <protection locked="0"/>
    </xf>
    <xf numFmtId="170" fontId="1" fillId="0" borderId="131" xfId="1" applyNumberFormat="1" applyFont="1" applyFill="1" applyBorder="1" applyAlignment="1">
      <alignment horizontal="center" vertical="center"/>
    </xf>
    <xf numFmtId="2" fontId="1" fillId="25" borderId="131" xfId="0" applyNumberFormat="1" applyFont="1" applyFill="1" applyBorder="1" applyAlignment="1">
      <alignment horizontal="center" vertical="center"/>
    </xf>
    <xf numFmtId="1" fontId="1" fillId="0" borderId="131" xfId="0" applyNumberFormat="1" applyFont="1" applyBorder="1" applyAlignment="1">
      <alignment horizontal="center" vertical="center"/>
    </xf>
    <xf numFmtId="44" fontId="1" fillId="0" borderId="131" xfId="53" applyFont="1" applyBorder="1" applyAlignment="1">
      <alignment horizontal="center" vertical="center"/>
    </xf>
    <xf numFmtId="44" fontId="4" fillId="25" borderId="131" xfId="53" applyFont="1" applyFill="1" applyBorder="1" applyAlignment="1" applyProtection="1">
      <alignment horizontal="center" vertical="center" wrapText="1"/>
    </xf>
    <xf numFmtId="174" fontId="4" fillId="25" borderId="131" xfId="610" applyNumberFormat="1" applyFont="1" applyFill="1" applyBorder="1" applyAlignment="1" applyProtection="1">
      <alignment horizontal="center" vertical="center" wrapText="1"/>
    </xf>
    <xf numFmtId="165" fontId="1" fillId="0" borderId="131" xfId="0" applyNumberFormat="1" applyFont="1" applyBorder="1" applyAlignment="1">
      <alignment horizontal="center" vertical="center"/>
    </xf>
    <xf numFmtId="0" fontId="72" fillId="0" borderId="0" xfId="620" applyFont="1"/>
    <xf numFmtId="167" fontId="32" fillId="25" borderId="98" xfId="642" applyNumberFormat="1" applyFont="1" applyFill="1" applyBorder="1" applyAlignment="1" applyProtection="1">
      <alignment horizontal="center" vertical="center"/>
    </xf>
    <xf numFmtId="167" fontId="32" fillId="25" borderId="24" xfId="642" applyNumberFormat="1" applyFont="1" applyFill="1" applyBorder="1" applyAlignment="1" applyProtection="1">
      <alignment horizontal="center" vertical="center"/>
    </xf>
    <xf numFmtId="167" fontId="32" fillId="25" borderId="0" xfId="2" applyNumberFormat="1" applyFont="1" applyFill="1" applyBorder="1" applyAlignment="1" applyProtection="1">
      <alignment horizontal="center" vertical="center"/>
    </xf>
    <xf numFmtId="0" fontId="32" fillId="0" borderId="0" xfId="54" applyFont="1" applyFill="1" applyBorder="1"/>
    <xf numFmtId="0" fontId="72" fillId="0" borderId="0" xfId="620" applyFont="1" applyFill="1"/>
    <xf numFmtId="0" fontId="136" fillId="0" borderId="0" xfId="0" applyFont="1" applyFill="1" applyBorder="1" applyAlignment="1">
      <alignment horizontal="center" vertical="center"/>
    </xf>
    <xf numFmtId="167" fontId="32" fillId="0" borderId="0" xfId="2" applyNumberFormat="1" applyFont="1" applyFill="1" applyBorder="1" applyAlignment="1" applyProtection="1">
      <alignment horizontal="center" vertical="center"/>
    </xf>
    <xf numFmtId="0" fontId="35" fillId="0" borderId="0" xfId="620" applyFill="1"/>
    <xf numFmtId="0" fontId="32" fillId="0" borderId="0" xfId="0" applyFont="1" applyAlignment="1" applyProtection="1">
      <alignment horizontal="right"/>
      <protection locked="0"/>
    </xf>
    <xf numFmtId="0" fontId="2" fillId="2" borderId="45" xfId="0" applyNumberFormat="1" applyFont="1" applyFill="1" applyBorder="1" applyAlignment="1" applyProtection="1">
      <alignment horizontal="left" wrapText="1"/>
    </xf>
    <xf numFmtId="0" fontId="34" fillId="25" borderId="21" xfId="0" applyNumberFormat="1" applyFont="1" applyFill="1" applyBorder="1" applyAlignment="1" applyProtection="1">
      <alignment horizontal="right" vertical="center" wrapText="1"/>
    </xf>
    <xf numFmtId="0" fontId="0" fillId="2" borderId="45" xfId="0" applyFill="1" applyBorder="1"/>
    <xf numFmtId="0" fontId="45" fillId="2" borderId="44" xfId="0" applyFont="1" applyFill="1" applyBorder="1"/>
    <xf numFmtId="0" fontId="34" fillId="68" borderId="21" xfId="0" applyNumberFormat="1" applyFont="1" applyFill="1" applyBorder="1" applyAlignment="1" applyProtection="1">
      <alignment horizontal="right" vertical="center" wrapText="1"/>
    </xf>
    <xf numFmtId="0" fontId="34" fillId="68" borderId="24" xfId="0" applyNumberFormat="1" applyFont="1" applyFill="1" applyBorder="1" applyAlignment="1" applyProtection="1">
      <alignment horizontal="left" vertical="center" wrapText="1"/>
      <protection locked="0"/>
    </xf>
    <xf numFmtId="6" fontId="150" fillId="69" borderId="22" xfId="0" applyNumberFormat="1" applyFont="1" applyFill="1" applyBorder="1" applyAlignment="1">
      <alignment horizontal="center" vertical="center"/>
    </xf>
    <xf numFmtId="6" fontId="150" fillId="69" borderId="79" xfId="0" applyNumberFormat="1" applyFont="1" applyFill="1" applyBorder="1" applyAlignment="1">
      <alignment horizontal="center" vertical="center"/>
    </xf>
    <xf numFmtId="0" fontId="136" fillId="0" borderId="0" xfId="54" applyFont="1" applyBorder="1"/>
    <xf numFmtId="44" fontId="0" fillId="64" borderId="37" xfId="53" applyFont="1" applyFill="1" applyBorder="1"/>
    <xf numFmtId="0" fontId="1" fillId="32" borderId="156" xfId="0" applyFont="1" applyFill="1" applyBorder="1" applyAlignment="1">
      <alignment horizontal="center" vertical="center"/>
    </xf>
    <xf numFmtId="0" fontId="1" fillId="32" borderId="116" xfId="0" applyFont="1" applyFill="1" applyBorder="1" applyAlignment="1">
      <alignment horizontal="center" vertical="center"/>
    </xf>
    <xf numFmtId="44" fontId="2" fillId="0" borderId="48" xfId="53" applyFont="1" applyFill="1" applyBorder="1" applyAlignment="1" applyProtection="1">
      <alignment horizontal="center" vertical="center" wrapText="1"/>
    </xf>
    <xf numFmtId="44" fontId="2" fillId="25" borderId="155" xfId="53" applyFont="1" applyFill="1" applyBorder="1" applyAlignment="1" applyProtection="1">
      <alignment horizontal="center" vertical="center" wrapText="1"/>
    </xf>
    <xf numFmtId="44" fontId="4" fillId="34" borderId="35" xfId="0" applyNumberFormat="1" applyFont="1" applyFill="1" applyBorder="1" applyAlignment="1" applyProtection="1">
      <alignment horizontal="center" vertical="center" wrapText="1"/>
    </xf>
    <xf numFmtId="44" fontId="4" fillId="34" borderId="1" xfId="0" applyNumberFormat="1" applyFont="1" applyFill="1" applyBorder="1" applyAlignment="1" applyProtection="1">
      <alignment horizontal="center" vertical="center" wrapText="1"/>
    </xf>
    <xf numFmtId="44" fontId="2" fillId="25" borderId="9" xfId="0" applyNumberFormat="1" applyFont="1" applyFill="1" applyBorder="1" applyAlignment="1" applyProtection="1">
      <alignment horizontal="center" vertical="center" wrapText="1"/>
    </xf>
    <xf numFmtId="44" fontId="4" fillId="34" borderId="9" xfId="0" applyNumberFormat="1" applyFont="1" applyFill="1" applyBorder="1" applyAlignment="1" applyProtection="1">
      <alignment horizontal="center" vertical="center" wrapText="1"/>
    </xf>
    <xf numFmtId="44" fontId="1" fillId="25" borderId="1" xfId="53" applyFont="1" applyFill="1" applyBorder="1" applyAlignment="1">
      <alignment horizontal="center" vertical="center" wrapText="1"/>
    </xf>
    <xf numFmtId="44" fontId="1" fillId="25" borderId="9" xfId="53" applyFont="1" applyFill="1" applyBorder="1" applyAlignment="1">
      <alignment horizontal="center" vertical="center" wrapText="1"/>
    </xf>
    <xf numFmtId="44" fontId="1" fillId="34" borderId="35" xfId="53" applyFont="1" applyFill="1" applyBorder="1" applyAlignment="1">
      <alignment horizontal="center" vertical="center" wrapText="1"/>
    </xf>
    <xf numFmtId="44" fontId="1" fillId="34" borderId="1" xfId="53" applyFont="1" applyFill="1" applyBorder="1" applyAlignment="1">
      <alignment horizontal="center" vertical="center" wrapText="1"/>
    </xf>
    <xf numFmtId="44" fontId="1" fillId="34" borderId="155" xfId="53" applyFont="1" applyFill="1" applyBorder="1" applyAlignment="1">
      <alignment horizontal="center" vertical="center" wrapText="1"/>
    </xf>
    <xf numFmtId="44" fontId="1" fillId="25" borderId="64" xfId="0" applyNumberFormat="1" applyFont="1" applyFill="1" applyBorder="1" applyAlignment="1">
      <alignment horizontal="center" vertical="center" wrapText="1"/>
    </xf>
    <xf numFmtId="44" fontId="1" fillId="25" borderId="35" xfId="0" applyNumberFormat="1" applyFont="1" applyFill="1" applyBorder="1" applyAlignment="1">
      <alignment horizontal="center" vertical="center" wrapText="1"/>
    </xf>
    <xf numFmtId="44" fontId="1" fillId="25" borderId="9" xfId="0" applyNumberFormat="1" applyFont="1" applyFill="1" applyBorder="1" applyAlignment="1">
      <alignment horizontal="center" vertical="center" wrapText="1"/>
    </xf>
    <xf numFmtId="44" fontId="1" fillId="34" borderId="64" xfId="0" applyNumberFormat="1" applyFont="1" applyFill="1" applyBorder="1" applyAlignment="1">
      <alignment horizontal="center" vertical="center" wrapText="1"/>
    </xf>
    <xf numFmtId="44" fontId="1" fillId="25" borderId="155" xfId="0" applyNumberFormat="1" applyFont="1" applyFill="1" applyBorder="1" applyAlignment="1">
      <alignment horizontal="center" vertical="center" wrapText="1"/>
    </xf>
    <xf numFmtId="0" fontId="1" fillId="32" borderId="2" xfId="0" applyFont="1" applyFill="1" applyBorder="1" applyAlignment="1">
      <alignment horizontal="center" vertical="center" wrapText="1"/>
    </xf>
    <xf numFmtId="44" fontId="1" fillId="25" borderId="50" xfId="0" applyNumberFormat="1" applyFont="1" applyFill="1" applyBorder="1" applyAlignment="1">
      <alignment horizontal="center" vertical="center" wrapText="1"/>
    </xf>
    <xf numFmtId="44" fontId="1" fillId="0" borderId="1" xfId="0" applyNumberFormat="1" applyFont="1" applyBorder="1" applyAlignment="1">
      <alignment horizontal="center" vertical="center" wrapText="1"/>
    </xf>
    <xf numFmtId="44" fontId="1" fillId="0" borderId="48" xfId="0" applyNumberFormat="1" applyFont="1" applyBorder="1" applyAlignment="1">
      <alignment horizontal="center" vertical="center" wrapText="1"/>
    </xf>
    <xf numFmtId="44" fontId="1" fillId="25" borderId="1" xfId="0" applyNumberFormat="1" applyFont="1" applyFill="1" applyBorder="1" applyAlignment="1">
      <alignment horizontal="center" vertical="center"/>
    </xf>
    <xf numFmtId="44" fontId="1" fillId="25" borderId="1" xfId="0" applyNumberFormat="1" applyFont="1" applyFill="1" applyBorder="1" applyAlignment="1">
      <alignment horizontal="center" vertical="center" wrapText="1"/>
    </xf>
    <xf numFmtId="44" fontId="1" fillId="25" borderId="94" xfId="0" applyNumberFormat="1" applyFont="1" applyFill="1" applyBorder="1" applyAlignment="1">
      <alignment horizontal="center" vertical="center" wrapText="1"/>
    </xf>
    <xf numFmtId="44" fontId="1" fillId="34" borderId="9" xfId="53" applyFont="1" applyFill="1" applyBorder="1" applyAlignment="1">
      <alignment horizontal="center" vertical="center" wrapText="1"/>
    </xf>
    <xf numFmtId="44" fontId="1" fillId="25" borderId="35" xfId="53" applyFont="1" applyFill="1" applyBorder="1" applyAlignment="1">
      <alignment horizontal="center" vertical="center" wrapText="1"/>
    </xf>
    <xf numFmtId="44" fontId="5" fillId="2" borderId="22" xfId="0" applyNumberFormat="1" applyFont="1" applyFill="1" applyBorder="1" applyAlignment="1">
      <alignment horizontal="center" vertical="center"/>
    </xf>
    <xf numFmtId="0" fontId="1" fillId="32" borderId="152" xfId="0" applyFont="1" applyFill="1" applyBorder="1" applyAlignment="1">
      <alignment horizontal="center" vertical="center"/>
    </xf>
    <xf numFmtId="1" fontId="1" fillId="32" borderId="156" xfId="0" applyNumberFormat="1" applyFont="1" applyFill="1" applyBorder="1" applyAlignment="1">
      <alignment horizontal="center" vertical="center"/>
    </xf>
    <xf numFmtId="164" fontId="1" fillId="32" borderId="156" xfId="0" applyNumberFormat="1" applyFont="1" applyFill="1" applyBorder="1" applyAlignment="1" applyProtection="1">
      <alignment horizontal="center" vertical="center"/>
      <protection locked="0"/>
    </xf>
    <xf numFmtId="0" fontId="1" fillId="32" borderId="156" xfId="0" applyNumberFormat="1" applyFont="1" applyFill="1" applyBorder="1" applyAlignment="1" applyProtection="1">
      <alignment horizontal="center" vertical="center"/>
      <protection locked="0"/>
    </xf>
    <xf numFmtId="170" fontId="1" fillId="32" borderId="156" xfId="1" applyNumberFormat="1" applyFont="1" applyFill="1" applyBorder="1" applyAlignment="1">
      <alignment horizontal="center" vertical="center"/>
    </xf>
    <xf numFmtId="2" fontId="1" fillId="32" borderId="156" xfId="0" applyNumberFormat="1" applyFont="1" applyFill="1" applyBorder="1" applyAlignment="1">
      <alignment horizontal="center" vertical="center"/>
    </xf>
    <xf numFmtId="44" fontId="1" fillId="32" borderId="156" xfId="53" applyFont="1" applyFill="1" applyBorder="1" applyAlignment="1">
      <alignment horizontal="center" vertical="center"/>
    </xf>
    <xf numFmtId="165" fontId="1" fillId="32" borderId="156" xfId="0" applyNumberFormat="1" applyFont="1" applyFill="1" applyBorder="1" applyAlignment="1">
      <alignment horizontal="center" vertical="center"/>
    </xf>
    <xf numFmtId="165" fontId="1" fillId="32" borderId="153" xfId="0" applyNumberFormat="1" applyFont="1" applyFill="1" applyBorder="1" applyAlignment="1">
      <alignment horizontal="center" vertical="center"/>
    </xf>
    <xf numFmtId="0" fontId="14" fillId="32" borderId="151" xfId="0" applyFont="1" applyFill="1" applyBorder="1" applyAlignment="1">
      <alignment horizontal="center"/>
    </xf>
    <xf numFmtId="164" fontId="1" fillId="32" borderId="0" xfId="0" applyNumberFormat="1" applyFont="1" applyFill="1" applyBorder="1" applyAlignment="1" applyProtection="1">
      <alignment horizontal="center" vertical="center"/>
      <protection locked="0"/>
    </xf>
    <xf numFmtId="0" fontId="14" fillId="32" borderId="17" xfId="0" applyFont="1" applyFill="1" applyBorder="1" applyAlignment="1">
      <alignment horizontal="center"/>
    </xf>
    <xf numFmtId="170" fontId="1" fillId="32" borderId="0" xfId="1" applyNumberFormat="1" applyFont="1" applyFill="1" applyBorder="1" applyAlignment="1">
      <alignment horizontal="center" vertical="center"/>
    </xf>
    <xf numFmtId="44" fontId="1" fillId="27" borderId="1" xfId="0" applyNumberFormat="1" applyFont="1" applyFill="1" applyBorder="1" applyAlignment="1">
      <alignment horizontal="center" vertical="center" wrapText="1"/>
    </xf>
    <xf numFmtId="44" fontId="1" fillId="27" borderId="1" xfId="53" applyFont="1" applyFill="1" applyBorder="1" applyAlignment="1">
      <alignment horizontal="center" vertical="center" wrapText="1"/>
    </xf>
    <xf numFmtId="44" fontId="0" fillId="27" borderId="0" xfId="53" applyFont="1" applyFill="1" applyAlignment="1">
      <alignment horizontal="center" vertical="center" wrapText="1"/>
    </xf>
    <xf numFmtId="44" fontId="1" fillId="27" borderId="155" xfId="0" applyNumberFormat="1" applyFont="1" applyFill="1" applyBorder="1" applyAlignment="1">
      <alignment horizontal="center" vertical="center" wrapText="1"/>
    </xf>
    <xf numFmtId="44" fontId="1" fillId="27" borderId="9" xfId="53" applyFont="1" applyFill="1" applyBorder="1" applyAlignment="1">
      <alignment horizontal="center" vertical="center" wrapText="1"/>
    </xf>
    <xf numFmtId="44" fontId="1" fillId="27" borderId="155" xfId="53" applyFont="1" applyFill="1" applyBorder="1" applyAlignment="1">
      <alignment horizontal="center" vertical="center" wrapText="1"/>
    </xf>
    <xf numFmtId="0" fontId="85" fillId="40" borderId="19" xfId="54" applyFont="1" applyFill="1" applyBorder="1" applyAlignment="1" applyProtection="1">
      <alignment horizontal="justify" wrapText="1"/>
    </xf>
    <xf numFmtId="0" fontId="85" fillId="40" borderId="46" xfId="54" applyFont="1" applyFill="1" applyBorder="1" applyAlignment="1" applyProtection="1">
      <alignment horizontal="justify" wrapText="1"/>
    </xf>
    <xf numFmtId="0" fontId="85" fillId="27" borderId="36" xfId="54" applyFont="1" applyFill="1" applyBorder="1" applyAlignment="1" applyProtection="1">
      <alignment horizontal="left" wrapText="1"/>
    </xf>
    <xf numFmtId="0" fontId="85" fillId="27" borderId="47" xfId="54" applyFont="1" applyFill="1" applyBorder="1" applyAlignment="1" applyProtection="1">
      <alignment horizontal="left" wrapText="1"/>
    </xf>
    <xf numFmtId="0" fontId="85" fillId="40" borderId="86" xfId="54" applyFont="1" applyFill="1" applyBorder="1" applyAlignment="1" applyProtection="1">
      <alignment wrapText="1"/>
    </xf>
    <xf numFmtId="0" fontId="85" fillId="40" borderId="0" xfId="54" applyFont="1" applyFill="1" applyBorder="1" applyAlignment="1" applyProtection="1">
      <alignment wrapText="1"/>
    </xf>
    <xf numFmtId="0" fontId="6" fillId="25" borderId="46" xfId="0" applyFont="1" applyFill="1" applyBorder="1" applyAlignment="1">
      <alignment horizontal="center" vertical="top"/>
    </xf>
    <xf numFmtId="0" fontId="6" fillId="25" borderId="47" xfId="0" applyFont="1" applyFill="1" applyBorder="1" applyAlignment="1">
      <alignment horizontal="center" vertical="top"/>
    </xf>
    <xf numFmtId="0" fontId="6" fillId="25" borderId="79" xfId="0" applyFont="1" applyFill="1" applyBorder="1" applyAlignment="1">
      <alignment horizontal="center" vertical="top"/>
    </xf>
    <xf numFmtId="0" fontId="6" fillId="2" borderId="18" xfId="0" applyFont="1" applyFill="1" applyBorder="1" applyAlignment="1">
      <alignment horizontal="center" vertical="top" textRotation="90" wrapText="1"/>
    </xf>
    <xf numFmtId="0" fontId="6" fillId="2" borderId="17" xfId="0" applyFont="1" applyFill="1" applyBorder="1" applyAlignment="1">
      <alignment horizontal="center" vertical="top" textRotation="90" wrapText="1"/>
    </xf>
    <xf numFmtId="0" fontId="6" fillId="2" borderId="22" xfId="0" applyFont="1" applyFill="1" applyBorder="1" applyAlignment="1">
      <alignment horizontal="center" vertical="top" textRotation="90" wrapText="1"/>
    </xf>
    <xf numFmtId="0" fontId="2" fillId="32" borderId="19" xfId="0" applyFont="1" applyFill="1" applyBorder="1" applyAlignment="1" applyProtection="1">
      <alignment horizontal="center" wrapText="1"/>
    </xf>
    <xf numFmtId="0" fontId="2" fillId="32" borderId="70" xfId="0" applyFont="1" applyFill="1" applyBorder="1" applyAlignment="1" applyProtection="1">
      <alignment horizontal="center" wrapText="1"/>
    </xf>
    <xf numFmtId="0" fontId="2" fillId="32" borderId="46" xfId="0" applyFont="1" applyFill="1" applyBorder="1" applyAlignment="1" applyProtection="1">
      <alignment horizontal="center" wrapText="1"/>
    </xf>
    <xf numFmtId="0" fontId="2" fillId="32" borderId="36" xfId="0" applyFont="1" applyFill="1" applyBorder="1" applyAlignment="1" applyProtection="1">
      <alignment horizontal="center" wrapText="1"/>
    </xf>
    <xf numFmtId="0" fontId="2" fillId="32" borderId="0" xfId="0" applyFont="1" applyFill="1" applyBorder="1" applyAlignment="1" applyProtection="1">
      <alignment horizontal="center" wrapText="1"/>
    </xf>
    <xf numFmtId="0" fontId="2" fillId="32" borderId="47" xfId="0" applyFont="1" applyFill="1" applyBorder="1" applyAlignment="1" applyProtection="1">
      <alignment horizontal="center" wrapText="1"/>
    </xf>
    <xf numFmtId="0" fontId="2" fillId="32" borderId="44" xfId="0" applyFont="1" applyFill="1" applyBorder="1" applyAlignment="1" applyProtection="1">
      <alignment horizontal="center" wrapText="1"/>
    </xf>
    <xf numFmtId="0" fontId="2" fillId="32" borderId="45" xfId="0" applyFont="1" applyFill="1" applyBorder="1" applyAlignment="1" applyProtection="1">
      <alignment horizontal="center" wrapText="1"/>
    </xf>
    <xf numFmtId="0" fontId="2" fillId="32" borderId="79" xfId="0" applyFont="1" applyFill="1" applyBorder="1" applyAlignment="1" applyProtection="1">
      <alignment horizontal="center" wrapText="1"/>
    </xf>
    <xf numFmtId="0" fontId="34" fillId="25" borderId="19" xfId="0" applyNumberFormat="1" applyFont="1" applyFill="1" applyBorder="1" applyAlignment="1" applyProtection="1">
      <alignment horizontal="right" vertical="center" wrapText="1"/>
    </xf>
    <xf numFmtId="0" fontId="34" fillId="25" borderId="46" xfId="0" applyNumberFormat="1" applyFont="1" applyFill="1" applyBorder="1" applyAlignment="1" applyProtection="1">
      <alignment horizontal="right" vertical="center" wrapText="1"/>
    </xf>
    <xf numFmtId="0" fontId="34" fillId="25" borderId="23" xfId="0" applyNumberFormat="1" applyFont="1" applyFill="1" applyBorder="1" applyAlignment="1" applyProtection="1">
      <alignment horizontal="right" vertical="center" wrapText="1"/>
    </xf>
    <xf numFmtId="0" fontId="34" fillId="25" borderId="24" xfId="0" applyNumberFormat="1" applyFont="1" applyFill="1" applyBorder="1" applyAlignment="1" applyProtection="1">
      <alignment horizontal="right" vertical="center" wrapText="1"/>
    </xf>
    <xf numFmtId="0" fontId="2" fillId="25" borderId="42" xfId="0" applyNumberFormat="1" applyFont="1" applyFill="1" applyBorder="1" applyAlignment="1" applyProtection="1">
      <alignment horizontal="center" vertical="center" wrapText="1"/>
    </xf>
    <xf numFmtId="0" fontId="2" fillId="25" borderId="16" xfId="0" applyNumberFormat="1" applyFont="1" applyFill="1" applyBorder="1" applyAlignment="1" applyProtection="1">
      <alignment horizontal="center" vertical="center" wrapText="1"/>
    </xf>
    <xf numFmtId="0" fontId="5" fillId="2" borderId="18" xfId="0" applyNumberFormat="1" applyFont="1" applyFill="1" applyBorder="1" applyAlignment="1" applyProtection="1">
      <alignment horizontal="left" vertical="top" textRotation="90" wrapText="1"/>
    </xf>
    <xf numFmtId="0" fontId="5" fillId="2" borderId="17" xfId="0" applyNumberFormat="1" applyFont="1" applyFill="1" applyBorder="1" applyAlignment="1" applyProtection="1">
      <alignment horizontal="left" vertical="top" textRotation="90" wrapText="1"/>
    </xf>
    <xf numFmtId="0" fontId="5" fillId="0" borderId="17" xfId="0" applyNumberFormat="1" applyFont="1" applyFill="1" applyBorder="1" applyAlignment="1" applyProtection="1">
      <alignment horizontal="left" vertical="top" wrapText="1"/>
    </xf>
    <xf numFmtId="0" fontId="4" fillId="25" borderId="38" xfId="0" applyNumberFormat="1" applyFont="1" applyFill="1" applyBorder="1" applyAlignment="1" applyProtection="1">
      <alignment horizontal="center" vertical="center" wrapText="1"/>
    </xf>
    <xf numFmtId="0" fontId="4" fillId="25" borderId="33" xfId="0" applyNumberFormat="1" applyFont="1" applyFill="1" applyBorder="1" applyAlignment="1" applyProtection="1">
      <alignment horizontal="center" vertical="center" wrapText="1"/>
    </xf>
    <xf numFmtId="0" fontId="4" fillId="25" borderId="2" xfId="0" applyNumberFormat="1" applyFont="1" applyFill="1" applyBorder="1" applyAlignment="1" applyProtection="1">
      <alignment horizontal="center" vertical="center" wrapText="1"/>
    </xf>
    <xf numFmtId="0" fontId="2" fillId="25" borderId="31" xfId="0" applyNumberFormat="1" applyFont="1" applyFill="1" applyBorder="1" applyAlignment="1" applyProtection="1">
      <alignment horizontal="center" vertical="center" wrapText="1"/>
    </xf>
    <xf numFmtId="0" fontId="4" fillId="25" borderId="42" xfId="0" applyNumberFormat="1" applyFont="1" applyFill="1" applyBorder="1" applyAlignment="1" applyProtection="1">
      <alignment horizontal="center" vertical="center" wrapText="1"/>
    </xf>
    <xf numFmtId="0" fontId="2" fillId="25" borderId="34" xfId="0" applyNumberFormat="1" applyFont="1" applyFill="1" applyBorder="1" applyAlignment="1" applyProtection="1">
      <alignment horizontal="center" vertical="center" wrapText="1"/>
    </xf>
    <xf numFmtId="0" fontId="3" fillId="2" borderId="18" xfId="0" applyNumberFormat="1" applyFont="1" applyFill="1" applyBorder="1" applyAlignment="1" applyProtection="1">
      <alignment horizontal="center" vertical="top" textRotation="90" wrapText="1"/>
    </xf>
    <xf numFmtId="0" fontId="3" fillId="2" borderId="22" xfId="0" applyNumberFormat="1" applyFont="1" applyFill="1" applyBorder="1" applyAlignment="1" applyProtection="1">
      <alignment horizontal="center" vertical="top" textRotation="90" wrapText="1"/>
    </xf>
    <xf numFmtId="0" fontId="5" fillId="25" borderId="18" xfId="0" applyNumberFormat="1" applyFont="1" applyFill="1" applyBorder="1" applyAlignment="1" applyProtection="1">
      <alignment horizontal="left" vertical="top" wrapText="1"/>
    </xf>
    <xf numFmtId="0" fontId="5" fillId="25" borderId="22" xfId="0" applyNumberFormat="1" applyFont="1" applyFill="1" applyBorder="1" applyAlignment="1" applyProtection="1">
      <alignment horizontal="left" vertical="top" wrapText="1"/>
    </xf>
    <xf numFmtId="0" fontId="2" fillId="25" borderId="20" xfId="0" applyNumberFormat="1" applyFont="1" applyFill="1" applyBorder="1" applyAlignment="1" applyProtection="1">
      <alignment horizontal="center" vertical="center" wrapText="1"/>
    </xf>
    <xf numFmtId="0" fontId="2" fillId="25" borderId="43" xfId="0" applyNumberFormat="1" applyFont="1" applyFill="1" applyBorder="1" applyAlignment="1" applyProtection="1">
      <alignment horizontal="center" vertical="center" wrapText="1"/>
    </xf>
    <xf numFmtId="0" fontId="2" fillId="25" borderId="44" xfId="0" applyNumberFormat="1" applyFont="1" applyFill="1" applyBorder="1" applyAlignment="1" applyProtection="1">
      <alignment horizontal="center" vertical="center" wrapText="1"/>
    </xf>
    <xf numFmtId="0" fontId="2" fillId="25" borderId="79" xfId="0" applyNumberFormat="1" applyFont="1" applyFill="1" applyBorder="1" applyAlignment="1" applyProtection="1">
      <alignment horizontal="center" vertical="center" wrapText="1"/>
    </xf>
    <xf numFmtId="0" fontId="1" fillId="0" borderId="30" xfId="0" applyFont="1" applyBorder="1" applyAlignment="1">
      <alignment horizontal="left" vertical="center" wrapText="1"/>
    </xf>
    <xf numFmtId="0" fontId="1" fillId="0" borderId="22" xfId="0" applyFont="1" applyBorder="1" applyAlignment="1">
      <alignment horizontal="left" vertical="center" wrapText="1"/>
    </xf>
    <xf numFmtId="0" fontId="3" fillId="0" borderId="30" xfId="0" applyNumberFormat="1" applyFont="1" applyFill="1" applyBorder="1" applyAlignment="1" applyProtection="1">
      <alignment horizontal="left" vertical="top" wrapText="1"/>
    </xf>
    <xf numFmtId="0" fontId="3" fillId="0" borderId="22" xfId="0" applyNumberFormat="1" applyFont="1" applyFill="1" applyBorder="1" applyAlignment="1" applyProtection="1">
      <alignment horizontal="left" vertical="top" wrapText="1"/>
    </xf>
    <xf numFmtId="0" fontId="5" fillId="25" borderId="18" xfId="0" applyNumberFormat="1" applyFont="1" applyFill="1" applyBorder="1" applyAlignment="1" applyProtection="1">
      <alignment horizontal="center" vertical="top" wrapText="1"/>
    </xf>
    <xf numFmtId="0" fontId="5" fillId="25" borderId="17" xfId="0" applyNumberFormat="1" applyFont="1" applyFill="1" applyBorder="1" applyAlignment="1" applyProtection="1">
      <alignment horizontal="center" vertical="top" wrapText="1"/>
    </xf>
    <xf numFmtId="0" fontId="3" fillId="2" borderId="17" xfId="0" applyNumberFormat="1" applyFont="1" applyFill="1" applyBorder="1" applyAlignment="1" applyProtection="1">
      <alignment horizontal="center" vertical="top" textRotation="90" shrinkToFit="1"/>
    </xf>
    <xf numFmtId="0" fontId="3" fillId="2" borderId="22" xfId="0" applyNumberFormat="1" applyFont="1" applyFill="1" applyBorder="1" applyAlignment="1" applyProtection="1">
      <alignment horizontal="center" vertical="top" textRotation="90" shrinkToFit="1"/>
    </xf>
    <xf numFmtId="0" fontId="1" fillId="0" borderId="42" xfId="0" applyFont="1" applyBorder="1" applyAlignment="1">
      <alignment horizontal="center" vertical="center" wrapText="1"/>
    </xf>
    <xf numFmtId="0" fontId="1" fillId="0" borderId="16" xfId="0" applyFont="1" applyBorder="1" applyAlignment="1">
      <alignment horizontal="center" vertical="center" wrapText="1"/>
    </xf>
    <xf numFmtId="0" fontId="4" fillId="0" borderId="30" xfId="0" applyNumberFormat="1" applyFont="1" applyFill="1" applyBorder="1" applyAlignment="1" applyProtection="1">
      <alignment horizontal="left" vertical="center" wrapText="1"/>
    </xf>
    <xf numFmtId="0" fontId="4" fillId="0" borderId="22" xfId="0" applyNumberFormat="1" applyFont="1" applyFill="1" applyBorder="1" applyAlignment="1" applyProtection="1">
      <alignment horizontal="left" vertical="center" wrapText="1"/>
    </xf>
    <xf numFmtId="0" fontId="2" fillId="25" borderId="36" xfId="0" applyNumberFormat="1" applyFont="1" applyFill="1" applyBorder="1" applyAlignment="1" applyProtection="1">
      <alignment horizontal="center" vertical="center" wrapText="1"/>
    </xf>
    <xf numFmtId="0" fontId="2" fillId="25" borderId="47" xfId="0" applyNumberFormat="1" applyFont="1" applyFill="1" applyBorder="1" applyAlignment="1" applyProtection="1">
      <alignment horizontal="center" vertical="center" wrapText="1"/>
    </xf>
    <xf numFmtId="0" fontId="2" fillId="25" borderId="15" xfId="0" applyNumberFormat="1" applyFont="1" applyFill="1" applyBorder="1" applyAlignment="1" applyProtection="1">
      <alignment horizontal="center" vertical="center" wrapText="1"/>
    </xf>
    <xf numFmtId="0" fontId="2" fillId="25" borderId="33" xfId="0" applyNumberFormat="1" applyFont="1" applyFill="1" applyBorder="1" applyAlignment="1" applyProtection="1">
      <alignment horizontal="center" vertical="center" wrapText="1"/>
    </xf>
    <xf numFmtId="0" fontId="4" fillId="0" borderId="18" xfId="0" applyNumberFormat="1" applyFont="1" applyFill="1" applyBorder="1" applyAlignment="1" applyProtection="1">
      <alignment horizontal="left" vertical="center" wrapText="1"/>
    </xf>
    <xf numFmtId="0" fontId="4" fillId="0" borderId="17" xfId="0" applyNumberFormat="1" applyFont="1" applyFill="1" applyBorder="1" applyAlignment="1" applyProtection="1">
      <alignment horizontal="left" vertical="center" wrapText="1"/>
    </xf>
    <xf numFmtId="0" fontId="4" fillId="0" borderId="29" xfId="0" applyNumberFormat="1" applyFont="1" applyFill="1" applyBorder="1" applyAlignment="1" applyProtection="1">
      <alignment horizontal="left" vertical="center" wrapText="1"/>
    </xf>
    <xf numFmtId="0" fontId="4" fillId="0" borderId="30" xfId="0" applyNumberFormat="1" applyFont="1" applyFill="1" applyBorder="1" applyAlignment="1" applyProtection="1">
      <alignment horizontal="center" vertical="center" wrapText="1"/>
    </xf>
    <xf numFmtId="0" fontId="4" fillId="0" borderId="29" xfId="0" applyNumberFormat="1" applyFont="1" applyFill="1" applyBorder="1" applyAlignment="1" applyProtection="1">
      <alignment horizontal="center" vertical="center" wrapText="1"/>
    </xf>
    <xf numFmtId="0" fontId="4" fillId="25" borderId="20" xfId="0" applyNumberFormat="1" applyFont="1" applyFill="1" applyBorder="1" applyAlignment="1" applyProtection="1">
      <alignment horizontal="center" vertical="center" wrapText="1"/>
    </xf>
    <xf numFmtId="0" fontId="4" fillId="25" borderId="43" xfId="0" applyNumberFormat="1" applyFont="1" applyFill="1" applyBorder="1" applyAlignment="1" applyProtection="1">
      <alignment horizontal="center" vertical="center" wrapText="1"/>
    </xf>
    <xf numFmtId="0" fontId="4" fillId="25" borderId="15" xfId="0" applyNumberFormat="1" applyFont="1" applyFill="1" applyBorder="1" applyAlignment="1" applyProtection="1">
      <alignment horizontal="center" vertical="center" wrapText="1"/>
    </xf>
    <xf numFmtId="0" fontId="1" fillId="0" borderId="18" xfId="0" applyFont="1" applyBorder="1" applyAlignment="1">
      <alignment horizontal="left" vertical="center" wrapText="1"/>
    </xf>
    <xf numFmtId="0" fontId="1" fillId="0" borderId="149" xfId="0" applyFont="1" applyBorder="1" applyAlignment="1">
      <alignment horizontal="left" vertical="center" wrapText="1"/>
    </xf>
    <xf numFmtId="0" fontId="1" fillId="0" borderId="151" xfId="0" applyFont="1" applyBorder="1" applyAlignment="1">
      <alignment horizontal="left" vertical="center" wrapText="1"/>
    </xf>
    <xf numFmtId="0" fontId="4" fillId="0" borderId="19" xfId="0" applyNumberFormat="1" applyFont="1" applyFill="1" applyBorder="1" applyAlignment="1" applyProtection="1">
      <alignment horizontal="center" vertical="center" wrapText="1"/>
    </xf>
    <xf numFmtId="0" fontId="4" fillId="0" borderId="46" xfId="0" applyNumberFormat="1" applyFont="1" applyFill="1" applyBorder="1" applyAlignment="1" applyProtection="1">
      <alignment horizontal="center" vertical="center" wrapText="1"/>
    </xf>
    <xf numFmtId="0" fontId="4" fillId="0" borderId="15" xfId="0" applyNumberFormat="1" applyFont="1" applyFill="1" applyBorder="1" applyAlignment="1" applyProtection="1">
      <alignment horizontal="center" vertical="center" wrapText="1"/>
    </xf>
    <xf numFmtId="0" fontId="4" fillId="0" borderId="33" xfId="0" applyNumberFormat="1" applyFont="1" applyFill="1" applyBorder="1" applyAlignment="1" applyProtection="1">
      <alignment horizontal="center" vertical="center" wrapText="1"/>
    </xf>
    <xf numFmtId="0" fontId="4" fillId="0" borderId="152" xfId="0" applyNumberFormat="1" applyFont="1" applyFill="1" applyBorder="1" applyAlignment="1" applyProtection="1">
      <alignment horizontal="center" vertical="center" wrapText="1"/>
    </xf>
    <xf numFmtId="0" fontId="4" fillId="0" borderId="153" xfId="0" applyNumberFormat="1" applyFont="1" applyFill="1" applyBorder="1" applyAlignment="1" applyProtection="1">
      <alignment horizontal="center" vertical="center" wrapText="1"/>
    </xf>
    <xf numFmtId="0" fontId="5" fillId="2" borderId="18" xfId="0" applyNumberFormat="1" applyFont="1" applyFill="1" applyBorder="1" applyAlignment="1" applyProtection="1">
      <alignment horizontal="center" vertical="top" textRotation="90" wrapText="1"/>
    </xf>
    <xf numFmtId="0" fontId="5" fillId="2" borderId="22" xfId="0" applyNumberFormat="1" applyFont="1" applyFill="1" applyBorder="1" applyAlignment="1" applyProtection="1">
      <alignment horizontal="center" vertical="top" textRotation="90" wrapText="1"/>
    </xf>
    <xf numFmtId="0" fontId="5" fillId="0" borderId="18" xfId="0" applyNumberFormat="1" applyFont="1" applyFill="1" applyBorder="1" applyAlignment="1" applyProtection="1">
      <alignment horizontal="left" vertical="top" wrapText="1"/>
    </xf>
    <xf numFmtId="0" fontId="5" fillId="0" borderId="22" xfId="0" applyNumberFormat="1" applyFont="1" applyFill="1" applyBorder="1" applyAlignment="1" applyProtection="1">
      <alignment horizontal="left" vertical="top" wrapText="1"/>
    </xf>
    <xf numFmtId="0" fontId="1" fillId="25" borderId="2" xfId="0" applyFont="1" applyFill="1" applyBorder="1" applyAlignment="1">
      <alignment horizontal="center" vertical="center"/>
    </xf>
    <xf numFmtId="0" fontId="1" fillId="25" borderId="31" xfId="0" applyFont="1" applyFill="1" applyBorder="1" applyAlignment="1">
      <alignment horizontal="center" vertical="center"/>
    </xf>
    <xf numFmtId="0" fontId="2" fillId="0" borderId="18" xfId="0" applyNumberFormat="1" applyFont="1" applyFill="1" applyBorder="1" applyAlignment="1" applyProtection="1">
      <alignment horizontal="left" vertical="center" wrapText="1"/>
    </xf>
    <xf numFmtId="0" fontId="34" fillId="25" borderId="44" xfId="0" applyNumberFormat="1" applyFont="1" applyFill="1" applyBorder="1" applyAlignment="1" applyProtection="1">
      <alignment horizontal="right" vertical="center" wrapText="1"/>
    </xf>
    <xf numFmtId="0" fontId="34" fillId="25" borderId="79" xfId="0" applyNumberFormat="1" applyFont="1" applyFill="1" applyBorder="1" applyAlignment="1" applyProtection="1">
      <alignment horizontal="right" vertical="center" wrapText="1"/>
    </xf>
    <xf numFmtId="0" fontId="3" fillId="0" borderId="18" xfId="0" applyNumberFormat="1" applyFont="1" applyFill="1" applyBorder="1" applyAlignment="1" applyProtection="1">
      <alignment horizontal="center" vertical="top" wrapText="1"/>
    </xf>
    <xf numFmtId="0" fontId="5" fillId="0" borderId="17" xfId="0" applyNumberFormat="1" applyFont="1" applyFill="1" applyBorder="1" applyAlignment="1" applyProtection="1">
      <alignment horizontal="center" vertical="top" wrapText="1"/>
    </xf>
    <xf numFmtId="0" fontId="5" fillId="0" borderId="22" xfId="0" applyNumberFormat="1" applyFont="1" applyFill="1" applyBorder="1" applyAlignment="1" applyProtection="1">
      <alignment horizontal="center" vertical="top" wrapText="1"/>
    </xf>
    <xf numFmtId="0" fontId="2" fillId="2" borderId="23" xfId="0" applyNumberFormat="1" applyFont="1" applyFill="1" applyBorder="1" applyAlignment="1" applyProtection="1">
      <alignment horizontal="center" wrapText="1"/>
    </xf>
    <xf numFmtId="0" fontId="2" fillId="2" borderId="24" xfId="0" applyNumberFormat="1" applyFont="1" applyFill="1" applyBorder="1" applyAlignment="1" applyProtection="1">
      <alignment horizontal="center" wrapText="1"/>
    </xf>
    <xf numFmtId="0" fontId="4" fillId="25" borderId="31" xfId="0" applyNumberFormat="1" applyFont="1" applyFill="1" applyBorder="1" applyAlignment="1" applyProtection="1">
      <alignment horizontal="center" vertical="center" wrapText="1"/>
    </xf>
    <xf numFmtId="0" fontId="3" fillId="2" borderId="18" xfId="0" applyNumberFormat="1" applyFont="1" applyFill="1" applyBorder="1" applyAlignment="1" applyProtection="1">
      <alignment horizontal="left" vertical="top" textRotation="90" shrinkToFit="1"/>
    </xf>
    <xf numFmtId="0" fontId="3" fillId="2" borderId="17" xfId="0" applyNumberFormat="1" applyFont="1" applyFill="1" applyBorder="1" applyAlignment="1" applyProtection="1">
      <alignment horizontal="left" vertical="top" textRotation="90" shrinkToFit="1"/>
    </xf>
    <xf numFmtId="0" fontId="3" fillId="2" borderId="22" xfId="0" applyNumberFormat="1" applyFont="1" applyFill="1" applyBorder="1" applyAlignment="1" applyProtection="1">
      <alignment horizontal="left" vertical="top" textRotation="90" shrinkToFit="1"/>
    </xf>
    <xf numFmtId="0" fontId="2" fillId="27" borderId="10" xfId="0" applyNumberFormat="1" applyFont="1" applyFill="1" applyBorder="1" applyAlignment="1" applyProtection="1">
      <alignment horizontal="center" vertical="center" wrapText="1"/>
      <protection locked="0"/>
    </xf>
    <xf numFmtId="0" fontId="2" fillId="27" borderId="31" xfId="0" applyNumberFormat="1" applyFont="1" applyFill="1" applyBorder="1" applyAlignment="1" applyProtection="1">
      <alignment horizontal="center" vertical="center" wrapText="1"/>
      <protection locked="0"/>
    </xf>
    <xf numFmtId="0" fontId="2" fillId="0" borderId="10" xfId="0" applyNumberFormat="1" applyFont="1" applyFill="1" applyBorder="1" applyAlignment="1" applyProtection="1">
      <alignment horizontal="center" vertical="center" wrapText="1"/>
    </xf>
    <xf numFmtId="0" fontId="2" fillId="0" borderId="31"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horizontal="center" vertical="center" wrapText="1"/>
    </xf>
    <xf numFmtId="0" fontId="2" fillId="0" borderId="25"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16" xfId="0" applyNumberFormat="1" applyFont="1" applyFill="1" applyBorder="1" applyAlignment="1" applyProtection="1">
      <alignment horizontal="center" vertical="center" wrapText="1"/>
    </xf>
    <xf numFmtId="0" fontId="2" fillId="0" borderId="89" xfId="0" applyNumberFormat="1" applyFont="1" applyFill="1" applyBorder="1" applyAlignment="1" applyProtection="1">
      <alignment horizontal="center" vertical="center" wrapText="1"/>
    </xf>
    <xf numFmtId="0" fontId="2" fillId="0" borderId="28" xfId="0" applyNumberFormat="1" applyFont="1" applyFill="1" applyBorder="1" applyAlignment="1" applyProtection="1">
      <alignment horizontal="center" vertical="center" wrapText="1"/>
    </xf>
    <xf numFmtId="0" fontId="2" fillId="0" borderId="62" xfId="0" applyNumberFormat="1" applyFont="1" applyFill="1" applyBorder="1" applyAlignment="1" applyProtection="1">
      <alignment horizontal="center" vertical="center" wrapText="1"/>
    </xf>
    <xf numFmtId="0" fontId="2" fillId="0" borderId="83" xfId="0" applyNumberFormat="1" applyFont="1" applyFill="1" applyBorder="1" applyAlignment="1" applyProtection="1">
      <alignment horizontal="center" vertical="center" wrapText="1"/>
    </xf>
    <xf numFmtId="0" fontId="3" fillId="0" borderId="17" xfId="0" applyNumberFormat="1" applyFont="1" applyFill="1" applyBorder="1" applyAlignment="1" applyProtection="1">
      <alignment horizontal="left" vertical="top" wrapText="1"/>
    </xf>
    <xf numFmtId="0" fontId="2" fillId="25" borderId="10" xfId="0" applyNumberFormat="1" applyFont="1" applyFill="1" applyBorder="1" applyAlignment="1" applyProtection="1">
      <alignment horizontal="center" vertical="center" wrapText="1"/>
    </xf>
    <xf numFmtId="0" fontId="51" fillId="0" borderId="30" xfId="0" applyNumberFormat="1" applyFont="1" applyFill="1" applyBorder="1" applyAlignment="1" applyProtection="1">
      <alignment horizontal="center" vertical="center" wrapText="1"/>
    </xf>
    <xf numFmtId="0" fontId="51" fillId="0" borderId="22" xfId="0" applyNumberFormat="1" applyFont="1" applyFill="1" applyBorder="1" applyAlignment="1" applyProtection="1">
      <alignment horizontal="center" vertical="center" wrapText="1"/>
    </xf>
    <xf numFmtId="0" fontId="128" fillId="25" borderId="21" xfId="0" applyNumberFormat="1" applyFont="1" applyFill="1" applyBorder="1" applyAlignment="1" applyProtection="1">
      <alignment horizontal="center" wrapText="1"/>
    </xf>
    <xf numFmtId="0" fontId="7" fillId="0" borderId="18" xfId="0" applyNumberFormat="1" applyFont="1" applyFill="1" applyBorder="1" applyAlignment="1" applyProtection="1">
      <alignment horizontal="center" vertical="center" wrapText="1"/>
    </xf>
    <xf numFmtId="0" fontId="7" fillId="0" borderId="149" xfId="0" applyNumberFormat="1" applyFont="1" applyFill="1" applyBorder="1" applyAlignment="1" applyProtection="1">
      <alignment horizontal="center" vertical="center" wrapText="1"/>
    </xf>
    <xf numFmtId="0" fontId="4" fillId="25" borderId="84" xfId="0" applyNumberFormat="1" applyFont="1" applyFill="1" applyBorder="1" applyAlignment="1" applyProtection="1">
      <alignment horizontal="center" vertical="top" wrapText="1"/>
    </xf>
    <xf numFmtId="0" fontId="2" fillId="25" borderId="43" xfId="0" applyNumberFormat="1" applyFont="1" applyFill="1" applyBorder="1" applyAlignment="1" applyProtection="1">
      <alignment horizontal="center" vertical="top" wrapText="1"/>
    </xf>
    <xf numFmtId="0" fontId="2" fillId="25" borderId="45" xfId="0" applyNumberFormat="1" applyFont="1" applyFill="1" applyBorder="1" applyAlignment="1" applyProtection="1">
      <alignment horizontal="center" vertical="top" wrapText="1"/>
    </xf>
    <xf numFmtId="0" fontId="2" fillId="25" borderId="79" xfId="0" applyNumberFormat="1" applyFont="1" applyFill="1" applyBorder="1" applyAlignment="1" applyProtection="1">
      <alignment horizontal="center" vertical="top" wrapText="1"/>
    </xf>
    <xf numFmtId="0" fontId="8" fillId="2" borderId="23" xfId="0" applyFont="1" applyFill="1" applyBorder="1" applyAlignment="1">
      <alignment horizontal="center" wrapText="1"/>
    </xf>
    <xf numFmtId="0" fontId="8" fillId="2" borderId="21" xfId="0" applyFont="1" applyFill="1" applyBorder="1" applyAlignment="1">
      <alignment horizontal="center" wrapText="1"/>
    </xf>
    <xf numFmtId="0" fontId="8" fillId="2" borderId="24" xfId="0" applyFont="1" applyFill="1" applyBorder="1" applyAlignment="1">
      <alignment horizontal="center" wrapText="1"/>
    </xf>
    <xf numFmtId="0" fontId="5" fillId="2" borderId="17" xfId="0" applyNumberFormat="1" applyFont="1" applyFill="1" applyBorder="1" applyAlignment="1" applyProtection="1">
      <alignment horizontal="center" vertical="top" textRotation="90" wrapText="1"/>
    </xf>
    <xf numFmtId="0" fontId="3" fillId="0" borderId="15" xfId="0" applyNumberFormat="1" applyFont="1" applyFill="1" applyBorder="1" applyAlignment="1" applyProtection="1">
      <alignment vertical="top" wrapText="1"/>
    </xf>
    <xf numFmtId="0" fontId="3" fillId="0" borderId="10" xfId="0" applyNumberFormat="1" applyFont="1" applyFill="1" applyBorder="1" applyAlignment="1" applyProtection="1">
      <alignment vertical="top" wrapText="1"/>
    </xf>
    <xf numFmtId="0" fontId="3" fillId="0" borderId="13" xfId="0" applyNumberFormat="1" applyFont="1" applyFill="1" applyBorder="1" applyAlignment="1" applyProtection="1">
      <alignment horizontal="left" vertical="top" wrapText="1"/>
    </xf>
    <xf numFmtId="0" fontId="5" fillId="0" borderId="13" xfId="0" applyNumberFormat="1" applyFont="1" applyFill="1" applyBorder="1" applyAlignment="1" applyProtection="1">
      <alignment horizontal="left" vertical="top" wrapText="1"/>
    </xf>
    <xf numFmtId="0" fontId="5" fillId="0" borderId="10" xfId="0" applyNumberFormat="1" applyFont="1" applyFill="1" applyBorder="1" applyAlignment="1" applyProtection="1">
      <alignment horizontal="left" vertical="top" wrapText="1"/>
    </xf>
    <xf numFmtId="0" fontId="2" fillId="0" borderId="39" xfId="0" applyNumberFormat="1" applyFont="1" applyFill="1" applyBorder="1" applyAlignment="1" applyProtection="1">
      <alignment horizontal="center" vertical="center" wrapText="1"/>
    </xf>
    <xf numFmtId="0" fontId="2" fillId="0" borderId="27" xfId="0" applyNumberFormat="1" applyFont="1" applyFill="1" applyBorder="1" applyAlignment="1" applyProtection="1">
      <alignment horizontal="center" vertical="center" wrapText="1"/>
    </xf>
    <xf numFmtId="0" fontId="4" fillId="0" borderId="2" xfId="0" applyNumberFormat="1" applyFont="1" applyFill="1" applyBorder="1" applyAlignment="1" applyProtection="1">
      <alignment horizontal="center" vertical="center" wrapText="1"/>
    </xf>
    <xf numFmtId="0" fontId="4" fillId="0" borderId="31" xfId="0" applyNumberFormat="1" applyFont="1" applyFill="1" applyBorder="1" applyAlignment="1" applyProtection="1">
      <alignment horizontal="center" vertical="center" wrapText="1"/>
    </xf>
    <xf numFmtId="0" fontId="7" fillId="0" borderId="30" xfId="0" applyNumberFormat="1" applyFont="1" applyFill="1" applyBorder="1" applyAlignment="1" applyProtection="1">
      <alignment horizontal="center" vertical="center" wrapText="1"/>
    </xf>
    <xf numFmtId="0" fontId="7" fillId="0" borderId="22" xfId="0" applyNumberFormat="1" applyFont="1" applyFill="1" applyBorder="1" applyAlignment="1" applyProtection="1">
      <alignment horizontal="center" vertical="center" wrapText="1"/>
    </xf>
    <xf numFmtId="0" fontId="1" fillId="0" borderId="2" xfId="0" applyFont="1" applyBorder="1" applyAlignment="1">
      <alignment horizontal="center" vertical="center" wrapText="1"/>
    </xf>
    <xf numFmtId="0" fontId="1" fillId="0" borderId="31" xfId="0" applyFont="1" applyBorder="1" applyAlignment="1">
      <alignment horizontal="center" vertical="center" wrapText="1"/>
    </xf>
    <xf numFmtId="0" fontId="7" fillId="0" borderId="17" xfId="0" applyNumberFormat="1" applyFont="1" applyFill="1" applyBorder="1" applyAlignment="1" applyProtection="1">
      <alignment horizontal="center" vertical="center" wrapText="1"/>
    </xf>
    <xf numFmtId="0" fontId="7" fillId="0" borderId="29" xfId="0" applyNumberFormat="1" applyFont="1" applyFill="1" applyBorder="1" applyAlignment="1" applyProtection="1">
      <alignment horizontal="center" vertical="center" wrapText="1"/>
    </xf>
    <xf numFmtId="0" fontId="51" fillId="0" borderId="17" xfId="0" applyNumberFormat="1" applyFont="1" applyFill="1" applyBorder="1" applyAlignment="1" applyProtection="1">
      <alignment horizontal="center" vertical="center" wrapText="1"/>
    </xf>
    <xf numFmtId="0" fontId="51" fillId="0" borderId="29" xfId="0" applyNumberFormat="1" applyFont="1" applyFill="1" applyBorder="1" applyAlignment="1" applyProtection="1">
      <alignment horizontal="center" vertical="center" wrapText="1"/>
    </xf>
    <xf numFmtId="0" fontId="1" fillId="25" borderId="2" xfId="0" applyFont="1" applyFill="1" applyBorder="1" applyAlignment="1">
      <alignment horizontal="center" vertical="center" wrapText="1"/>
    </xf>
    <xf numFmtId="0" fontId="1" fillId="25" borderId="31" xfId="0" applyFont="1" applyFill="1" applyBorder="1" applyAlignment="1">
      <alignment horizontal="center" vertical="center" wrapText="1"/>
    </xf>
    <xf numFmtId="0" fontId="10" fillId="27" borderId="23" xfId="0" applyFont="1" applyFill="1" applyBorder="1" applyAlignment="1" applyProtection="1">
      <alignment horizontal="left" vertical="center"/>
      <protection locked="0"/>
    </xf>
    <xf numFmtId="0" fontId="10" fillId="27" borderId="24" xfId="0" applyFont="1" applyFill="1" applyBorder="1" applyAlignment="1" applyProtection="1">
      <alignment horizontal="left" vertical="center"/>
      <protection locked="0"/>
    </xf>
    <xf numFmtId="0" fontId="4" fillId="0" borderId="84" xfId="0" applyNumberFormat="1" applyFont="1" applyFill="1" applyBorder="1" applyAlignment="1" applyProtection="1">
      <alignment horizontal="center" vertical="center" wrapText="1"/>
    </xf>
    <xf numFmtId="0" fontId="4" fillId="0" borderId="43" xfId="0" applyNumberFormat="1" applyFont="1" applyFill="1" applyBorder="1" applyAlignment="1" applyProtection="1">
      <alignment horizontal="center" vertical="center" wrapText="1"/>
    </xf>
    <xf numFmtId="0" fontId="4" fillId="25" borderId="16" xfId="0" applyNumberFormat="1" applyFont="1" applyFill="1" applyBorder="1" applyAlignment="1" applyProtection="1">
      <alignment horizontal="center" vertical="center" wrapText="1"/>
    </xf>
    <xf numFmtId="0" fontId="2" fillId="0" borderId="20" xfId="0" applyNumberFormat="1" applyFont="1" applyFill="1" applyBorder="1" applyAlignment="1" applyProtection="1">
      <alignment horizontal="center" vertical="center" wrapText="1"/>
    </xf>
    <xf numFmtId="0" fontId="0" fillId="0" borderId="43" xfId="0" applyBorder="1" applyAlignment="1">
      <alignment horizontal="center" vertical="center"/>
    </xf>
    <xf numFmtId="0" fontId="1" fillId="0" borderId="39" xfId="0" applyFont="1" applyBorder="1" applyAlignment="1">
      <alignment horizontal="center" vertical="center" wrapText="1"/>
    </xf>
    <xf numFmtId="0" fontId="1" fillId="0" borderId="27" xfId="0" applyFont="1" applyBorder="1" applyAlignment="1">
      <alignment horizontal="center" vertical="center" wrapText="1"/>
    </xf>
    <xf numFmtId="0" fontId="2" fillId="27" borderId="7" xfId="0" applyNumberFormat="1" applyFont="1" applyFill="1" applyBorder="1" applyAlignment="1" applyProtection="1">
      <alignment horizontal="center" vertical="center" wrapText="1"/>
      <protection locked="0"/>
    </xf>
    <xf numFmtId="0" fontId="2" fillId="27" borderId="34" xfId="0" applyNumberFormat="1" applyFont="1" applyFill="1" applyBorder="1" applyAlignment="1" applyProtection="1">
      <alignment horizontal="center" vertical="center" wrapText="1"/>
      <protection locked="0"/>
    </xf>
    <xf numFmtId="0" fontId="7" fillId="25" borderId="18" xfId="0" applyNumberFormat="1" applyFont="1" applyFill="1" applyBorder="1" applyAlignment="1" applyProtection="1">
      <alignment horizontal="center" vertical="center" wrapText="1"/>
    </xf>
    <xf numFmtId="0" fontId="7" fillId="25" borderId="29" xfId="0" applyNumberFormat="1" applyFont="1" applyFill="1" applyBorder="1" applyAlignment="1" applyProtection="1">
      <alignment horizontal="center" vertical="center" wrapText="1"/>
    </xf>
    <xf numFmtId="0" fontId="3" fillId="2" borderId="17" xfId="0" applyNumberFormat="1" applyFont="1" applyFill="1" applyBorder="1" applyAlignment="1" applyProtection="1">
      <alignment horizontal="center" vertical="top" textRotation="90" wrapText="1"/>
    </xf>
    <xf numFmtId="0" fontId="5" fillId="0" borderId="29" xfId="0" applyNumberFormat="1" applyFont="1" applyFill="1" applyBorder="1" applyAlignment="1" applyProtection="1">
      <alignment horizontal="left" vertical="top" wrapText="1"/>
    </xf>
    <xf numFmtId="0" fontId="2" fillId="25" borderId="81" xfId="0" applyNumberFormat="1" applyFont="1" applyFill="1" applyBorder="1" applyAlignment="1" applyProtection="1">
      <alignment horizontal="center" vertical="center" wrapText="1"/>
    </xf>
    <xf numFmtId="0" fontId="2" fillId="25" borderId="80" xfId="0" applyNumberFormat="1" applyFont="1" applyFill="1" applyBorder="1" applyAlignment="1" applyProtection="1">
      <alignment horizontal="center" vertical="center" wrapText="1"/>
    </xf>
    <xf numFmtId="0" fontId="7" fillId="25" borderId="18" xfId="0" applyNumberFormat="1" applyFont="1" applyFill="1" applyBorder="1" applyAlignment="1" applyProtection="1">
      <alignment horizontal="left" vertical="center"/>
    </xf>
    <xf numFmtId="0" fontId="7" fillId="25" borderId="29" xfId="0" applyNumberFormat="1" applyFont="1" applyFill="1" applyBorder="1" applyAlignment="1" applyProtection="1">
      <alignment horizontal="left" vertical="center"/>
    </xf>
    <xf numFmtId="0" fontId="4" fillId="25" borderId="18" xfId="0" applyNumberFormat="1" applyFont="1" applyFill="1" applyBorder="1" applyAlignment="1" applyProtection="1">
      <alignment horizontal="left" vertical="center" wrapText="1"/>
    </xf>
    <xf numFmtId="0" fontId="4" fillId="25" borderId="22" xfId="0" applyNumberFormat="1" applyFont="1" applyFill="1" applyBorder="1" applyAlignment="1" applyProtection="1">
      <alignment horizontal="left" vertical="center" wrapText="1"/>
    </xf>
    <xf numFmtId="0" fontId="4" fillId="25" borderId="12" xfId="0" applyNumberFormat="1" applyFont="1" applyFill="1" applyBorder="1" applyAlignment="1" applyProtection="1">
      <alignment horizontal="center" vertical="center" wrapText="1"/>
    </xf>
    <xf numFmtId="0" fontId="4" fillId="25" borderId="13" xfId="0" applyNumberFormat="1" applyFont="1" applyFill="1" applyBorder="1" applyAlignment="1" applyProtection="1">
      <alignment horizontal="center" vertical="center" wrapText="1"/>
    </xf>
    <xf numFmtId="0" fontId="4" fillId="25" borderId="5" xfId="0" applyNumberFormat="1" applyFont="1" applyFill="1" applyBorder="1" applyAlignment="1" applyProtection="1">
      <alignment horizontal="center" vertical="center" wrapText="1"/>
    </xf>
    <xf numFmtId="0" fontId="4" fillId="25" borderId="49" xfId="0" applyNumberFormat="1" applyFont="1" applyFill="1" applyBorder="1" applyAlignment="1" applyProtection="1">
      <alignment horizontal="center" vertical="center" wrapText="1"/>
    </xf>
    <xf numFmtId="0" fontId="4" fillId="25" borderId="7" xfId="0" applyNumberFormat="1" applyFont="1" applyFill="1" applyBorder="1" applyAlignment="1" applyProtection="1">
      <alignment horizontal="center" vertical="center" wrapText="1"/>
    </xf>
    <xf numFmtId="0" fontId="4" fillId="25" borderId="34" xfId="0" applyNumberFormat="1" applyFont="1" applyFill="1" applyBorder="1" applyAlignment="1" applyProtection="1">
      <alignment horizontal="center" vertical="center" wrapText="1"/>
    </xf>
    <xf numFmtId="0" fontId="2" fillId="0" borderId="17" xfId="0" applyNumberFormat="1" applyFont="1" applyFill="1" applyBorder="1" applyAlignment="1" applyProtection="1">
      <alignment horizontal="left" vertical="center" wrapText="1"/>
    </xf>
    <xf numFmtId="0" fontId="2" fillId="0" borderId="29" xfId="0" applyNumberFormat="1" applyFont="1" applyFill="1" applyBorder="1" applyAlignment="1" applyProtection="1">
      <alignment horizontal="left" vertical="center" wrapText="1"/>
    </xf>
    <xf numFmtId="0" fontId="2" fillId="25" borderId="2" xfId="0" applyNumberFormat="1" applyFont="1" applyFill="1" applyBorder="1" applyAlignment="1" applyProtection="1">
      <alignment horizontal="center" vertical="center" wrapText="1"/>
    </xf>
    <xf numFmtId="0" fontId="4" fillId="25" borderId="19" xfId="0" applyNumberFormat="1" applyFont="1" applyFill="1" applyBorder="1" applyAlignment="1" applyProtection="1">
      <alignment horizontal="center" vertical="center" wrapText="1"/>
    </xf>
    <xf numFmtId="0" fontId="4" fillId="25" borderId="46" xfId="0" applyNumberFormat="1" applyFont="1" applyFill="1" applyBorder="1" applyAlignment="1" applyProtection="1">
      <alignment horizontal="center" vertical="center" wrapText="1"/>
    </xf>
    <xf numFmtId="0" fontId="4" fillId="25" borderId="44" xfId="0" applyNumberFormat="1" applyFont="1" applyFill="1" applyBorder="1" applyAlignment="1" applyProtection="1">
      <alignment horizontal="center" vertical="center" wrapText="1"/>
    </xf>
    <xf numFmtId="0" fontId="4" fillId="25" borderId="79" xfId="0" applyNumberFormat="1" applyFont="1" applyFill="1" applyBorder="1" applyAlignment="1" applyProtection="1">
      <alignment horizontal="center" vertical="center" wrapText="1"/>
    </xf>
    <xf numFmtId="0" fontId="0" fillId="35" borderId="16" xfId="0" applyFont="1" applyFill="1" applyBorder="1" applyAlignment="1">
      <alignment horizontal="center"/>
    </xf>
    <xf numFmtId="0" fontId="0" fillId="35" borderId="2" xfId="0" applyFont="1" applyFill="1" applyBorder="1" applyAlignment="1">
      <alignment horizontal="center"/>
    </xf>
    <xf numFmtId="0" fontId="0" fillId="35" borderId="42" xfId="0" applyFont="1" applyFill="1" applyBorder="1" applyAlignment="1">
      <alignment horizontal="center"/>
    </xf>
    <xf numFmtId="0" fontId="0" fillId="25" borderId="16" xfId="0" applyFont="1" applyFill="1" applyBorder="1" applyAlignment="1">
      <alignment horizontal="center"/>
    </xf>
    <xf numFmtId="0" fontId="0" fillId="25" borderId="2" xfId="0" applyFont="1" applyFill="1" applyBorder="1" applyAlignment="1">
      <alignment horizontal="center"/>
    </xf>
    <xf numFmtId="0" fontId="0" fillId="25" borderId="42" xfId="0" applyFont="1" applyFill="1" applyBorder="1" applyAlignment="1">
      <alignment horizontal="center"/>
    </xf>
    <xf numFmtId="0" fontId="10" fillId="2" borderId="13" xfId="0" applyFont="1" applyFill="1" applyBorder="1" applyAlignment="1">
      <alignment horizontal="left" vertical="top"/>
    </xf>
    <xf numFmtId="0" fontId="0" fillId="25" borderId="100" xfId="0" applyFont="1" applyFill="1" applyBorder="1" applyAlignment="1">
      <alignment horizontal="center"/>
    </xf>
    <xf numFmtId="0" fontId="0" fillId="25" borderId="70" xfId="0" applyFont="1" applyFill="1" applyBorder="1" applyAlignment="1">
      <alignment horizontal="center"/>
    </xf>
    <xf numFmtId="0" fontId="0" fillId="25" borderId="78" xfId="0" applyFont="1" applyFill="1" applyBorder="1" applyAlignment="1">
      <alignment horizontal="center"/>
    </xf>
    <xf numFmtId="0" fontId="10" fillId="2" borderId="87" xfId="0" applyFont="1" applyFill="1" applyBorder="1" applyAlignment="1">
      <alignment horizontal="left" vertical="top"/>
    </xf>
    <xf numFmtId="0" fontId="10" fillId="2" borderId="90" xfId="0" applyFont="1" applyFill="1" applyBorder="1" applyAlignment="1">
      <alignment horizontal="left" vertical="top"/>
    </xf>
    <xf numFmtId="0" fontId="10" fillId="2" borderId="18" xfId="0" applyFont="1" applyFill="1" applyBorder="1" applyAlignment="1">
      <alignment horizontal="left" vertical="top"/>
    </xf>
    <xf numFmtId="0" fontId="10" fillId="2" borderId="17" xfId="0" applyFont="1" applyFill="1" applyBorder="1" applyAlignment="1">
      <alignment horizontal="left" vertical="top"/>
    </xf>
    <xf numFmtId="0" fontId="10" fillId="2" borderId="22" xfId="0" applyFont="1" applyFill="1" applyBorder="1" applyAlignment="1">
      <alignment horizontal="left" vertical="top"/>
    </xf>
    <xf numFmtId="0" fontId="0" fillId="0" borderId="28" xfId="0" applyFont="1" applyBorder="1" applyAlignment="1">
      <alignment horizontal="center"/>
    </xf>
    <xf numFmtId="0" fontId="0" fillId="0" borderId="84" xfId="0" applyFont="1" applyBorder="1" applyAlignment="1">
      <alignment horizontal="center"/>
    </xf>
    <xf numFmtId="0" fontId="0" fillId="0" borderId="40" xfId="0" applyFont="1" applyBorder="1" applyAlignment="1">
      <alignment horizontal="center"/>
    </xf>
    <xf numFmtId="0" fontId="10" fillId="2" borderId="99" xfId="0" applyFont="1" applyFill="1" applyBorder="1" applyAlignment="1">
      <alignment horizontal="center"/>
    </xf>
    <xf numFmtId="0" fontId="10" fillId="2" borderId="21" xfId="0" applyFont="1" applyFill="1" applyBorder="1" applyAlignment="1">
      <alignment horizontal="center"/>
    </xf>
    <xf numFmtId="0" fontId="10" fillId="2" borderId="66" xfId="0" applyFont="1" applyFill="1" applyBorder="1" applyAlignment="1">
      <alignment horizontal="center"/>
    </xf>
    <xf numFmtId="0" fontId="10" fillId="2" borderId="63" xfId="0" applyFont="1" applyFill="1" applyBorder="1" applyAlignment="1">
      <alignment horizontal="left" vertical="top" wrapText="1"/>
    </xf>
    <xf numFmtId="0" fontId="10" fillId="2" borderId="34" xfId="0" applyFont="1" applyFill="1" applyBorder="1" applyAlignment="1">
      <alignment horizontal="left" vertical="top" wrapText="1"/>
    </xf>
    <xf numFmtId="0" fontId="10" fillId="2" borderId="87" xfId="0" applyFont="1" applyFill="1" applyBorder="1" applyAlignment="1">
      <alignment horizontal="left" vertical="top" wrapText="1"/>
    </xf>
    <xf numFmtId="0" fontId="10" fillId="2" borderId="90" xfId="0" applyFont="1" applyFill="1" applyBorder="1" applyAlignment="1">
      <alignment horizontal="left" vertical="top" wrapText="1"/>
    </xf>
    <xf numFmtId="0" fontId="0" fillId="0" borderId="1" xfId="0" applyFont="1" applyBorder="1" applyAlignment="1">
      <alignment horizontal="center"/>
    </xf>
    <xf numFmtId="0" fontId="0" fillId="0" borderId="16" xfId="0" applyFont="1" applyBorder="1" applyAlignment="1">
      <alignment horizontal="center"/>
    </xf>
    <xf numFmtId="0" fontId="0" fillId="0" borderId="2" xfId="0" applyFont="1" applyBorder="1" applyAlignment="1">
      <alignment horizontal="center"/>
    </xf>
    <xf numFmtId="0" fontId="0" fillId="0" borderId="42" xfId="0" applyFont="1" applyBorder="1" applyAlignment="1">
      <alignment horizontal="center"/>
    </xf>
    <xf numFmtId="0" fontId="34" fillId="2" borderId="46" xfId="0" applyNumberFormat="1" applyFont="1" applyFill="1" applyBorder="1" applyAlignment="1" applyProtection="1">
      <alignment horizontal="left" vertical="top" wrapText="1"/>
    </xf>
    <xf numFmtId="0" fontId="34" fillId="2" borderId="47" xfId="0" applyNumberFormat="1" applyFont="1" applyFill="1" applyBorder="1" applyAlignment="1" applyProtection="1">
      <alignment horizontal="left" vertical="top" wrapText="1"/>
    </xf>
    <xf numFmtId="2" fontId="0" fillId="25" borderId="16" xfId="0" applyNumberFormat="1" applyFont="1" applyFill="1" applyBorder="1" applyAlignment="1">
      <alignment horizontal="center"/>
    </xf>
    <xf numFmtId="2" fontId="0" fillId="25" borderId="2" xfId="0" applyNumberFormat="1" applyFont="1" applyFill="1" applyBorder="1" applyAlignment="1">
      <alignment horizontal="center"/>
    </xf>
    <xf numFmtId="2" fontId="0" fillId="25" borderId="42" xfId="0" applyNumberFormat="1" applyFont="1" applyFill="1" applyBorder="1" applyAlignment="1">
      <alignment horizontal="center"/>
    </xf>
    <xf numFmtId="0" fontId="61" fillId="2" borderId="88" xfId="0" applyFont="1" applyFill="1" applyBorder="1" applyAlignment="1">
      <alignment horizontal="center" vertical="center" wrapText="1"/>
    </xf>
    <xf numFmtId="0" fontId="61" fillId="2" borderId="45" xfId="0" applyFont="1" applyFill="1" applyBorder="1" applyAlignment="1">
      <alignment horizontal="center" vertical="center"/>
    </xf>
    <xf numFmtId="0" fontId="61" fillId="2" borderId="68" xfId="0" applyFont="1" applyFill="1" applyBorder="1" applyAlignment="1">
      <alignment horizontal="center" vertical="center"/>
    </xf>
    <xf numFmtId="0" fontId="10" fillId="2" borderId="12" xfId="0" applyFont="1" applyFill="1" applyBorder="1" applyAlignment="1">
      <alignment horizontal="left" vertical="top" wrapText="1"/>
    </xf>
    <xf numFmtId="0" fontId="10" fillId="2" borderId="13" xfId="0" applyFont="1" applyFill="1" applyBorder="1" applyAlignment="1">
      <alignment horizontal="left" vertical="top" wrapText="1"/>
    </xf>
    <xf numFmtId="0" fontId="10" fillId="2" borderId="14" xfId="0" applyFont="1" applyFill="1" applyBorder="1" applyAlignment="1">
      <alignment horizontal="left" vertical="top" wrapText="1"/>
    </xf>
    <xf numFmtId="0" fontId="0" fillId="25" borderId="27" xfId="0" applyFont="1" applyFill="1" applyBorder="1" applyAlignment="1">
      <alignment horizontal="center"/>
    </xf>
    <xf numFmtId="0" fontId="0" fillId="25" borderId="93" xfId="0" applyFont="1" applyFill="1" applyBorder="1" applyAlignment="1">
      <alignment horizontal="center"/>
    </xf>
    <xf numFmtId="0" fontId="0" fillId="25" borderId="116" xfId="0" applyFont="1" applyFill="1" applyBorder="1" applyAlignment="1">
      <alignment horizontal="center"/>
    </xf>
    <xf numFmtId="0" fontId="0" fillId="25" borderId="92" xfId="0" applyFont="1" applyFill="1" applyBorder="1" applyAlignment="1">
      <alignment horizontal="center"/>
    </xf>
    <xf numFmtId="0" fontId="10" fillId="2" borderId="40" xfId="0" applyFont="1" applyFill="1" applyBorder="1" applyAlignment="1">
      <alignment horizontal="left" vertical="top"/>
    </xf>
    <xf numFmtId="0" fontId="10" fillId="2" borderId="41" xfId="0" applyFont="1" applyFill="1" applyBorder="1" applyAlignment="1">
      <alignment horizontal="left" vertical="top"/>
    </xf>
    <xf numFmtId="0" fontId="10" fillId="2" borderId="68" xfId="0" applyFont="1" applyFill="1" applyBorder="1" applyAlignment="1">
      <alignment horizontal="left" vertical="top"/>
    </xf>
    <xf numFmtId="0" fontId="10" fillId="2" borderId="89" xfId="0" applyFont="1" applyFill="1" applyBorder="1" applyAlignment="1">
      <alignment horizontal="left" vertical="top"/>
    </xf>
    <xf numFmtId="0" fontId="10" fillId="2" borderId="97" xfId="0" applyFont="1" applyFill="1" applyBorder="1" applyAlignment="1">
      <alignment horizontal="left" vertical="top"/>
    </xf>
    <xf numFmtId="0" fontId="10" fillId="2" borderId="11" xfId="0" applyFont="1" applyFill="1" applyBorder="1" applyAlignment="1">
      <alignment horizontal="left" vertical="top"/>
    </xf>
    <xf numFmtId="0" fontId="10" fillId="2" borderId="89" xfId="0" applyFont="1" applyFill="1" applyBorder="1" applyAlignment="1">
      <alignment horizontal="left" vertical="top" wrapText="1"/>
    </xf>
    <xf numFmtId="0" fontId="10" fillId="2" borderId="97" xfId="0" applyFont="1" applyFill="1" applyBorder="1" applyAlignment="1">
      <alignment horizontal="left" vertical="top" wrapText="1"/>
    </xf>
    <xf numFmtId="0" fontId="10" fillId="2" borderId="11" xfId="0" applyFont="1" applyFill="1" applyBorder="1" applyAlignment="1">
      <alignment horizontal="left" vertical="top" wrapText="1"/>
    </xf>
    <xf numFmtId="0" fontId="0" fillId="36" borderId="16" xfId="0" applyFont="1" applyFill="1" applyBorder="1" applyAlignment="1">
      <alignment horizontal="center"/>
    </xf>
    <xf numFmtId="0" fontId="0" fillId="36" borderId="42" xfId="0" applyFont="1" applyFill="1" applyBorder="1" applyAlignment="1">
      <alignment horizontal="center"/>
    </xf>
    <xf numFmtId="0" fontId="0" fillId="36" borderId="2" xfId="0" applyFont="1" applyFill="1" applyBorder="1" applyAlignment="1">
      <alignment horizontal="center"/>
    </xf>
    <xf numFmtId="0" fontId="10" fillId="2" borderId="16" xfId="0" applyFont="1" applyFill="1" applyBorder="1" applyAlignment="1">
      <alignment horizontal="center"/>
    </xf>
    <xf numFmtId="0" fontId="10" fillId="2" borderId="42" xfId="0" applyFont="1" applyFill="1" applyBorder="1" applyAlignment="1">
      <alignment horizontal="center"/>
    </xf>
    <xf numFmtId="0" fontId="0" fillId="25" borderId="1" xfId="0" applyFont="1" applyFill="1" applyBorder="1" applyAlignment="1">
      <alignment horizontal="center"/>
    </xf>
    <xf numFmtId="0" fontId="10" fillId="2" borderId="28" xfId="0" applyFont="1" applyFill="1" applyBorder="1" applyAlignment="1">
      <alignment horizontal="center"/>
    </xf>
    <xf numFmtId="0" fontId="10" fillId="2" borderId="84" xfId="0" applyFont="1" applyFill="1" applyBorder="1" applyAlignment="1">
      <alignment horizontal="center"/>
    </xf>
    <xf numFmtId="0" fontId="10" fillId="2" borderId="40" xfId="0" applyFont="1" applyFill="1" applyBorder="1" applyAlignment="1">
      <alignment horizontal="center"/>
    </xf>
    <xf numFmtId="0" fontId="10" fillId="2" borderId="1" xfId="0" applyFont="1" applyFill="1" applyBorder="1" applyAlignment="1">
      <alignment horizontal="center"/>
    </xf>
    <xf numFmtId="0" fontId="61" fillId="2" borderId="23" xfId="0" applyFont="1" applyFill="1" applyBorder="1" applyAlignment="1">
      <alignment horizontal="center" vertical="center"/>
    </xf>
    <xf numFmtId="0" fontId="61" fillId="2" borderId="66" xfId="0" applyFont="1" applyFill="1" applyBorder="1" applyAlignment="1">
      <alignment horizontal="center" vertical="center"/>
    </xf>
    <xf numFmtId="0" fontId="10" fillId="2" borderId="85" xfId="0" applyFont="1" applyFill="1" applyBorder="1" applyAlignment="1">
      <alignment horizontal="left" vertical="top" wrapText="1"/>
    </xf>
    <xf numFmtId="0" fontId="0" fillId="35" borderId="99" xfId="0" applyFont="1" applyFill="1" applyBorder="1" applyAlignment="1">
      <alignment horizontal="center"/>
    </xf>
    <xf numFmtId="0" fontId="0" fillId="35" borderId="66" xfId="0" applyFont="1" applyFill="1" applyBorder="1" applyAlignment="1">
      <alignment horizontal="center"/>
    </xf>
    <xf numFmtId="0" fontId="0" fillId="36" borderId="99" xfId="0" applyFont="1" applyFill="1" applyBorder="1" applyAlignment="1">
      <alignment horizontal="center"/>
    </xf>
    <xf numFmtId="0" fontId="0" fillId="36" borderId="66" xfId="0" applyFont="1" applyFill="1" applyBorder="1" applyAlignment="1">
      <alignment horizontal="center"/>
    </xf>
    <xf numFmtId="0" fontId="0" fillId="0" borderId="27" xfId="0" applyFont="1" applyBorder="1" applyAlignment="1">
      <alignment horizontal="center"/>
    </xf>
    <xf numFmtId="0" fontId="0" fillId="0" borderId="92" xfId="0" applyFont="1" applyBorder="1" applyAlignment="1">
      <alignment horizontal="center"/>
    </xf>
    <xf numFmtId="0" fontId="0" fillId="0" borderId="150" xfId="0" applyFont="1" applyFill="1" applyBorder="1" applyAlignment="1">
      <alignment horizontal="center"/>
    </xf>
    <xf numFmtId="0" fontId="0" fillId="0" borderId="148" xfId="0" applyFont="1" applyFill="1" applyBorder="1" applyAlignment="1">
      <alignment horizontal="center"/>
    </xf>
    <xf numFmtId="0" fontId="0" fillId="0" borderId="25" xfId="0" applyFont="1" applyBorder="1" applyAlignment="1">
      <alignment horizontal="center"/>
    </xf>
    <xf numFmtId="0" fontId="0" fillId="0" borderId="67" xfId="0" applyFont="1" applyBorder="1" applyAlignment="1">
      <alignment horizontal="center"/>
    </xf>
    <xf numFmtId="0" fontId="0" fillId="0" borderId="86" xfId="0" applyFont="1" applyBorder="1" applyAlignment="1">
      <alignment horizontal="center"/>
    </xf>
    <xf numFmtId="0" fontId="0" fillId="0" borderId="41" xfId="0" applyFont="1" applyBorder="1" applyAlignment="1">
      <alignment horizontal="center"/>
    </xf>
    <xf numFmtId="0" fontId="0" fillId="35" borderId="28" xfId="0" applyFont="1" applyFill="1" applyBorder="1" applyAlignment="1">
      <alignment horizontal="center"/>
    </xf>
    <xf numFmtId="0" fontId="0" fillId="35" borderId="40" xfId="0" applyFont="1" applyFill="1" applyBorder="1" applyAlignment="1">
      <alignment horizontal="center"/>
    </xf>
    <xf numFmtId="0" fontId="0" fillId="35" borderId="16" xfId="0" quotePrefix="1" applyFont="1" applyFill="1" applyBorder="1" applyAlignment="1">
      <alignment horizontal="center"/>
    </xf>
    <xf numFmtId="0" fontId="0" fillId="35" borderId="42" xfId="0" quotePrefix="1" applyFont="1" applyFill="1" applyBorder="1" applyAlignment="1">
      <alignment horizontal="center"/>
    </xf>
    <xf numFmtId="0" fontId="10" fillId="2" borderId="23" xfId="0" applyFont="1" applyFill="1" applyBorder="1" applyAlignment="1">
      <alignment horizontal="center"/>
    </xf>
    <xf numFmtId="0" fontId="10" fillId="2" borderId="100" xfId="0" applyFont="1" applyFill="1" applyBorder="1" applyAlignment="1">
      <alignment horizontal="center"/>
    </xf>
    <xf numFmtId="0" fontId="10" fillId="2" borderId="78" xfId="0" applyFont="1" applyFill="1" applyBorder="1" applyAlignment="1">
      <alignment horizontal="center"/>
    </xf>
    <xf numFmtId="0" fontId="0" fillId="0" borderId="6" xfId="0" applyFont="1" applyBorder="1" applyAlignment="1">
      <alignment horizontal="center"/>
    </xf>
    <xf numFmtId="0" fontId="0" fillId="0" borderId="93" xfId="0" applyFont="1" applyBorder="1" applyAlignment="1">
      <alignment horizontal="center"/>
    </xf>
    <xf numFmtId="2" fontId="0" fillId="0" borderId="16" xfId="0" applyNumberFormat="1" applyFont="1" applyBorder="1" applyAlignment="1">
      <alignment horizontal="center"/>
    </xf>
    <xf numFmtId="2" fontId="0" fillId="0" borderId="2" xfId="0" applyNumberFormat="1" applyFont="1" applyBorder="1" applyAlignment="1">
      <alignment horizontal="center"/>
    </xf>
    <xf numFmtId="2" fontId="0" fillId="0" borderId="42" xfId="0" applyNumberFormat="1" applyFont="1" applyBorder="1" applyAlignment="1">
      <alignment horizontal="center"/>
    </xf>
    <xf numFmtId="0" fontId="10" fillId="35" borderId="16" xfId="0" applyFont="1" applyFill="1" applyBorder="1" applyAlignment="1">
      <alignment horizontal="center"/>
    </xf>
    <xf numFmtId="0" fontId="10" fillId="35" borderId="2" xfId="0" applyFont="1" applyFill="1" applyBorder="1" applyAlignment="1">
      <alignment horizontal="center"/>
    </xf>
    <xf numFmtId="0" fontId="10" fillId="35" borderId="42" xfId="0" applyFont="1" applyFill="1" applyBorder="1" applyAlignment="1">
      <alignment horizontal="center"/>
    </xf>
    <xf numFmtId="0" fontId="10" fillId="35" borderId="28" xfId="0" applyFont="1" applyFill="1" applyBorder="1" applyAlignment="1">
      <alignment horizontal="center"/>
    </xf>
    <xf numFmtId="0" fontId="10" fillId="35" borderId="84" xfId="0" applyFont="1" applyFill="1" applyBorder="1" applyAlignment="1">
      <alignment horizontal="center"/>
    </xf>
    <xf numFmtId="0" fontId="10" fillId="35" borderId="40" xfId="0" applyFont="1" applyFill="1" applyBorder="1" applyAlignment="1">
      <alignment horizontal="center"/>
    </xf>
    <xf numFmtId="0" fontId="10" fillId="35" borderId="27" xfId="0" applyFont="1" applyFill="1" applyBorder="1" applyAlignment="1">
      <alignment horizontal="center"/>
    </xf>
    <xf numFmtId="0" fontId="10" fillId="35" borderId="93" xfId="0" applyFont="1" applyFill="1" applyBorder="1" applyAlignment="1">
      <alignment horizontal="center"/>
    </xf>
    <xf numFmtId="0" fontId="10" fillId="35" borderId="92" xfId="0" applyFont="1" applyFill="1" applyBorder="1" applyAlignment="1">
      <alignment horizontal="center"/>
    </xf>
    <xf numFmtId="0" fontId="61" fillId="2" borderId="64" xfId="0" applyFont="1" applyFill="1" applyBorder="1" applyAlignment="1">
      <alignment horizontal="center" vertical="center"/>
    </xf>
    <xf numFmtId="0" fontId="10" fillId="2" borderId="12" xfId="0" applyFont="1" applyFill="1" applyBorder="1" applyAlignment="1">
      <alignment horizontal="left" vertical="top"/>
    </xf>
    <xf numFmtId="0" fontId="10" fillId="2" borderId="64" xfId="0" applyFont="1" applyFill="1" applyBorder="1" applyAlignment="1">
      <alignment horizontal="center"/>
    </xf>
    <xf numFmtId="0" fontId="34" fillId="2" borderId="18" xfId="0" applyNumberFormat="1" applyFont="1" applyFill="1" applyBorder="1" applyAlignment="1" applyProtection="1">
      <alignment horizontal="left" vertical="top" wrapText="1"/>
    </xf>
    <xf numFmtId="0" fontId="34" fillId="2" borderId="17" xfId="0" applyNumberFormat="1" applyFont="1" applyFill="1" applyBorder="1" applyAlignment="1" applyProtection="1">
      <alignment horizontal="left" vertical="top" wrapText="1"/>
    </xf>
    <xf numFmtId="0" fontId="34" fillId="2" borderId="22" xfId="0" applyNumberFormat="1" applyFont="1" applyFill="1" applyBorder="1" applyAlignment="1" applyProtection="1">
      <alignment horizontal="left" vertical="top" wrapText="1"/>
    </xf>
    <xf numFmtId="0" fontId="0" fillId="2" borderId="27" xfId="0" applyFill="1" applyBorder="1" applyAlignment="1">
      <alignment horizontal="center"/>
    </xf>
    <xf numFmtId="0" fontId="0" fillId="2" borderId="16" xfId="0" applyFill="1" applyBorder="1" applyAlignment="1">
      <alignment horizontal="center"/>
    </xf>
    <xf numFmtId="0" fontId="0" fillId="2" borderId="50" xfId="0" applyFill="1" applyBorder="1" applyAlignment="1">
      <alignment horizontal="center"/>
    </xf>
    <xf numFmtId="0" fontId="0" fillId="2" borderId="35" xfId="0" applyFill="1" applyBorder="1" applyAlignment="1">
      <alignment horizontal="center"/>
    </xf>
    <xf numFmtId="0" fontId="0" fillId="2" borderId="1" xfId="0" applyFill="1" applyBorder="1" applyAlignment="1">
      <alignment horizontal="center"/>
    </xf>
    <xf numFmtId="0" fontId="0" fillId="2" borderId="35" xfId="0" applyFill="1" applyBorder="1" applyAlignment="1">
      <alignment horizontal="center" wrapText="1"/>
    </xf>
    <xf numFmtId="0" fontId="0" fillId="2" borderId="1" xfId="0" applyFill="1" applyBorder="1" applyAlignment="1">
      <alignment horizontal="center" wrapText="1"/>
    </xf>
    <xf numFmtId="0" fontId="0" fillId="0" borderId="61" xfId="0" applyBorder="1" applyAlignment="1">
      <alignment horizontal="center"/>
    </xf>
    <xf numFmtId="0" fontId="0" fillId="0" borderId="81" xfId="0" applyBorder="1" applyAlignment="1">
      <alignment horizontal="center"/>
    </xf>
    <xf numFmtId="0" fontId="0" fillId="0" borderId="80" xfId="0" applyBorder="1" applyAlignment="1">
      <alignment horizontal="center"/>
    </xf>
    <xf numFmtId="0" fontId="0" fillId="0" borderId="47" xfId="0" applyBorder="1" applyAlignment="1">
      <alignment horizontal="center"/>
    </xf>
    <xf numFmtId="0" fontId="0" fillId="0" borderId="61" xfId="0" applyFont="1" applyBorder="1" applyAlignment="1">
      <alignment horizontal="left"/>
    </xf>
    <xf numFmtId="0" fontId="0" fillId="0" borderId="80" xfId="0" applyFont="1" applyBorder="1" applyAlignment="1">
      <alignment horizontal="left"/>
    </xf>
    <xf numFmtId="0" fontId="0" fillId="0" borderId="62" xfId="0" applyFont="1" applyBorder="1"/>
    <xf numFmtId="0" fontId="0" fillId="0" borderId="83" xfId="0" applyFont="1" applyBorder="1"/>
    <xf numFmtId="0" fontId="0" fillId="2" borderId="23" xfId="0" applyFont="1" applyFill="1" applyBorder="1" applyAlignment="1">
      <alignment horizontal="center"/>
    </xf>
    <xf numFmtId="0" fontId="0" fillId="2" borderId="24" xfId="0" applyFont="1" applyFill="1" applyBorder="1" applyAlignment="1">
      <alignment horizontal="center"/>
    </xf>
    <xf numFmtId="0" fontId="0" fillId="0" borderId="10" xfId="0" applyFont="1" applyBorder="1"/>
    <xf numFmtId="0" fontId="0" fillId="0" borderId="31" xfId="0" applyFont="1" applyBorder="1"/>
    <xf numFmtId="0" fontId="6" fillId="25" borderId="46" xfId="0" applyNumberFormat="1" applyFont="1" applyFill="1" applyBorder="1" applyAlignment="1" applyProtection="1">
      <alignment horizontal="center" vertical="center" wrapText="1"/>
    </xf>
    <xf numFmtId="0" fontId="6" fillId="25" borderId="47" xfId="0" applyNumberFormat="1" applyFont="1" applyFill="1" applyBorder="1" applyAlignment="1" applyProtection="1">
      <alignment horizontal="center" vertical="center" wrapText="1"/>
    </xf>
    <xf numFmtId="0" fontId="5" fillId="34" borderId="17" xfId="0" applyNumberFormat="1" applyFont="1" applyFill="1" applyBorder="1" applyAlignment="1" applyProtection="1">
      <alignment horizontal="center" vertical="center" wrapText="1"/>
    </xf>
    <xf numFmtId="0" fontId="0" fillId="32" borderId="149" xfId="0" applyFont="1" applyFill="1" applyBorder="1" applyAlignment="1">
      <alignment horizontal="center"/>
    </xf>
    <xf numFmtId="0" fontId="0" fillId="32" borderId="13" xfId="0" applyFont="1" applyFill="1" applyBorder="1" applyAlignment="1">
      <alignment horizontal="center"/>
    </xf>
    <xf numFmtId="0" fontId="1" fillId="32" borderId="18" xfId="0" applyFont="1" applyFill="1" applyBorder="1" applyAlignment="1">
      <alignment horizontal="center" vertical="center"/>
    </xf>
    <xf numFmtId="0" fontId="1" fillId="32" borderId="17" xfId="0" applyFont="1" applyFill="1" applyBorder="1" applyAlignment="1">
      <alignment horizontal="center" vertical="center"/>
    </xf>
    <xf numFmtId="0" fontId="1" fillId="32" borderId="29" xfId="0" applyFont="1" applyFill="1" applyBorder="1" applyAlignment="1">
      <alignment horizontal="center" vertical="center"/>
    </xf>
    <xf numFmtId="0" fontId="6" fillId="25" borderId="18" xfId="0" applyNumberFormat="1" applyFont="1" applyFill="1" applyBorder="1" applyAlignment="1" applyProtection="1">
      <alignment horizontal="center" vertical="center" wrapText="1"/>
    </xf>
    <xf numFmtId="0" fontId="6" fillId="25" borderId="17" xfId="0" applyNumberFormat="1" applyFont="1" applyFill="1" applyBorder="1" applyAlignment="1" applyProtection="1">
      <alignment horizontal="center" vertical="center" wrapText="1"/>
    </xf>
    <xf numFmtId="0" fontId="6" fillId="25" borderId="22" xfId="0" applyNumberFormat="1" applyFont="1" applyFill="1" applyBorder="1" applyAlignment="1" applyProtection="1">
      <alignment horizontal="center" vertical="center" wrapText="1"/>
    </xf>
    <xf numFmtId="0" fontId="5" fillId="34" borderId="12" xfId="0" applyNumberFormat="1" applyFont="1" applyFill="1" applyBorder="1" applyAlignment="1" applyProtection="1">
      <alignment horizontal="center" vertical="center" wrapText="1"/>
    </xf>
    <xf numFmtId="0" fontId="5" fillId="34" borderId="13" xfId="0" applyNumberFormat="1" applyFont="1" applyFill="1" applyBorder="1" applyAlignment="1" applyProtection="1">
      <alignment horizontal="center" vertical="center" wrapText="1"/>
    </xf>
    <xf numFmtId="0" fontId="44" fillId="34" borderId="13" xfId="0" applyFont="1" applyFill="1" applyBorder="1" applyAlignment="1">
      <alignment horizontal="center" vertical="center"/>
    </xf>
    <xf numFmtId="0" fontId="44" fillId="34" borderId="14" xfId="0" applyFont="1" applyFill="1" applyBorder="1" applyAlignment="1">
      <alignment horizontal="center" vertical="center"/>
    </xf>
    <xf numFmtId="0" fontId="6" fillId="25" borderId="61" xfId="0" applyNumberFormat="1" applyFont="1" applyFill="1" applyBorder="1" applyAlignment="1" applyProtection="1">
      <alignment horizontal="center" vertical="center" wrapText="1"/>
    </xf>
    <xf numFmtId="0" fontId="6" fillId="25" borderId="10" xfId="0" applyNumberFormat="1" applyFont="1" applyFill="1" applyBorder="1" applyAlignment="1" applyProtection="1">
      <alignment horizontal="center" vertical="center" wrapText="1"/>
    </xf>
    <xf numFmtId="0" fontId="6" fillId="25" borderId="20" xfId="0" applyNumberFormat="1" applyFont="1" applyFill="1" applyBorder="1" applyAlignment="1" applyProtection="1">
      <alignment horizontal="center" vertical="center" wrapText="1"/>
    </xf>
    <xf numFmtId="0" fontId="3" fillId="34" borderId="61" xfId="0" applyNumberFormat="1" applyFont="1" applyFill="1" applyBorder="1" applyAlignment="1" applyProtection="1">
      <alignment horizontal="center" vertical="center" wrapText="1"/>
    </xf>
    <xf numFmtId="0" fontId="3" fillId="34" borderId="10" xfId="0" applyNumberFormat="1" applyFont="1" applyFill="1" applyBorder="1" applyAlignment="1" applyProtection="1">
      <alignment horizontal="center" vertical="center" wrapText="1"/>
    </xf>
    <xf numFmtId="0" fontId="5" fillId="34" borderId="10" xfId="0" applyNumberFormat="1" applyFont="1" applyFill="1" applyBorder="1" applyAlignment="1" applyProtection="1">
      <alignment horizontal="center" vertical="center" wrapText="1"/>
    </xf>
    <xf numFmtId="0" fontId="5" fillId="34" borderId="62" xfId="0" applyNumberFormat="1" applyFont="1" applyFill="1" applyBorder="1" applyAlignment="1" applyProtection="1">
      <alignment horizontal="center" vertical="center" wrapText="1"/>
    </xf>
    <xf numFmtId="0" fontId="5" fillId="34" borderId="15" xfId="0" applyNumberFormat="1" applyFont="1" applyFill="1" applyBorder="1" applyAlignment="1" applyProtection="1">
      <alignment horizontal="center" vertical="center" wrapText="1"/>
    </xf>
    <xf numFmtId="0" fontId="5" fillId="34" borderId="20" xfId="0" applyNumberFormat="1" applyFont="1" applyFill="1" applyBorder="1" applyAlignment="1" applyProtection="1">
      <alignment horizontal="center" vertical="center" wrapText="1"/>
    </xf>
    <xf numFmtId="0" fontId="6" fillId="25" borderId="36" xfId="0" applyNumberFormat="1" applyFont="1" applyFill="1" applyBorder="1" applyAlignment="1" applyProtection="1">
      <alignment horizontal="center" vertical="center" wrapText="1"/>
    </xf>
    <xf numFmtId="0" fontId="6" fillId="25" borderId="44" xfId="0" applyNumberFormat="1" applyFont="1" applyFill="1" applyBorder="1" applyAlignment="1" applyProtection="1">
      <alignment horizontal="center" vertical="center" wrapText="1"/>
    </xf>
    <xf numFmtId="0" fontId="6" fillId="25" borderId="19" xfId="0" applyNumberFormat="1" applyFont="1" applyFill="1" applyBorder="1" applyAlignment="1" applyProtection="1">
      <alignment horizontal="center" vertical="center" wrapText="1"/>
    </xf>
    <xf numFmtId="0" fontId="6" fillId="25" borderId="17" xfId="0" applyNumberFormat="1" applyFont="1" applyFill="1" applyBorder="1" applyAlignment="1" applyProtection="1">
      <alignment horizontal="left" vertical="center" wrapText="1"/>
    </xf>
    <xf numFmtId="0" fontId="6" fillId="25" borderId="22" xfId="0" applyNumberFormat="1" applyFont="1" applyFill="1" applyBorder="1" applyAlignment="1" applyProtection="1">
      <alignment horizontal="left" vertical="center" wrapText="1"/>
    </xf>
    <xf numFmtId="0" fontId="33" fillId="0" borderId="89" xfId="54" applyFont="1" applyBorder="1" applyAlignment="1">
      <alignment horizontal="center" wrapText="1"/>
    </xf>
    <xf numFmtId="0" fontId="33" fillId="0" borderId="11" xfId="54" applyFont="1" applyBorder="1" applyAlignment="1">
      <alignment horizontal="center" wrapText="1"/>
    </xf>
    <xf numFmtId="0" fontId="33" fillId="0" borderId="3" xfId="54" applyFont="1" applyBorder="1" applyAlignment="1">
      <alignment horizontal="center" wrapText="1"/>
    </xf>
    <xf numFmtId="0" fontId="33" fillId="0" borderId="35" xfId="54" applyFont="1" applyBorder="1" applyAlignment="1">
      <alignment horizontal="center" wrapText="1"/>
    </xf>
    <xf numFmtId="0" fontId="33" fillId="0" borderId="1" xfId="54" applyFont="1" applyFill="1" applyBorder="1" applyAlignment="1">
      <alignment horizontal="center" wrapText="1"/>
    </xf>
    <xf numFmtId="0" fontId="32" fillId="2" borderId="16" xfId="54" applyFont="1" applyFill="1" applyBorder="1" applyAlignment="1">
      <alignment horizontal="center"/>
    </xf>
    <xf numFmtId="0" fontId="32" fillId="2" borderId="42" xfId="54" applyFont="1" applyFill="1" applyBorder="1" applyAlignment="1">
      <alignment horizontal="center"/>
    </xf>
    <xf numFmtId="0" fontId="32" fillId="65" borderId="1" xfId="54" applyFont="1" applyFill="1" applyBorder="1" applyAlignment="1">
      <alignment horizontal="left"/>
    </xf>
    <xf numFmtId="0" fontId="32" fillId="25" borderId="131" xfId="54" applyFont="1" applyFill="1" applyBorder="1" applyAlignment="1">
      <alignment horizontal="left"/>
    </xf>
    <xf numFmtId="167" fontId="46" fillId="65" borderId="145" xfId="496" applyNumberFormat="1" applyFont="1" applyFill="1" applyBorder="1" applyAlignment="1" applyProtection="1">
      <alignment horizontal="left" vertical="center" wrapText="1"/>
      <protection hidden="1"/>
    </xf>
    <xf numFmtId="167" fontId="46" fillId="65" borderId="146" xfId="496" applyNumberFormat="1" applyFont="1" applyFill="1" applyBorder="1" applyAlignment="1" applyProtection="1">
      <alignment horizontal="left" vertical="center" wrapText="1"/>
      <protection hidden="1"/>
    </xf>
    <xf numFmtId="167" fontId="46" fillId="65" borderId="147" xfId="496" applyNumberFormat="1" applyFont="1" applyFill="1" applyBorder="1" applyAlignment="1" applyProtection="1">
      <alignment horizontal="left" vertical="center" wrapText="1"/>
      <protection hidden="1"/>
    </xf>
    <xf numFmtId="44" fontId="32" fillId="2" borderId="1" xfId="2" applyFont="1" applyFill="1" applyBorder="1" applyAlignment="1">
      <alignment horizontal="center" vertical="center"/>
    </xf>
    <xf numFmtId="44" fontId="32" fillId="2" borderId="3" xfId="2" applyFont="1" applyFill="1" applyBorder="1" applyAlignment="1">
      <alignment horizontal="center" vertical="center"/>
    </xf>
    <xf numFmtId="44" fontId="32" fillId="2" borderId="35" xfId="2" applyFont="1" applyFill="1" applyBorder="1" applyAlignment="1">
      <alignment horizontal="center" vertical="center"/>
    </xf>
    <xf numFmtId="44" fontId="32" fillId="0" borderId="1" xfId="2" applyFont="1" applyBorder="1" applyAlignment="1">
      <alignment horizontal="center" vertical="center"/>
    </xf>
    <xf numFmtId="0" fontId="33" fillId="33" borderId="19" xfId="44" applyFont="1" applyFill="1" applyBorder="1" applyAlignment="1">
      <alignment horizontal="center" vertical="center"/>
    </xf>
    <xf numFmtId="0" fontId="33" fillId="33" borderId="70" xfId="44" applyFont="1" applyFill="1" applyBorder="1" applyAlignment="1">
      <alignment horizontal="center" vertical="center"/>
    </xf>
    <xf numFmtId="0" fontId="33" fillId="33" borderId="46" xfId="44" applyFont="1" applyFill="1" applyBorder="1" applyAlignment="1">
      <alignment horizontal="center" vertical="center"/>
    </xf>
    <xf numFmtId="0" fontId="33" fillId="33" borderId="36" xfId="44" applyFont="1" applyFill="1" applyBorder="1" applyAlignment="1">
      <alignment horizontal="center" vertical="center"/>
    </xf>
    <xf numFmtId="0" fontId="33" fillId="33" borderId="0" xfId="44" applyFont="1" applyFill="1" applyBorder="1" applyAlignment="1">
      <alignment horizontal="center" vertical="center"/>
    </xf>
    <xf numFmtId="0" fontId="33" fillId="33" borderId="47" xfId="44" applyFont="1" applyFill="1" applyBorder="1" applyAlignment="1">
      <alignment horizontal="center" vertical="center"/>
    </xf>
    <xf numFmtId="0" fontId="33" fillId="33" borderId="44" xfId="44" applyFont="1" applyFill="1" applyBorder="1" applyAlignment="1">
      <alignment horizontal="center" vertical="center"/>
    </xf>
    <xf numFmtId="0" fontId="33" fillId="33" borderId="45" xfId="44" applyFont="1" applyFill="1" applyBorder="1" applyAlignment="1">
      <alignment horizontal="center" vertical="center"/>
    </xf>
    <xf numFmtId="0" fontId="33" fillId="33" borderId="79" xfId="44" applyFont="1" applyFill="1" applyBorder="1" applyAlignment="1">
      <alignment horizontal="center" vertical="center"/>
    </xf>
    <xf numFmtId="0" fontId="32" fillId="0" borderId="10" xfId="54" applyFont="1" applyFill="1" applyBorder="1" applyAlignment="1" applyProtection="1">
      <alignment horizontal="center"/>
      <protection locked="0"/>
    </xf>
    <xf numFmtId="0" fontId="32" fillId="0" borderId="42" xfId="54" applyFont="1" applyFill="1" applyBorder="1" applyAlignment="1" applyProtection="1">
      <alignment horizontal="center"/>
      <protection locked="0"/>
    </xf>
    <xf numFmtId="0" fontId="33" fillId="0" borderId="16" xfId="44" applyFont="1" applyFill="1" applyBorder="1" applyAlignment="1">
      <alignment horizontal="center"/>
    </xf>
    <xf numFmtId="0" fontId="33" fillId="0" borderId="31" xfId="44" applyFont="1" applyFill="1" applyBorder="1" applyAlignment="1">
      <alignment horizontal="center"/>
    </xf>
    <xf numFmtId="0" fontId="32" fillId="0" borderId="35" xfId="54" applyFont="1" applyBorder="1" applyAlignment="1" applyProtection="1">
      <alignment horizontal="left" wrapText="1"/>
      <protection locked="0"/>
    </xf>
    <xf numFmtId="0" fontId="32" fillId="0" borderId="9" xfId="54" applyFont="1" applyBorder="1" applyAlignment="1" applyProtection="1">
      <alignment horizontal="left" wrapText="1"/>
      <protection locked="0"/>
    </xf>
    <xf numFmtId="175" fontId="32" fillId="0" borderId="47" xfId="2" applyNumberFormat="1" applyFont="1" applyBorder="1" applyAlignment="1" applyProtection="1">
      <alignment horizontal="center"/>
    </xf>
    <xf numFmtId="175" fontId="32" fillId="0" borderId="79" xfId="2" applyNumberFormat="1" applyFont="1" applyBorder="1" applyAlignment="1" applyProtection="1">
      <alignment horizontal="center"/>
    </xf>
    <xf numFmtId="0" fontId="33" fillId="0" borderId="118" xfId="44" applyFont="1" applyBorder="1" applyAlignment="1">
      <alignment horizontal="left" wrapText="1"/>
    </xf>
    <xf numFmtId="0" fontId="33" fillId="0" borderId="121" xfId="44" applyFont="1" applyBorder="1" applyAlignment="1">
      <alignment horizontal="left" wrapText="1"/>
    </xf>
    <xf numFmtId="0" fontId="33" fillId="0" borderId="28" xfId="44" applyFont="1" applyBorder="1" applyAlignment="1">
      <alignment horizontal="center"/>
    </xf>
    <xf numFmtId="0" fontId="33" fillId="0" borderId="40" xfId="44" applyFont="1" applyBorder="1" applyAlignment="1">
      <alignment horizontal="center"/>
    </xf>
    <xf numFmtId="0" fontId="47" fillId="0" borderId="36" xfId="44" applyFont="1" applyBorder="1" applyAlignment="1">
      <alignment horizontal="left" wrapText="1"/>
    </xf>
    <xf numFmtId="0" fontId="47" fillId="0" borderId="0" xfId="44" applyFont="1" applyBorder="1" applyAlignment="1">
      <alignment horizontal="left" wrapText="1"/>
    </xf>
    <xf numFmtId="0" fontId="47" fillId="0" borderId="47" xfId="44" applyFont="1" applyBorder="1" applyAlignment="1">
      <alignment horizontal="left" wrapText="1"/>
    </xf>
    <xf numFmtId="0" fontId="33" fillId="0" borderId="43" xfId="44" applyFont="1" applyBorder="1" applyAlignment="1">
      <alignment horizontal="center"/>
    </xf>
    <xf numFmtId="0" fontId="33" fillId="0" borderId="86" xfId="44" applyFont="1" applyBorder="1" applyAlignment="1">
      <alignment horizontal="center"/>
    </xf>
    <xf numFmtId="0" fontId="33" fillId="0" borderId="41" xfId="44" applyFont="1" applyBorder="1" applyAlignment="1">
      <alignment horizontal="center"/>
    </xf>
    <xf numFmtId="0" fontId="33" fillId="0" borderId="27" xfId="44" applyFont="1" applyBorder="1" applyAlignment="1">
      <alignment horizontal="center"/>
    </xf>
    <xf numFmtId="0" fontId="33" fillId="0" borderId="33" xfId="44" applyFont="1" applyBorder="1" applyAlignment="1">
      <alignment horizontal="center"/>
    </xf>
    <xf numFmtId="0" fontId="33" fillId="0" borderId="3" xfId="54" applyFont="1" applyBorder="1" applyAlignment="1" applyProtection="1">
      <alignment horizontal="center"/>
      <protection locked="0"/>
    </xf>
    <xf numFmtId="0" fontId="33" fillId="0" borderId="35" xfId="54" applyFont="1" applyBorder="1" applyAlignment="1" applyProtection="1">
      <alignment horizontal="center"/>
      <protection locked="0"/>
    </xf>
    <xf numFmtId="0" fontId="13" fillId="0" borderId="0" xfId="51" applyFont="1" applyBorder="1" applyAlignment="1" applyProtection="1">
      <alignment horizontal="left" vertical="top" wrapText="1"/>
    </xf>
    <xf numFmtId="0" fontId="13" fillId="40" borderId="0" xfId="51" quotePrefix="1" applyFont="1" applyFill="1" applyBorder="1" applyAlignment="1" applyProtection="1">
      <alignment horizontal="left" vertical="top" wrapText="1"/>
    </xf>
    <xf numFmtId="0" fontId="48" fillId="0" borderId="0" xfId="612" applyBorder="1" applyAlignment="1" applyProtection="1">
      <alignment horizontal="left" vertical="center"/>
    </xf>
    <xf numFmtId="0" fontId="76" fillId="0" borderId="1" xfId="54" applyFont="1" applyBorder="1" applyAlignment="1" applyProtection="1">
      <alignment horizontal="center" vertical="center" wrapText="1"/>
    </xf>
    <xf numFmtId="0" fontId="48" fillId="0" borderId="3" xfId="612" applyBorder="1" applyAlignment="1" applyProtection="1">
      <alignment horizontal="left" vertical="center"/>
    </xf>
    <xf numFmtId="0" fontId="48" fillId="0" borderId="50" xfId="612" applyBorder="1" applyAlignment="1" applyProtection="1">
      <alignment horizontal="left" vertical="center"/>
    </xf>
    <xf numFmtId="0" fontId="48" fillId="0" borderId="35" xfId="612" applyBorder="1" applyAlignment="1" applyProtection="1">
      <alignment horizontal="left" vertical="center"/>
    </xf>
    <xf numFmtId="0" fontId="13" fillId="40" borderId="3" xfId="54" applyFont="1" applyFill="1" applyBorder="1" applyAlignment="1" applyProtection="1">
      <alignment horizontal="left" vertical="center" wrapText="1"/>
    </xf>
    <xf numFmtId="0" fontId="13" fillId="40" borderId="50" xfId="54" applyFont="1" applyFill="1" applyBorder="1" applyAlignment="1" applyProtection="1">
      <alignment horizontal="left" vertical="center" wrapText="1"/>
    </xf>
    <xf numFmtId="0" fontId="13" fillId="40" borderId="35" xfId="54" applyFont="1" applyFill="1" applyBorder="1" applyAlignment="1" applyProtection="1">
      <alignment horizontal="left" vertical="center" wrapText="1"/>
    </xf>
    <xf numFmtId="0" fontId="13" fillId="49" borderId="3" xfId="54" applyFont="1" applyFill="1" applyBorder="1" applyAlignment="1" applyProtection="1">
      <alignment horizontal="left" vertical="center" wrapText="1"/>
    </xf>
    <xf numFmtId="0" fontId="13" fillId="49" borderId="35" xfId="54" applyFont="1" applyFill="1" applyBorder="1" applyAlignment="1" applyProtection="1">
      <alignment horizontal="left" vertical="center" wrapText="1"/>
    </xf>
    <xf numFmtId="0" fontId="13" fillId="0" borderId="3" xfId="54" applyFont="1" applyBorder="1" applyAlignment="1" applyProtection="1">
      <alignment horizontal="left" vertical="center" wrapText="1"/>
    </xf>
    <xf numFmtId="0" fontId="13" fillId="0" borderId="50" xfId="54" applyFont="1" applyBorder="1" applyAlignment="1" applyProtection="1">
      <alignment horizontal="left" vertical="center" wrapText="1"/>
    </xf>
    <xf numFmtId="0" fontId="13" fillId="0" borderId="35" xfId="54" applyFont="1" applyBorder="1" applyAlignment="1" applyProtection="1">
      <alignment horizontal="left" vertical="center" wrapText="1"/>
    </xf>
    <xf numFmtId="0" fontId="82" fillId="0" borderId="0" xfId="618" applyFont="1" applyFill="1" applyBorder="1" applyAlignment="1" applyProtection="1">
      <alignment horizontal="right"/>
      <protection locked="0"/>
    </xf>
    <xf numFmtId="0" fontId="76" fillId="40" borderId="3" xfId="618" applyFont="1" applyFill="1" applyBorder="1" applyAlignment="1" applyProtection="1">
      <alignment horizontal="center" vertical="center" wrapText="1"/>
    </xf>
    <xf numFmtId="0" fontId="76" fillId="40" borderId="35" xfId="618" applyFont="1" applyFill="1" applyBorder="1" applyAlignment="1" applyProtection="1">
      <alignment horizontal="center" vertical="center" wrapText="1"/>
    </xf>
    <xf numFmtId="49" fontId="84" fillId="49" borderId="16" xfId="618" applyNumberFormat="1" applyFont="1" applyFill="1" applyBorder="1" applyAlignment="1" applyProtection="1">
      <alignment horizontal="left" vertical="center" wrapText="1"/>
      <protection locked="0"/>
    </xf>
    <xf numFmtId="0" fontId="84" fillId="49" borderId="42" xfId="618" applyFont="1" applyFill="1" applyBorder="1" applyAlignment="1" applyProtection="1">
      <alignment horizontal="left" vertical="center" wrapText="1"/>
      <protection locked="0"/>
    </xf>
    <xf numFmtId="0" fontId="76" fillId="40" borderId="28" xfId="618" applyFont="1" applyFill="1" applyBorder="1" applyAlignment="1" applyProtection="1">
      <alignment horizontal="left" wrapText="1"/>
    </xf>
    <xf numFmtId="0" fontId="76" fillId="40" borderId="86" xfId="618" applyFont="1" applyFill="1" applyBorder="1" applyAlignment="1" applyProtection="1">
      <alignment horizontal="left" wrapText="1"/>
    </xf>
    <xf numFmtId="0" fontId="103" fillId="0" borderId="0" xfId="618" applyFont="1" applyFill="1" applyBorder="1" applyAlignment="1" applyProtection="1">
      <alignment vertical="top" wrapText="1"/>
    </xf>
    <xf numFmtId="0" fontId="103" fillId="0" borderId="0" xfId="618" applyFont="1" applyFill="1" applyBorder="1" applyAlignment="1" applyProtection="1">
      <alignment horizontal="left" vertical="top" wrapText="1"/>
    </xf>
    <xf numFmtId="0" fontId="92" fillId="44" borderId="3" xfId="505" applyFont="1" applyFill="1" applyBorder="1" applyAlignment="1" applyProtection="1">
      <alignment horizontal="left" vertical="top" wrapText="1"/>
      <protection locked="0"/>
    </xf>
    <xf numFmtId="0" fontId="92" fillId="44" borderId="35" xfId="505" applyFont="1" applyFill="1" applyBorder="1" applyAlignment="1" applyProtection="1">
      <alignment horizontal="left" vertical="top" wrapText="1"/>
      <protection locked="0"/>
    </xf>
    <xf numFmtId="0" fontId="92" fillId="0" borderId="3" xfId="505" applyFont="1" applyBorder="1" applyAlignment="1" applyProtection="1">
      <alignment horizontal="left" vertical="top" wrapText="1"/>
    </xf>
    <xf numFmtId="0" fontId="92" fillId="0" borderId="50" xfId="505" applyFont="1" applyBorder="1" applyAlignment="1" applyProtection="1">
      <alignment horizontal="left" vertical="top" wrapText="1"/>
    </xf>
    <xf numFmtId="0" fontId="92" fillId="0" borderId="1" xfId="505" applyFont="1" applyBorder="1" applyAlignment="1" applyProtection="1">
      <alignment horizontal="left" vertical="top" wrapText="1"/>
    </xf>
    <xf numFmtId="0" fontId="92" fillId="0" borderId="35" xfId="505" applyFont="1" applyBorder="1" applyAlignment="1" applyProtection="1">
      <alignment horizontal="left" vertical="top" wrapText="1"/>
    </xf>
    <xf numFmtId="0" fontId="91" fillId="40" borderId="28" xfId="505" applyFont="1" applyFill="1" applyBorder="1" applyAlignment="1" applyProtection="1">
      <alignment horizontal="left" wrapText="1"/>
    </xf>
    <xf numFmtId="0" fontId="91" fillId="40" borderId="84" xfId="505" applyFont="1" applyFill="1" applyBorder="1" applyAlignment="1" applyProtection="1">
      <alignment horizontal="left" wrapText="1"/>
    </xf>
    <xf numFmtId="0" fontId="91" fillId="40" borderId="40" xfId="505" applyFont="1" applyFill="1" applyBorder="1" applyAlignment="1" applyProtection="1">
      <alignment horizontal="left" wrapText="1"/>
    </xf>
    <xf numFmtId="0" fontId="89" fillId="53" borderId="16" xfId="505" applyFont="1" applyFill="1" applyBorder="1" applyAlignment="1" applyProtection="1">
      <alignment horizontal="left" vertical="top"/>
    </xf>
    <xf numFmtId="0" fontId="89" fillId="53" borderId="42" xfId="505" applyFont="1" applyFill="1" applyBorder="1" applyAlignment="1" applyProtection="1">
      <alignment horizontal="left" vertical="top"/>
    </xf>
    <xf numFmtId="0" fontId="92" fillId="0" borderId="1" xfId="505" applyFont="1" applyFill="1" applyBorder="1" applyAlignment="1" applyProtection="1">
      <alignment horizontal="left" vertical="top" wrapText="1"/>
    </xf>
    <xf numFmtId="0" fontId="91" fillId="0" borderId="1" xfId="505" applyFont="1" applyBorder="1" applyAlignment="1" applyProtection="1">
      <alignment horizontal="left" vertical="top" wrapText="1"/>
    </xf>
    <xf numFmtId="0" fontId="11" fillId="0" borderId="0" xfId="618" applyFont="1" applyFill="1" applyBorder="1" applyAlignment="1" applyProtection="1">
      <alignment horizontal="left" vertical="top" wrapText="1"/>
    </xf>
    <xf numFmtId="0" fontId="89" fillId="49" borderId="16" xfId="505" applyFont="1" applyFill="1" applyBorder="1" applyAlignment="1" applyProtection="1">
      <alignment horizontal="center" wrapText="1"/>
      <protection locked="0"/>
    </xf>
    <xf numFmtId="0" fontId="89" fillId="49" borderId="42" xfId="505" applyFont="1" applyFill="1" applyBorder="1" applyAlignment="1" applyProtection="1">
      <alignment horizontal="center" wrapText="1"/>
      <protection locked="0"/>
    </xf>
    <xf numFmtId="0" fontId="91" fillId="0" borderId="3" xfId="505" applyFont="1" applyBorder="1" applyAlignment="1" applyProtection="1">
      <alignment horizontal="left" vertical="top" wrapText="1"/>
    </xf>
    <xf numFmtId="0" fontId="91" fillId="0" borderId="50" xfId="505" applyFont="1" applyBorder="1" applyAlignment="1" applyProtection="1">
      <alignment horizontal="left" vertical="top" wrapText="1"/>
    </xf>
    <xf numFmtId="0" fontId="91" fillId="0" borderId="35" xfId="505" applyFont="1" applyBorder="1" applyAlignment="1" applyProtection="1">
      <alignment horizontal="left" vertical="top" wrapText="1"/>
    </xf>
    <xf numFmtId="0" fontId="96" fillId="50" borderId="3" xfId="54" applyFont="1" applyFill="1" applyBorder="1" applyAlignment="1" applyProtection="1">
      <alignment horizontal="center" vertical="center" wrapText="1"/>
    </xf>
    <xf numFmtId="0" fontId="96" fillId="50" borderId="35" xfId="54" applyFont="1" applyFill="1" applyBorder="1" applyAlignment="1" applyProtection="1">
      <alignment horizontal="center" vertical="center" wrapText="1"/>
    </xf>
    <xf numFmtId="0" fontId="97" fillId="56" borderId="1" xfId="54" applyFont="1" applyFill="1" applyBorder="1" applyAlignment="1" applyProtection="1">
      <alignment horizontal="center" vertical="center" wrapText="1"/>
    </xf>
    <xf numFmtId="0" fontId="96" fillId="56" borderId="16" xfId="54" applyFont="1" applyFill="1" applyBorder="1" applyAlignment="1" applyProtection="1">
      <alignment horizontal="center" vertical="center" wrapText="1"/>
    </xf>
    <xf numFmtId="0" fontId="96" fillId="56" borderId="2" xfId="54" applyFont="1" applyFill="1" applyBorder="1" applyAlignment="1" applyProtection="1">
      <alignment horizontal="center" vertical="center" wrapText="1"/>
    </xf>
    <xf numFmtId="0" fontId="96" fillId="56" borderId="42" xfId="54" applyFont="1" applyFill="1" applyBorder="1" applyAlignment="1" applyProtection="1">
      <alignment horizontal="center" vertical="center" wrapText="1"/>
    </xf>
    <xf numFmtId="0" fontId="13" fillId="0" borderId="0" xfId="54" applyFont="1" applyAlignment="1" applyProtection="1">
      <alignment horizontal="left" vertical="top" wrapText="1"/>
    </xf>
    <xf numFmtId="0" fontId="96" fillId="56" borderId="1" xfId="54" applyFont="1" applyFill="1" applyBorder="1" applyAlignment="1" applyProtection="1">
      <alignment horizontal="center" vertical="center" wrapText="1"/>
    </xf>
    <xf numFmtId="0" fontId="104" fillId="40" borderId="0" xfId="618" applyFont="1" applyFill="1" applyBorder="1" applyAlignment="1" applyProtection="1">
      <alignment horizontal="left" vertical="top" wrapText="1"/>
      <protection locked="0"/>
    </xf>
    <xf numFmtId="0" fontId="105" fillId="40" borderId="3" xfId="54" applyFont="1" applyFill="1" applyBorder="1" applyAlignment="1" applyProtection="1">
      <alignment horizontal="left" wrapText="1"/>
    </xf>
    <xf numFmtId="0" fontId="105" fillId="40" borderId="35" xfId="54" applyFont="1" applyFill="1" applyBorder="1" applyAlignment="1" applyProtection="1">
      <alignment horizontal="left" wrapText="1"/>
    </xf>
    <xf numFmtId="0" fontId="79" fillId="40" borderId="3" xfId="54" applyFont="1" applyFill="1" applyBorder="1" applyAlignment="1" applyProtection="1">
      <alignment horizontal="left" wrapText="1"/>
    </xf>
    <xf numFmtId="0" fontId="79" fillId="40" borderId="50" xfId="54" applyFont="1" applyFill="1" applyBorder="1" applyAlignment="1" applyProtection="1">
      <alignment horizontal="left" wrapText="1"/>
    </xf>
    <xf numFmtId="0" fontId="79" fillId="51" borderId="1" xfId="54" applyFont="1" applyFill="1" applyBorder="1" applyAlignment="1" applyProtection="1">
      <alignment horizontal="left" vertical="top" wrapText="1"/>
      <protection locked="0"/>
    </xf>
    <xf numFmtId="0" fontId="88" fillId="51" borderId="1" xfId="54" applyFont="1" applyFill="1" applyBorder="1" applyAlignment="1" applyProtection="1">
      <alignment horizontal="left" vertical="top"/>
      <protection locked="0"/>
    </xf>
    <xf numFmtId="49" fontId="79" fillId="51" borderId="16" xfId="54" applyNumberFormat="1" applyFont="1" applyFill="1" applyBorder="1" applyAlignment="1" applyProtection="1">
      <alignment horizontal="left" vertical="top" wrapText="1"/>
      <protection locked="0"/>
    </xf>
    <xf numFmtId="49" fontId="79" fillId="51" borderId="2" xfId="54" applyNumberFormat="1" applyFont="1" applyFill="1" applyBorder="1" applyAlignment="1" applyProtection="1">
      <alignment horizontal="left" vertical="top" wrapText="1"/>
      <protection locked="0"/>
    </xf>
    <xf numFmtId="49" fontId="79" fillId="51" borderId="42" xfId="54" applyNumberFormat="1" applyFont="1" applyFill="1" applyBorder="1" applyAlignment="1" applyProtection="1">
      <alignment horizontal="left" vertical="top" wrapText="1"/>
      <protection locked="0"/>
    </xf>
    <xf numFmtId="0" fontId="90" fillId="50" borderId="2" xfId="54" applyFont="1" applyFill="1" applyBorder="1" applyAlignment="1" applyProtection="1">
      <alignment horizontal="left" vertical="top" wrapText="1"/>
    </xf>
    <xf numFmtId="0" fontId="76" fillId="40" borderId="0" xfId="54" applyFont="1" applyFill="1" applyBorder="1" applyAlignment="1" applyProtection="1">
      <alignment wrapText="1"/>
    </xf>
    <xf numFmtId="0" fontId="13" fillId="40" borderId="0" xfId="54" applyFill="1" applyBorder="1" applyAlignment="1" applyProtection="1">
      <alignment wrapText="1"/>
    </xf>
    <xf numFmtId="0" fontId="13" fillId="40" borderId="102" xfId="54" applyFont="1" applyFill="1" applyBorder="1" applyAlignment="1" applyProtection="1">
      <alignment horizontal="left" vertical="top" wrapText="1"/>
      <protection locked="0"/>
    </xf>
    <xf numFmtId="0" fontId="13" fillId="38" borderId="102" xfId="54" applyFill="1" applyBorder="1" applyAlignment="1" applyProtection="1">
      <alignment horizontal="left" vertical="top" wrapText="1"/>
      <protection locked="0"/>
    </xf>
    <xf numFmtId="0" fontId="13" fillId="40" borderId="0" xfId="54" applyFont="1" applyFill="1" applyBorder="1" applyAlignment="1" applyProtection="1">
      <alignment horizontal="left" wrapText="1"/>
    </xf>
    <xf numFmtId="0" fontId="13" fillId="0" borderId="1" xfId="54" applyFont="1" applyBorder="1" applyAlignment="1" applyProtection="1">
      <alignment horizontal="left" vertical="top" wrapText="1"/>
    </xf>
    <xf numFmtId="0" fontId="13" fillId="25" borderId="0" xfId="54" applyFont="1" applyFill="1" applyBorder="1" applyAlignment="1" applyProtection="1">
      <alignment horizontal="left" vertical="top" wrapText="1"/>
    </xf>
    <xf numFmtId="0" fontId="13" fillId="40" borderId="1" xfId="54" applyFont="1" applyFill="1" applyBorder="1" applyAlignment="1" applyProtection="1">
      <alignment horizontal="left" vertical="top" wrapText="1"/>
    </xf>
    <xf numFmtId="0" fontId="76" fillId="40" borderId="1" xfId="54" applyFont="1" applyFill="1" applyBorder="1" applyAlignment="1" applyProtection="1">
      <alignment horizontal="left" vertical="top" wrapText="1"/>
    </xf>
    <xf numFmtId="0" fontId="13" fillId="52" borderId="1" xfId="54" applyFont="1" applyFill="1" applyBorder="1" applyAlignment="1" applyProtection="1">
      <alignment horizontal="left" vertical="top" wrapText="1"/>
    </xf>
    <xf numFmtId="0" fontId="13" fillId="40" borderId="105" xfId="54" applyFont="1" applyFill="1" applyBorder="1" applyAlignment="1" applyProtection="1">
      <alignment horizontal="left" vertical="top" wrapText="1"/>
      <protection locked="0"/>
    </xf>
    <xf numFmtId="0" fontId="13" fillId="40" borderId="104" xfId="54" applyFont="1" applyFill="1" applyBorder="1" applyAlignment="1" applyProtection="1">
      <alignment horizontal="left" vertical="top" wrapText="1"/>
      <protection locked="0"/>
    </xf>
    <xf numFmtId="0" fontId="76" fillId="40" borderId="0" xfId="54" applyFont="1" applyFill="1" applyBorder="1" applyAlignment="1" applyProtection="1">
      <alignment horizontal="left" wrapText="1"/>
    </xf>
    <xf numFmtId="0" fontId="13" fillId="40" borderId="16" xfId="54" applyFont="1" applyFill="1" applyBorder="1" applyAlignment="1" applyProtection="1">
      <alignment horizontal="left" vertical="top" wrapText="1"/>
    </xf>
    <xf numFmtId="0" fontId="13" fillId="25" borderId="2" xfId="54" applyFont="1" applyFill="1" applyBorder="1" applyAlignment="1" applyProtection="1">
      <alignment horizontal="left" vertical="top" wrapText="1"/>
    </xf>
    <xf numFmtId="0" fontId="13" fillId="40" borderId="27" xfId="54" applyFont="1" applyFill="1" applyBorder="1" applyAlignment="1" applyProtection="1">
      <alignment horizontal="left" vertical="top" wrapText="1"/>
    </xf>
    <xf numFmtId="0" fontId="13" fillId="40" borderId="93" xfId="54" applyFont="1" applyFill="1" applyBorder="1" applyAlignment="1" applyProtection="1">
      <alignment horizontal="left" vertical="top" wrapText="1"/>
    </xf>
    <xf numFmtId="0" fontId="13" fillId="49" borderId="102" xfId="54" applyFont="1" applyFill="1" applyBorder="1" applyAlignment="1" applyProtection="1">
      <alignment horizontal="left" vertical="top"/>
      <protection locked="0"/>
    </xf>
    <xf numFmtId="0" fontId="13" fillId="49" borderId="102" xfId="54" applyFill="1" applyBorder="1" applyAlignment="1" applyProtection="1">
      <alignment horizontal="left" vertical="top"/>
      <protection locked="0"/>
    </xf>
    <xf numFmtId="0" fontId="90" fillId="50" borderId="16" xfId="54" applyFont="1" applyFill="1" applyBorder="1" applyAlignment="1" applyProtection="1">
      <alignment horizontal="center" vertical="center"/>
    </xf>
    <xf numFmtId="0" fontId="90" fillId="50" borderId="2" xfId="54" applyFont="1" applyFill="1" applyBorder="1" applyAlignment="1" applyProtection="1">
      <alignment horizontal="center" vertical="center"/>
    </xf>
    <xf numFmtId="0" fontId="90" fillId="50" borderId="0" xfId="54" applyFont="1" applyFill="1" applyBorder="1" applyAlignment="1" applyProtection="1">
      <alignment horizontal="center" vertical="center"/>
    </xf>
    <xf numFmtId="0" fontId="90" fillId="50" borderId="41" xfId="54" applyFont="1" applyFill="1" applyBorder="1" applyAlignment="1" applyProtection="1">
      <alignment horizontal="center" vertical="center"/>
    </xf>
    <xf numFmtId="0" fontId="76" fillId="0" borderId="16" xfId="54" applyFont="1" applyFill="1" applyBorder="1" applyAlignment="1" applyProtection="1">
      <alignment horizontal="left" vertical="top" wrapText="1"/>
    </xf>
    <xf numFmtId="0" fontId="76" fillId="0" borderId="2" xfId="54" applyFont="1" applyFill="1" applyBorder="1" applyAlignment="1" applyProtection="1">
      <alignment horizontal="left" vertical="top" wrapText="1"/>
    </xf>
    <xf numFmtId="0" fontId="13" fillId="59" borderId="102" xfId="54" applyFont="1" applyFill="1" applyBorder="1" applyAlignment="1" applyProtection="1">
      <alignment horizontal="left" vertical="top" wrapText="1"/>
      <protection locked="0"/>
    </xf>
    <xf numFmtId="0" fontId="76" fillId="25" borderId="16" xfId="54" applyFont="1" applyFill="1" applyBorder="1" applyAlignment="1" applyProtection="1">
      <alignment horizontal="left" vertical="top" wrapText="1"/>
    </xf>
    <xf numFmtId="0" fontId="76" fillId="25" borderId="2" xfId="54" applyFont="1" applyFill="1" applyBorder="1" applyAlignment="1" applyProtection="1">
      <alignment horizontal="left" vertical="top" wrapText="1"/>
    </xf>
    <xf numFmtId="0" fontId="76" fillId="0" borderId="1" xfId="54" applyFont="1" applyBorder="1" applyAlignment="1" applyProtection="1">
      <alignment horizontal="left" vertical="top" wrapText="1"/>
    </xf>
    <xf numFmtId="0" fontId="76" fillId="0" borderId="35" xfId="54" applyFont="1" applyBorder="1" applyAlignment="1" applyProtection="1">
      <alignment horizontal="left" vertical="top" wrapText="1"/>
    </xf>
    <xf numFmtId="0" fontId="76" fillId="0" borderId="27" xfId="54" applyFont="1" applyBorder="1" applyAlignment="1" applyProtection="1">
      <alignment horizontal="left" vertical="top" wrapText="1"/>
    </xf>
    <xf numFmtId="0" fontId="76" fillId="0" borderId="16" xfId="54" applyFont="1" applyBorder="1" applyAlignment="1" applyProtection="1">
      <alignment horizontal="left" vertical="top" wrapText="1"/>
    </xf>
    <xf numFmtId="0" fontId="76" fillId="40" borderId="42" xfId="54" applyFont="1" applyFill="1" applyBorder="1" applyAlignment="1" applyProtection="1">
      <alignment horizontal="left" vertical="top" wrapText="1"/>
    </xf>
    <xf numFmtId="0" fontId="13" fillId="43" borderId="16" xfId="54" applyFont="1" applyFill="1" applyBorder="1" applyAlignment="1" applyProtection="1">
      <alignment horizontal="left" vertical="top" wrapText="1"/>
    </xf>
    <xf numFmtId="0" fontId="13" fillId="43" borderId="42" xfId="54" applyFont="1" applyFill="1" applyBorder="1" applyAlignment="1" applyProtection="1">
      <alignment horizontal="left" vertical="top" wrapText="1"/>
    </xf>
    <xf numFmtId="0" fontId="13" fillId="43" borderId="109" xfId="54" applyFont="1" applyFill="1" applyBorder="1" applyAlignment="1" applyProtection="1">
      <alignment horizontal="left" vertical="top" wrapText="1"/>
    </xf>
    <xf numFmtId="0" fontId="13" fillId="0" borderId="16" xfId="54" applyFont="1" applyBorder="1" applyAlignment="1" applyProtection="1">
      <alignment horizontal="left" vertical="top" wrapText="1"/>
    </xf>
    <xf numFmtId="0" fontId="13" fillId="0" borderId="42" xfId="54" applyBorder="1" applyAlignment="1" applyProtection="1">
      <alignment horizontal="left" vertical="top" wrapText="1"/>
    </xf>
    <xf numFmtId="0" fontId="13" fillId="59" borderId="102" xfId="54" applyFill="1" applyBorder="1" applyAlignment="1" applyProtection="1">
      <alignment horizontal="left" vertical="top" wrapText="1"/>
      <protection locked="0"/>
    </xf>
    <xf numFmtId="0" fontId="13" fillId="43" borderId="16" xfId="54" applyFill="1" applyBorder="1" applyAlignment="1" applyProtection="1">
      <alignment horizontal="left" vertical="top" wrapText="1"/>
    </xf>
    <xf numFmtId="0" fontId="13" fillId="43" borderId="109" xfId="54" applyFill="1" applyBorder="1" applyAlignment="1" applyProtection="1">
      <alignment horizontal="left" vertical="top" wrapText="1"/>
    </xf>
    <xf numFmtId="0" fontId="13" fillId="40" borderId="0" xfId="54" applyFill="1" applyAlignment="1" applyProtection="1">
      <alignment horizontal="left" wrapText="1"/>
    </xf>
    <xf numFmtId="0" fontId="13" fillId="40" borderId="0" xfId="54" applyFill="1" applyBorder="1" applyAlignment="1" applyProtection="1">
      <alignment horizontal="left" wrapText="1"/>
    </xf>
    <xf numFmtId="0" fontId="76" fillId="40" borderId="93" xfId="54" applyFont="1" applyFill="1" applyBorder="1" applyAlignment="1" applyProtection="1">
      <alignment horizontal="left" wrapText="1"/>
    </xf>
    <xf numFmtId="0" fontId="13" fillId="40" borderId="41" xfId="54" applyFill="1" applyBorder="1" applyAlignment="1" applyProtection="1">
      <alignment horizontal="left" vertical="center" wrapText="1"/>
    </xf>
    <xf numFmtId="0" fontId="13" fillId="40" borderId="50" xfId="54" applyFill="1" applyBorder="1" applyAlignment="1" applyProtection="1"/>
    <xf numFmtId="0" fontId="13" fillId="40" borderId="86" xfId="54" applyFill="1" applyBorder="1" applyAlignment="1" applyProtection="1"/>
    <xf numFmtId="0" fontId="13" fillId="40" borderId="0" xfId="54" applyFill="1" applyBorder="1" applyAlignment="1" applyProtection="1">
      <alignment horizontal="left"/>
    </xf>
    <xf numFmtId="0" fontId="13" fillId="40" borderId="0" xfId="54" applyFill="1" applyBorder="1" applyAlignment="1" applyProtection="1">
      <alignment horizontal="center"/>
      <protection locked="0"/>
    </xf>
    <xf numFmtId="0" fontId="13" fillId="40" borderId="0" xfId="54" quotePrefix="1" applyFont="1" applyFill="1" applyBorder="1" applyAlignment="1" applyProtection="1">
      <alignment horizontal="left" vertical="top" wrapText="1" indent="1"/>
    </xf>
    <xf numFmtId="0" fontId="13" fillId="40" borderId="0" xfId="54" applyFont="1" applyFill="1" applyBorder="1" applyAlignment="1" applyProtection="1">
      <alignment horizontal="left" vertical="center" wrapText="1"/>
    </xf>
    <xf numFmtId="14" fontId="13" fillId="40" borderId="0" xfId="54" applyNumberFormat="1" applyFill="1" applyBorder="1" applyAlignment="1" applyProtection="1">
      <alignment horizontal="center"/>
      <protection locked="0"/>
    </xf>
    <xf numFmtId="14" fontId="13" fillId="49" borderId="1" xfId="54" applyNumberFormat="1" applyFill="1" applyBorder="1" applyAlignment="1" applyProtection="1">
      <alignment horizontal="center"/>
      <protection locked="0"/>
    </xf>
    <xf numFmtId="0" fontId="13" fillId="49" borderId="1" xfId="54" applyFill="1" applyBorder="1" applyAlignment="1" applyProtection="1">
      <alignment horizontal="center"/>
      <protection locked="0"/>
    </xf>
    <xf numFmtId="0" fontId="109" fillId="50" borderId="16" xfId="54" applyFont="1" applyFill="1" applyBorder="1" applyAlignment="1" applyProtection="1">
      <alignment horizontal="left" vertical="top"/>
    </xf>
    <xf numFmtId="0" fontId="109" fillId="50" borderId="42" xfId="54" applyFont="1" applyFill="1" applyBorder="1" applyAlignment="1" applyProtection="1">
      <alignment horizontal="left" vertical="top"/>
    </xf>
    <xf numFmtId="0" fontId="109" fillId="50" borderId="1" xfId="54" applyFont="1" applyFill="1" applyBorder="1" applyAlignment="1" applyProtection="1">
      <alignment horizontal="left" vertical="top"/>
    </xf>
    <xf numFmtId="0" fontId="80" fillId="40" borderId="41" xfId="54" applyFont="1" applyFill="1" applyBorder="1" applyAlignment="1" applyProtection="1">
      <alignment horizontal="left"/>
    </xf>
    <xf numFmtId="0" fontId="80" fillId="40" borderId="50" xfId="54" applyFont="1" applyFill="1" applyBorder="1" applyAlignment="1" applyProtection="1">
      <alignment horizontal="left"/>
    </xf>
    <xf numFmtId="0" fontId="80" fillId="40" borderId="86" xfId="54" applyFont="1" applyFill="1" applyBorder="1" applyAlignment="1" applyProtection="1">
      <alignment horizontal="left"/>
    </xf>
    <xf numFmtId="14" fontId="13" fillId="49" borderId="16" xfId="54" applyNumberFormat="1" applyFont="1" applyFill="1" applyBorder="1" applyAlignment="1" applyProtection="1">
      <alignment horizontal="left"/>
      <protection locked="0"/>
    </xf>
    <xf numFmtId="14" fontId="13" fillId="49" borderId="42" xfId="54" applyNumberFormat="1" applyFont="1" applyFill="1" applyBorder="1" applyAlignment="1" applyProtection="1">
      <alignment horizontal="left"/>
      <protection locked="0"/>
    </xf>
    <xf numFmtId="0" fontId="13" fillId="49" borderId="1" xfId="54" applyFont="1" applyFill="1" applyBorder="1" applyAlignment="1" applyProtection="1">
      <alignment horizontal="left"/>
      <protection locked="0"/>
    </xf>
    <xf numFmtId="0" fontId="13" fillId="49" borderId="1" xfId="54" applyFill="1" applyBorder="1" applyAlignment="1" applyProtection="1">
      <alignment horizontal="left"/>
      <protection locked="0"/>
    </xf>
    <xf numFmtId="14" fontId="13" fillId="49" borderId="16" xfId="54" applyNumberFormat="1" applyFill="1" applyBorder="1" applyAlignment="1" applyProtection="1">
      <alignment horizontal="center"/>
      <protection locked="0"/>
    </xf>
    <xf numFmtId="14" fontId="13" fillId="49" borderId="42" xfId="54" applyNumberFormat="1" applyFill="1" applyBorder="1" applyAlignment="1" applyProtection="1">
      <alignment horizontal="center"/>
      <protection locked="0"/>
    </xf>
    <xf numFmtId="0" fontId="76" fillId="40" borderId="109" xfId="54" applyFont="1" applyFill="1" applyBorder="1" applyAlignment="1" applyProtection="1">
      <alignment horizontal="left" vertical="top" wrapText="1"/>
    </xf>
    <xf numFmtId="0" fontId="76" fillId="40" borderId="35" xfId="54" applyFont="1" applyFill="1" applyBorder="1" applyAlignment="1" applyProtection="1">
      <alignment horizontal="left" vertical="top" wrapText="1"/>
    </xf>
    <xf numFmtId="0" fontId="13" fillId="49" borderId="3" xfId="54" applyFont="1" applyFill="1" applyBorder="1" applyAlignment="1" applyProtection="1">
      <alignment horizontal="left" vertical="top" wrapText="1"/>
      <protection locked="0"/>
    </xf>
    <xf numFmtId="0" fontId="13" fillId="49" borderId="50" xfId="54" applyFont="1" applyFill="1" applyBorder="1" applyAlignment="1" applyProtection="1">
      <alignment horizontal="left" vertical="top" wrapText="1"/>
      <protection locked="0"/>
    </xf>
    <xf numFmtId="0" fontId="13" fillId="49" borderId="35" xfId="54" applyFont="1" applyFill="1" applyBorder="1" applyAlignment="1" applyProtection="1">
      <alignment horizontal="left" vertical="top" wrapText="1"/>
      <protection locked="0"/>
    </xf>
    <xf numFmtId="0" fontId="13" fillId="40" borderId="109" xfId="54" applyFont="1" applyFill="1" applyBorder="1" applyAlignment="1" applyProtection="1">
      <alignment horizontal="left" vertical="top" wrapText="1"/>
    </xf>
    <xf numFmtId="0" fontId="13" fillId="0" borderId="2" xfId="54" applyFont="1" applyBorder="1" applyAlignment="1" applyProtection="1">
      <alignment horizontal="left" vertical="top" wrapText="1"/>
    </xf>
    <xf numFmtId="0" fontId="76" fillId="40" borderId="0" xfId="54" applyFont="1" applyFill="1" applyBorder="1" applyAlignment="1" applyProtection="1">
      <alignment vertical="center" wrapText="1"/>
      <protection locked="0"/>
    </xf>
    <xf numFmtId="0" fontId="76" fillId="40" borderId="2" xfId="54" applyFont="1" applyFill="1" applyBorder="1" applyAlignment="1" applyProtection="1">
      <alignment horizontal="left" wrapText="1"/>
    </xf>
    <xf numFmtId="0" fontId="76" fillId="40" borderId="84" xfId="54" applyFont="1" applyFill="1" applyBorder="1" applyAlignment="1" applyProtection="1">
      <alignment horizontal="left" wrapText="1"/>
    </xf>
    <xf numFmtId="0" fontId="76" fillId="40" borderId="0" xfId="54" applyFont="1" applyFill="1" applyBorder="1" applyAlignment="1" applyProtection="1">
      <alignment horizontal="left" vertical="top" wrapText="1"/>
    </xf>
    <xf numFmtId="0" fontId="13" fillId="40" borderId="0" xfId="54" applyFont="1" applyFill="1" applyBorder="1" applyAlignment="1" applyProtection="1">
      <alignment horizontal="left" vertical="top" wrapText="1" indent="1"/>
    </xf>
    <xf numFmtId="14" fontId="13" fillId="49" borderId="42" xfId="54" applyNumberFormat="1" applyFill="1" applyBorder="1" applyAlignment="1" applyProtection="1">
      <alignment horizontal="left"/>
      <protection locked="0"/>
    </xf>
    <xf numFmtId="0" fontId="13" fillId="49" borderId="6" xfId="54" applyFont="1" applyFill="1" applyBorder="1" applyAlignment="1" applyProtection="1">
      <alignment horizontal="center" vertical="top" wrapText="1"/>
      <protection locked="0"/>
    </xf>
    <xf numFmtId="0" fontId="13" fillId="49" borderId="1" xfId="54" applyFont="1" applyFill="1" applyBorder="1" applyAlignment="1" applyProtection="1">
      <alignment horizontal="center" vertical="top" wrapText="1"/>
      <protection locked="0"/>
    </xf>
    <xf numFmtId="0" fontId="13" fillId="43" borderId="86" xfId="54" applyFont="1" applyFill="1" applyBorder="1" applyAlignment="1" applyProtection="1">
      <alignment horizontal="left" vertical="top" wrapText="1"/>
    </xf>
    <xf numFmtId="0" fontId="13" fillId="43" borderId="111" xfId="54" applyFont="1" applyFill="1" applyBorder="1" applyAlignment="1" applyProtection="1">
      <alignment horizontal="left" vertical="top" wrapText="1"/>
    </xf>
    <xf numFmtId="0" fontId="13" fillId="43" borderId="27" xfId="54" applyFont="1" applyFill="1" applyBorder="1" applyAlignment="1" applyProtection="1">
      <alignment horizontal="left" vertical="top" wrapText="1"/>
    </xf>
    <xf numFmtId="0" fontId="13" fillId="43" borderId="112" xfId="54" applyFont="1" applyFill="1" applyBorder="1" applyAlignment="1" applyProtection="1">
      <alignment horizontal="left" vertical="top" wrapText="1"/>
    </xf>
    <xf numFmtId="0" fontId="76" fillId="40" borderId="27" xfId="54" applyFont="1" applyFill="1" applyBorder="1" applyAlignment="1" applyProtection="1">
      <alignment horizontal="left" vertical="top" wrapText="1"/>
    </xf>
    <xf numFmtId="0" fontId="76" fillId="40" borderId="92" xfId="54" applyFont="1" applyFill="1" applyBorder="1" applyAlignment="1" applyProtection="1">
      <alignment horizontal="left" vertical="top" wrapText="1"/>
    </xf>
    <xf numFmtId="14" fontId="13" fillId="49" borderId="16" xfId="54" applyNumberFormat="1" applyFill="1" applyBorder="1" applyAlignment="1" applyProtection="1">
      <alignment horizontal="left"/>
      <protection locked="0"/>
    </xf>
    <xf numFmtId="0" fontId="76" fillId="40" borderId="81" xfId="54" applyFont="1" applyFill="1" applyBorder="1" applyAlignment="1" applyProtection="1">
      <alignment horizontal="left" wrapText="1"/>
    </xf>
    <xf numFmtId="14" fontId="13" fillId="49" borderId="1" xfId="54" applyNumberFormat="1" applyFont="1" applyFill="1" applyBorder="1" applyAlignment="1" applyProtection="1">
      <alignment horizontal="center"/>
      <protection locked="0"/>
    </xf>
    <xf numFmtId="0" fontId="13" fillId="0" borderId="28" xfId="54" applyFont="1" applyBorder="1" applyAlignment="1" applyProtection="1">
      <alignment horizontal="left" vertical="top" wrapText="1"/>
    </xf>
    <xf numFmtId="0" fontId="13" fillId="0" borderId="84" xfId="54" applyFont="1" applyBorder="1" applyAlignment="1" applyProtection="1">
      <alignment horizontal="left" vertical="top" wrapText="1"/>
    </xf>
    <xf numFmtId="0" fontId="13" fillId="0" borderId="113" xfId="54" applyFont="1" applyBorder="1" applyAlignment="1" applyProtection="1">
      <alignment horizontal="left" vertical="top" wrapText="1"/>
    </xf>
    <xf numFmtId="0" fontId="76" fillId="40" borderId="2" xfId="54" applyFont="1" applyFill="1" applyBorder="1" applyAlignment="1" applyProtection="1">
      <alignment horizontal="left"/>
    </xf>
    <xf numFmtId="0" fontId="13" fillId="0" borderId="42" xfId="54" applyFont="1" applyBorder="1" applyAlignment="1" applyProtection="1">
      <alignment horizontal="left" vertical="top" wrapText="1"/>
    </xf>
    <xf numFmtId="0" fontId="13" fillId="49" borderId="3" xfId="54" applyFont="1" applyFill="1" applyBorder="1" applyAlignment="1" applyProtection="1">
      <alignment horizontal="center" vertical="top" wrapText="1"/>
      <protection locked="0"/>
    </xf>
    <xf numFmtId="0" fontId="13" fillId="49" borderId="50" xfId="54" applyFont="1" applyFill="1" applyBorder="1" applyAlignment="1" applyProtection="1">
      <alignment horizontal="center" vertical="top" wrapText="1"/>
      <protection locked="0"/>
    </xf>
    <xf numFmtId="0" fontId="13" fillId="49" borderId="35" xfId="54" applyFont="1" applyFill="1" applyBorder="1" applyAlignment="1" applyProtection="1">
      <alignment horizontal="center" vertical="top" wrapText="1"/>
      <protection locked="0"/>
    </xf>
    <xf numFmtId="0" fontId="76" fillId="40" borderId="93" xfId="54" applyFont="1" applyFill="1" applyBorder="1" applyAlignment="1" applyProtection="1">
      <alignment horizontal="left" vertical="top" wrapText="1"/>
    </xf>
    <xf numFmtId="0" fontId="13" fillId="43" borderId="28" xfId="54" applyFont="1" applyFill="1" applyBorder="1" applyAlignment="1" applyProtection="1">
      <alignment horizontal="left" vertical="top" wrapText="1"/>
    </xf>
    <xf numFmtId="0" fontId="13" fillId="43" borderId="113" xfId="54" applyFont="1" applyFill="1" applyBorder="1" applyAlignment="1" applyProtection="1">
      <alignment horizontal="left" vertical="top" wrapText="1"/>
    </xf>
    <xf numFmtId="0" fontId="80" fillId="40" borderId="0" xfId="54" applyFont="1" applyFill="1" applyBorder="1" applyAlignment="1" applyProtection="1">
      <alignment horizontal="left"/>
    </xf>
    <xf numFmtId="0" fontId="13" fillId="40" borderId="0" xfId="54" applyFont="1" applyFill="1" applyBorder="1" applyAlignment="1" applyProtection="1"/>
    <xf numFmtId="0" fontId="112" fillId="25" borderId="28" xfId="54" applyFont="1" applyFill="1" applyBorder="1" applyAlignment="1" applyProtection="1">
      <alignment horizontal="left" vertical="top" wrapText="1"/>
    </xf>
    <xf numFmtId="0" fontId="112" fillId="25" borderId="84" xfId="54" applyFont="1" applyFill="1" applyBorder="1" applyAlignment="1" applyProtection="1">
      <alignment horizontal="left" vertical="top" wrapText="1"/>
    </xf>
    <xf numFmtId="0" fontId="76" fillId="25" borderId="42" xfId="54" applyFont="1" applyFill="1" applyBorder="1" applyAlignment="1" applyProtection="1">
      <alignment horizontal="left" vertical="top" wrapText="1"/>
    </xf>
    <xf numFmtId="0" fontId="13" fillId="0" borderId="27" xfId="54" applyFont="1" applyBorder="1" applyAlignment="1" applyProtection="1">
      <alignment horizontal="left" vertical="top" wrapText="1"/>
    </xf>
    <xf numFmtId="0" fontId="13" fillId="0" borderId="93" xfId="54" applyFont="1" applyBorder="1" applyAlignment="1" applyProtection="1">
      <alignment horizontal="left" vertical="top" wrapText="1"/>
    </xf>
    <xf numFmtId="0" fontId="13" fillId="59" borderId="102" xfId="54" applyFont="1" applyFill="1" applyBorder="1" applyAlignment="1" applyProtection="1">
      <alignment vertical="top" wrapText="1"/>
      <protection locked="0"/>
    </xf>
    <xf numFmtId="0" fontId="13" fillId="59" borderId="102" xfId="54" applyFill="1" applyBorder="1" applyAlignment="1" applyProtection="1">
      <alignment vertical="top" wrapText="1"/>
      <protection locked="0"/>
    </xf>
    <xf numFmtId="0" fontId="13" fillId="49" borderId="102" xfId="54" applyFill="1" applyBorder="1" applyAlignment="1" applyProtection="1">
      <alignment vertical="top"/>
      <protection locked="0"/>
    </xf>
    <xf numFmtId="0" fontId="13" fillId="59" borderId="105" xfId="54" applyFont="1" applyFill="1" applyBorder="1" applyAlignment="1" applyProtection="1">
      <alignment horizontal="left" vertical="top" wrapText="1"/>
      <protection locked="0"/>
    </xf>
    <xf numFmtId="0" fontId="13" fillId="59" borderId="114" xfId="54" applyFill="1" applyBorder="1" applyAlignment="1" applyProtection="1">
      <alignment horizontal="left" vertical="top" wrapText="1"/>
      <protection locked="0"/>
    </xf>
    <xf numFmtId="0" fontId="13" fillId="59" borderId="104" xfId="54" applyFill="1" applyBorder="1" applyAlignment="1" applyProtection="1">
      <alignment horizontal="left" vertical="top" wrapText="1"/>
      <protection locked="0"/>
    </xf>
    <xf numFmtId="0" fontId="13" fillId="40" borderId="0" xfId="54" applyFill="1" applyBorder="1" applyAlignment="1" applyProtection="1">
      <alignment horizontal="left"/>
      <protection locked="0"/>
    </xf>
    <xf numFmtId="0" fontId="13" fillId="0" borderId="1" xfId="54" applyBorder="1" applyAlignment="1" applyProtection="1">
      <alignment horizontal="left" vertical="top" wrapText="1"/>
    </xf>
    <xf numFmtId="0" fontId="13" fillId="40" borderId="86" xfId="54" applyFont="1" applyFill="1" applyBorder="1" applyAlignment="1" applyProtection="1">
      <alignment horizontal="left" vertical="center" wrapText="1"/>
    </xf>
    <xf numFmtId="0" fontId="76" fillId="40" borderId="101" xfId="54" applyFont="1" applyFill="1" applyBorder="1" applyAlignment="1" applyProtection="1">
      <alignment horizontal="left"/>
    </xf>
    <xf numFmtId="0" fontId="13" fillId="40" borderId="101" xfId="54" applyFill="1" applyBorder="1" applyAlignment="1" applyProtection="1">
      <alignment horizontal="left"/>
    </xf>
    <xf numFmtId="0" fontId="13" fillId="40" borderId="0" xfId="54" applyFont="1" applyFill="1" applyBorder="1" applyAlignment="1" applyProtection="1">
      <alignment horizontal="left"/>
    </xf>
    <xf numFmtId="0" fontId="13" fillId="40" borderId="0" xfId="54" quotePrefix="1" applyFont="1" applyFill="1" applyBorder="1" applyAlignment="1" applyProtection="1">
      <alignment horizontal="left" wrapText="1" indent="1"/>
    </xf>
    <xf numFmtId="0" fontId="76" fillId="50" borderId="2" xfId="54" applyFont="1" applyFill="1" applyBorder="1" applyAlignment="1" applyProtection="1">
      <alignment horizontal="center" vertical="center" wrapText="1"/>
    </xf>
    <xf numFmtId="14" fontId="13" fillId="49" borderId="16" xfId="54" applyNumberFormat="1" applyFont="1" applyFill="1" applyBorder="1" applyAlignment="1" applyProtection="1">
      <alignment horizontal="center"/>
      <protection locked="0"/>
    </xf>
    <xf numFmtId="0" fontId="13" fillId="0" borderId="102" xfId="54" applyFont="1" applyBorder="1" applyAlignment="1" applyProtection="1">
      <alignment horizontal="left" vertical="top" wrapText="1"/>
      <protection locked="0"/>
    </xf>
    <xf numFmtId="0" fontId="76" fillId="0" borderId="93" xfId="54" applyFont="1" applyBorder="1" applyAlignment="1" applyProtection="1">
      <alignment horizontal="left" wrapText="1"/>
    </xf>
    <xf numFmtId="0" fontId="13" fillId="0" borderId="1" xfId="54" applyFont="1" applyFill="1" applyBorder="1" applyAlignment="1" applyProtection="1">
      <alignment horizontal="left" vertical="top" wrapText="1"/>
      <protection locked="0"/>
    </xf>
    <xf numFmtId="0" fontId="76" fillId="0" borderId="0" xfId="54" applyFont="1" applyBorder="1" applyAlignment="1" applyProtection="1">
      <alignment horizontal="left" wrapText="1"/>
    </xf>
    <xf numFmtId="0" fontId="13" fillId="40" borderId="0" xfId="54" applyFill="1" applyBorder="1" applyProtection="1"/>
    <xf numFmtId="0" fontId="13" fillId="43" borderId="2" xfId="54" applyFont="1" applyFill="1" applyBorder="1" applyAlignment="1" applyProtection="1">
      <alignment horizontal="left" vertical="top" wrapText="1"/>
    </xf>
    <xf numFmtId="0" fontId="13" fillId="0" borderId="16" xfId="54" applyFont="1" applyFill="1" applyBorder="1" applyAlignment="1" applyProtection="1">
      <alignment horizontal="left" vertical="top" wrapText="1"/>
    </xf>
    <xf numFmtId="0" fontId="13" fillId="0" borderId="2" xfId="54" applyFont="1" applyFill="1" applyBorder="1" applyAlignment="1" applyProtection="1">
      <alignment horizontal="left" vertical="top" wrapText="1"/>
    </xf>
    <xf numFmtId="0" fontId="13" fillId="52" borderId="16" xfId="54" applyFont="1" applyFill="1" applyBorder="1" applyAlignment="1" applyProtection="1">
      <alignment horizontal="left" vertical="top" wrapText="1"/>
    </xf>
    <xf numFmtId="0" fontId="13" fillId="52" borderId="109" xfId="54" applyFont="1" applyFill="1" applyBorder="1" applyAlignment="1" applyProtection="1">
      <alignment horizontal="left" vertical="top" wrapText="1"/>
    </xf>
    <xf numFmtId="9" fontId="0" fillId="43" borderId="1" xfId="52" applyNumberFormat="1" applyFont="1" applyFill="1" applyBorder="1" applyAlignment="1" applyProtection="1">
      <alignment horizontal="center"/>
    </xf>
    <xf numFmtId="1" fontId="13" fillId="49" borderId="1" xfId="54" applyNumberFormat="1" applyFont="1" applyFill="1" applyBorder="1" applyAlignment="1" applyProtection="1">
      <alignment horizontal="center" wrapText="1"/>
      <protection locked="0"/>
    </xf>
    <xf numFmtId="0" fontId="76" fillId="0" borderId="16" xfId="54" applyFont="1" applyBorder="1" applyAlignment="1" applyProtection="1">
      <alignment horizontal="center" vertical="center" wrapText="1"/>
    </xf>
    <xf numFmtId="0" fontId="76" fillId="0" borderId="42" xfId="54" applyFont="1" applyBorder="1" applyAlignment="1" applyProtection="1">
      <alignment horizontal="center" vertical="center" wrapText="1"/>
    </xf>
    <xf numFmtId="1" fontId="13" fillId="49" borderId="1" xfId="54" quotePrefix="1" applyNumberFormat="1" applyFill="1" applyBorder="1" applyAlignment="1" applyProtection="1">
      <alignment horizontal="center"/>
      <protection locked="0"/>
    </xf>
    <xf numFmtId="0" fontId="76" fillId="25" borderId="16" xfId="54" applyFont="1" applyFill="1" applyBorder="1" applyAlignment="1" applyProtection="1">
      <alignment horizontal="left" vertical="top" wrapText="1"/>
      <protection locked="0"/>
    </xf>
    <xf numFmtId="0" fontId="76" fillId="25" borderId="2" xfId="54" applyFont="1" applyFill="1" applyBorder="1" applyAlignment="1" applyProtection="1">
      <alignment horizontal="left" vertical="top" wrapText="1"/>
      <protection locked="0"/>
    </xf>
    <xf numFmtId="0" fontId="76" fillId="25" borderId="28" xfId="54" applyFont="1" applyFill="1" applyBorder="1" applyAlignment="1" applyProtection="1">
      <alignment horizontal="left" vertical="top" wrapText="1"/>
    </xf>
    <xf numFmtId="0" fontId="76" fillId="25" borderId="84" xfId="54" applyFont="1" applyFill="1" applyBorder="1" applyAlignment="1" applyProtection="1">
      <alignment horizontal="left" vertical="top" wrapText="1"/>
    </xf>
    <xf numFmtId="0" fontId="76" fillId="0" borderId="109" xfId="54" applyFont="1" applyFill="1" applyBorder="1" applyAlignment="1" applyProtection="1">
      <alignment horizontal="left" vertical="top" wrapText="1"/>
    </xf>
    <xf numFmtId="0" fontId="90" fillId="50" borderId="27" xfId="54" applyFont="1" applyFill="1" applyBorder="1" applyAlignment="1" applyProtection="1">
      <alignment horizontal="center" vertical="center"/>
    </xf>
    <xf numFmtId="0" fontId="90" fillId="50" borderId="93" xfId="54" applyFont="1" applyFill="1" applyBorder="1" applyAlignment="1" applyProtection="1">
      <alignment horizontal="center" vertical="center"/>
    </xf>
    <xf numFmtId="0" fontId="76" fillId="25" borderId="109" xfId="54" applyFont="1" applyFill="1" applyBorder="1" applyAlignment="1" applyProtection="1">
      <alignment horizontal="left" vertical="top" wrapText="1"/>
    </xf>
    <xf numFmtId="0" fontId="76" fillId="0" borderId="1" xfId="54" applyFont="1" applyFill="1" applyBorder="1" applyAlignment="1" applyProtection="1">
      <alignment horizontal="left" vertical="top" wrapText="1"/>
    </xf>
    <xf numFmtId="0" fontId="76" fillId="0" borderId="35" xfId="54" applyFont="1" applyFill="1" applyBorder="1" applyAlignment="1" applyProtection="1">
      <alignment horizontal="left" vertical="top" wrapText="1"/>
    </xf>
    <xf numFmtId="0" fontId="76" fillId="0" borderId="27" xfId="54" applyFont="1" applyFill="1" applyBorder="1" applyAlignment="1" applyProtection="1">
      <alignment horizontal="left" vertical="top" wrapText="1"/>
    </xf>
    <xf numFmtId="0" fontId="13" fillId="40" borderId="0" xfId="54" applyFill="1" applyBorder="1" applyAlignment="1" applyProtection="1">
      <alignment horizontal="center"/>
    </xf>
    <xf numFmtId="0" fontId="76" fillId="0" borderId="16" xfId="54" applyFont="1" applyFill="1" applyBorder="1" applyAlignment="1" applyProtection="1">
      <alignment horizontal="left" vertical="top" wrapText="1"/>
      <protection locked="0"/>
    </xf>
    <xf numFmtId="0" fontId="76" fillId="0" borderId="2" xfId="54" applyFont="1" applyFill="1" applyBorder="1" applyAlignment="1" applyProtection="1">
      <alignment horizontal="left" vertical="top" wrapText="1"/>
      <protection locked="0"/>
    </xf>
    <xf numFmtId="0" fontId="90" fillId="50" borderId="28" xfId="54" applyFont="1" applyFill="1" applyBorder="1" applyAlignment="1" applyProtection="1">
      <alignment horizontal="center" vertical="center"/>
    </xf>
    <xf numFmtId="0" fontId="90" fillId="50" borderId="84" xfId="54" applyFont="1" applyFill="1" applyBorder="1" applyAlignment="1" applyProtection="1">
      <alignment horizontal="center" vertical="center"/>
    </xf>
    <xf numFmtId="0" fontId="90" fillId="50" borderId="40" xfId="54" applyFont="1" applyFill="1" applyBorder="1" applyAlignment="1" applyProtection="1">
      <alignment horizontal="center" vertical="center"/>
    </xf>
    <xf numFmtId="1" fontId="13" fillId="49" borderId="16" xfId="54" applyNumberFormat="1" applyFont="1" applyFill="1" applyBorder="1" applyAlignment="1" applyProtection="1">
      <alignment horizontal="center" wrapText="1"/>
      <protection locked="0"/>
    </xf>
    <xf numFmtId="1" fontId="13" fillId="49" borderId="42" xfId="54" applyNumberFormat="1" applyFont="1" applyFill="1" applyBorder="1" applyAlignment="1" applyProtection="1">
      <alignment horizontal="center" wrapText="1"/>
      <protection locked="0"/>
    </xf>
    <xf numFmtId="9" fontId="13" fillId="52" borderId="1" xfId="52" quotePrefix="1" applyFont="1" applyFill="1" applyBorder="1" applyAlignment="1" applyProtection="1">
      <alignment horizontal="center"/>
    </xf>
    <xf numFmtId="2" fontId="13" fillId="49" borderId="16" xfId="54" applyNumberFormat="1" applyFont="1" applyFill="1" applyBorder="1" applyAlignment="1" applyProtection="1">
      <alignment horizontal="left"/>
      <protection locked="0"/>
    </xf>
    <xf numFmtId="2" fontId="13" fillId="49" borderId="42" xfId="54" applyNumberFormat="1" applyFont="1" applyFill="1" applyBorder="1" applyAlignment="1" applyProtection="1">
      <alignment horizontal="left"/>
      <protection locked="0"/>
    </xf>
    <xf numFmtId="0" fontId="76" fillId="0" borderId="0" xfId="54" applyFont="1" applyBorder="1" applyAlignment="1" applyProtection="1">
      <alignment horizontal="center" vertical="center" wrapText="1"/>
      <protection locked="0"/>
    </xf>
    <xf numFmtId="0" fontId="76" fillId="0" borderId="0" xfId="54" applyFont="1" applyFill="1" applyBorder="1" applyAlignment="1" applyProtection="1">
      <alignment horizontal="center" vertical="center" wrapText="1"/>
      <protection locked="0"/>
    </xf>
    <xf numFmtId="1" fontId="13" fillId="49" borderId="16" xfId="54" quotePrefix="1" applyNumberFormat="1" applyFill="1" applyBorder="1" applyAlignment="1" applyProtection="1">
      <alignment horizontal="center"/>
      <protection locked="0"/>
    </xf>
    <xf numFmtId="1" fontId="13" fillId="49" borderId="42" xfId="54" quotePrefix="1" applyNumberFormat="1" applyFill="1" applyBorder="1" applyAlignment="1" applyProtection="1">
      <alignment horizontal="center"/>
      <protection locked="0"/>
    </xf>
    <xf numFmtId="0" fontId="13" fillId="40" borderId="42" xfId="54" applyFill="1" applyBorder="1" applyAlignment="1" applyProtection="1">
      <alignment horizontal="left" vertical="top"/>
    </xf>
    <xf numFmtId="0" fontId="13" fillId="59" borderId="114" xfId="54" applyFont="1" applyFill="1" applyBorder="1" applyAlignment="1" applyProtection="1">
      <alignment horizontal="left" vertical="top" wrapText="1"/>
      <protection locked="0"/>
    </xf>
    <xf numFmtId="0" fontId="13" fillId="59" borderId="104" xfId="54" applyFont="1" applyFill="1" applyBorder="1" applyAlignment="1" applyProtection="1">
      <alignment horizontal="left" vertical="top" wrapText="1"/>
      <protection locked="0"/>
    </xf>
    <xf numFmtId="0" fontId="13" fillId="0" borderId="42" xfId="54" applyBorder="1" applyAlignment="1" applyProtection="1">
      <alignment horizontal="left" vertical="top"/>
    </xf>
    <xf numFmtId="0" fontId="90" fillId="50" borderId="27" xfId="54" applyFont="1" applyFill="1" applyBorder="1" applyAlignment="1" applyProtection="1">
      <alignment horizontal="center" vertical="center"/>
      <protection locked="0"/>
    </xf>
    <xf numFmtId="0" fontId="90" fillId="50" borderId="93" xfId="54" applyFont="1" applyFill="1" applyBorder="1" applyAlignment="1" applyProtection="1">
      <alignment horizontal="center" vertical="center"/>
      <protection locked="0"/>
    </xf>
    <xf numFmtId="0" fontId="90" fillId="50" borderId="0" xfId="54" applyFont="1" applyFill="1" applyBorder="1" applyAlignment="1" applyProtection="1">
      <alignment horizontal="center" vertical="center"/>
      <protection locked="0"/>
    </xf>
    <xf numFmtId="0" fontId="90" fillId="50" borderId="41" xfId="54" applyFont="1" applyFill="1" applyBorder="1" applyAlignment="1" applyProtection="1">
      <alignment horizontal="center" vertical="center"/>
      <protection locked="0"/>
    </xf>
    <xf numFmtId="0" fontId="76" fillId="0" borderId="42" xfId="54" applyFont="1" applyFill="1" applyBorder="1" applyAlignment="1" applyProtection="1">
      <alignment horizontal="left" vertical="top" wrapText="1"/>
    </xf>
    <xf numFmtId="0" fontId="76" fillId="25" borderId="27" xfId="54" applyFont="1" applyFill="1" applyBorder="1" applyAlignment="1" applyProtection="1">
      <alignment horizontal="left" vertical="top" wrapText="1"/>
    </xf>
    <xf numFmtId="0" fontId="13" fillId="40" borderId="1" xfId="54" applyFill="1" applyBorder="1" applyAlignment="1" applyProtection="1">
      <alignment horizontal="left" vertical="top"/>
    </xf>
    <xf numFmtId="0" fontId="13" fillId="40" borderId="16" xfId="54" applyFill="1" applyBorder="1" applyAlignment="1" applyProtection="1">
      <alignment horizontal="left" vertical="top"/>
    </xf>
    <xf numFmtId="0" fontId="13" fillId="40" borderId="1" xfId="54" applyFont="1" applyFill="1" applyBorder="1" applyAlignment="1" applyProtection="1">
      <alignment horizontal="left" vertical="top"/>
    </xf>
    <xf numFmtId="0" fontId="13" fillId="40" borderId="16" xfId="54" applyFont="1" applyFill="1" applyBorder="1" applyAlignment="1" applyProtection="1">
      <alignment horizontal="left" vertical="top"/>
    </xf>
    <xf numFmtId="0" fontId="13" fillId="49" borderId="1" xfId="54" applyFont="1" applyFill="1" applyBorder="1" applyAlignment="1" applyProtection="1">
      <alignment horizontal="left" vertical="top" wrapText="1"/>
      <protection locked="0"/>
    </xf>
    <xf numFmtId="0" fontId="13" fillId="49" borderId="1" xfId="54" applyFill="1" applyBorder="1" applyAlignment="1" applyProtection="1">
      <alignment horizontal="left" vertical="top" wrapText="1"/>
      <protection locked="0"/>
    </xf>
    <xf numFmtId="0" fontId="13" fillId="49" borderId="16" xfId="54" applyFont="1" applyFill="1" applyBorder="1" applyAlignment="1" applyProtection="1">
      <alignment horizontal="left" vertical="top" wrapText="1"/>
      <protection locked="0"/>
    </xf>
    <xf numFmtId="0" fontId="13" fillId="49" borderId="42" xfId="54" applyFont="1" applyFill="1" applyBorder="1" applyAlignment="1" applyProtection="1">
      <alignment horizontal="left" vertical="top" wrapText="1"/>
      <protection locked="0"/>
    </xf>
    <xf numFmtId="0" fontId="76" fillId="40" borderId="116" xfId="54" applyFont="1" applyFill="1" applyBorder="1" applyAlignment="1" applyProtection="1">
      <alignment horizontal="left" wrapText="1"/>
    </xf>
    <xf numFmtId="0" fontId="13" fillId="43" borderId="84" xfId="54" applyFont="1" applyFill="1" applyBorder="1" applyAlignment="1" applyProtection="1">
      <alignment horizontal="left" vertical="top" wrapText="1"/>
    </xf>
    <xf numFmtId="0" fontId="13" fillId="43" borderId="116" xfId="54" applyFont="1" applyFill="1" applyBorder="1" applyAlignment="1" applyProtection="1">
      <alignment horizontal="left" vertical="top" wrapText="1"/>
    </xf>
    <xf numFmtId="0" fontId="76" fillId="40" borderId="93" xfId="54" applyFont="1" applyFill="1" applyBorder="1" applyAlignment="1" applyProtection="1">
      <alignment horizontal="center" wrapText="1"/>
    </xf>
    <xf numFmtId="0" fontId="13" fillId="43" borderId="42" xfId="54" applyFill="1" applyBorder="1" applyAlignment="1" applyProtection="1">
      <alignment horizontal="left" vertical="top" wrapText="1"/>
    </xf>
    <xf numFmtId="0" fontId="13" fillId="0" borderId="16" xfId="54" applyFont="1" applyBorder="1" applyAlignment="1" applyProtection="1">
      <alignment horizontal="left" vertical="top" wrapText="1"/>
      <protection locked="0"/>
    </xf>
    <xf numFmtId="0" fontId="13" fillId="0" borderId="42" xfId="54" applyFont="1" applyBorder="1" applyAlignment="1" applyProtection="1">
      <alignment horizontal="left" vertical="top" wrapText="1"/>
      <protection locked="0"/>
    </xf>
    <xf numFmtId="0" fontId="76" fillId="40" borderId="0" xfId="54" applyFont="1" applyFill="1" applyBorder="1" applyAlignment="1" applyProtection="1">
      <alignment horizontal="left" wrapText="1"/>
      <protection locked="0"/>
    </xf>
    <xf numFmtId="0" fontId="13" fillId="0" borderId="0" xfId="54" applyBorder="1" applyAlignment="1" applyProtection="1">
      <alignment horizontal="left" wrapText="1"/>
      <protection locked="0"/>
    </xf>
    <xf numFmtId="0" fontId="108" fillId="40" borderId="0" xfId="54" applyFont="1" applyFill="1" applyBorder="1" applyAlignment="1" applyProtection="1">
      <alignment horizontal="left" wrapText="1"/>
    </xf>
    <xf numFmtId="0" fontId="13" fillId="40" borderId="35" xfId="54" applyFont="1" applyFill="1" applyBorder="1" applyAlignment="1" applyProtection="1">
      <alignment horizontal="left" vertical="top" wrapText="1"/>
    </xf>
    <xf numFmtId="0" fontId="76" fillId="40" borderId="0" xfId="54" applyFont="1" applyFill="1" applyBorder="1" applyAlignment="1" applyProtection="1">
      <alignment horizontal="center" wrapText="1"/>
    </xf>
    <xf numFmtId="0" fontId="13" fillId="43" borderId="0" xfId="54" applyFont="1" applyFill="1" applyBorder="1" applyAlignment="1" applyProtection="1">
      <alignment horizontal="left" vertical="top" wrapText="1"/>
    </xf>
    <xf numFmtId="0" fontId="13" fillId="0" borderId="102" xfId="54" applyBorder="1" applyAlignment="1" applyProtection="1">
      <alignment horizontal="left" vertical="top" wrapText="1"/>
      <protection locked="0"/>
    </xf>
    <xf numFmtId="0" fontId="13" fillId="43" borderId="1" xfId="54" applyFill="1" applyBorder="1" applyAlignment="1" applyProtection="1">
      <alignment horizontal="left" vertical="top" wrapText="1"/>
    </xf>
    <xf numFmtId="0" fontId="13" fillId="43" borderId="27" xfId="54" applyFill="1" applyBorder="1" applyAlignment="1" applyProtection="1">
      <alignment horizontal="left" vertical="top" wrapText="1"/>
    </xf>
    <xf numFmtId="0" fontId="13" fillId="43" borderId="92" xfId="54" applyFill="1" applyBorder="1" applyAlignment="1" applyProtection="1">
      <alignment horizontal="left" vertical="top" wrapText="1"/>
    </xf>
    <xf numFmtId="0" fontId="13" fillId="0" borderId="16" xfId="54" applyFont="1" applyBorder="1" applyAlignment="1" applyProtection="1">
      <alignment horizontal="left"/>
    </xf>
    <xf numFmtId="0" fontId="13" fillId="0" borderId="42" xfId="54" applyFont="1" applyBorder="1" applyAlignment="1" applyProtection="1">
      <alignment horizontal="left"/>
    </xf>
    <xf numFmtId="0" fontId="13" fillId="0" borderId="0" xfId="54" applyBorder="1" applyAlignment="1" applyProtection="1">
      <alignment horizontal="left" wrapText="1"/>
    </xf>
    <xf numFmtId="0" fontId="76" fillId="40" borderId="42" xfId="54" applyFont="1" applyFill="1" applyBorder="1" applyAlignment="1" applyProtection="1">
      <alignment horizontal="left" vertical="top" wrapText="1"/>
      <protection locked="0"/>
    </xf>
    <xf numFmtId="0" fontId="13" fillId="0" borderId="0" xfId="54" applyFont="1" applyAlignment="1" applyProtection="1">
      <alignment horizontal="left" wrapText="1"/>
    </xf>
    <xf numFmtId="0" fontId="13" fillId="49" borderId="1" xfId="54" applyFont="1" applyFill="1" applyBorder="1" applyAlignment="1" applyProtection="1">
      <alignment horizontal="center"/>
      <protection locked="0"/>
    </xf>
    <xf numFmtId="0" fontId="13" fillId="0" borderId="2" xfId="54" applyBorder="1" applyAlignment="1" applyProtection="1">
      <alignment horizontal="left" vertical="top"/>
    </xf>
    <xf numFmtId="0" fontId="116" fillId="0" borderId="0" xfId="54" applyFont="1" applyBorder="1" applyAlignment="1" applyProtection="1">
      <alignment horizontal="center"/>
      <protection locked="0"/>
    </xf>
    <xf numFmtId="0" fontId="82" fillId="0" borderId="0" xfId="54" applyFont="1" applyBorder="1" applyAlignment="1" applyProtection="1">
      <alignment horizontal="left" vertical="center" wrapText="1"/>
      <protection locked="0"/>
    </xf>
    <xf numFmtId="0" fontId="76" fillId="40" borderId="0" xfId="54" applyFont="1" applyFill="1" applyBorder="1" applyAlignment="1" applyProtection="1">
      <alignment horizontal="left" vertical="top" wrapText="1" indent="1"/>
    </xf>
    <xf numFmtId="0" fontId="13" fillId="0" borderId="109" xfId="54" applyFont="1" applyBorder="1" applyAlignment="1" applyProtection="1">
      <alignment horizontal="left" vertical="top" wrapText="1"/>
    </xf>
    <xf numFmtId="1" fontId="13" fillId="49" borderId="16" xfId="54" quotePrefix="1" applyNumberFormat="1" applyFill="1" applyBorder="1" applyAlignment="1" applyProtection="1">
      <alignment horizontal="left"/>
      <protection locked="0"/>
    </xf>
    <xf numFmtId="1" fontId="13" fillId="49" borderId="42" xfId="54" quotePrefix="1" applyNumberFormat="1" applyFill="1" applyBorder="1" applyAlignment="1" applyProtection="1">
      <alignment horizontal="left"/>
      <protection locked="0"/>
    </xf>
    <xf numFmtId="0" fontId="76" fillId="0" borderId="28" xfId="54" applyFont="1" applyBorder="1" applyAlignment="1" applyProtection="1">
      <alignment horizontal="center" vertical="center" wrapText="1"/>
    </xf>
    <xf numFmtId="0" fontId="76" fillId="0" borderId="40" xfId="54" applyFont="1" applyBorder="1" applyAlignment="1" applyProtection="1">
      <alignment horizontal="center" vertical="center" wrapText="1"/>
    </xf>
    <xf numFmtId="0" fontId="109" fillId="50" borderId="27" xfId="54" applyFont="1" applyFill="1" applyBorder="1" applyAlignment="1" applyProtection="1">
      <alignment horizontal="left" vertical="top"/>
    </xf>
    <xf numFmtId="0" fontId="109" fillId="50" borderId="116" xfId="54" applyFont="1" applyFill="1" applyBorder="1" applyAlignment="1" applyProtection="1">
      <alignment horizontal="left" vertical="top"/>
    </xf>
    <xf numFmtId="0" fontId="13" fillId="49" borderId="86" xfId="54" applyFont="1" applyFill="1" applyBorder="1" applyAlignment="1" applyProtection="1">
      <alignment horizontal="left"/>
      <protection locked="0"/>
    </xf>
    <xf numFmtId="0" fontId="13" fillId="49" borderId="0" xfId="54" applyFont="1" applyFill="1" applyBorder="1" applyAlignment="1" applyProtection="1">
      <alignment horizontal="left"/>
      <protection locked="0"/>
    </xf>
    <xf numFmtId="0" fontId="76" fillId="40" borderId="101" xfId="54" applyFont="1" applyFill="1" applyBorder="1" applyAlignment="1" applyProtection="1">
      <alignment horizontal="left" wrapText="1"/>
    </xf>
    <xf numFmtId="0" fontId="13" fillId="40" borderId="117" xfId="54" applyFont="1" applyFill="1" applyBorder="1" applyAlignment="1" applyProtection="1">
      <alignment horizontal="left" vertical="top" wrapText="1"/>
      <protection locked="0"/>
    </xf>
    <xf numFmtId="0" fontId="13" fillId="25" borderId="0" xfId="54" applyFont="1" applyFill="1" applyBorder="1" applyAlignment="1" applyProtection="1">
      <alignment horizontal="left" vertical="top" wrapText="1"/>
      <protection locked="0"/>
    </xf>
    <xf numFmtId="0" fontId="13" fillId="40" borderId="106" xfId="54" applyFont="1" applyFill="1" applyBorder="1" applyAlignment="1" applyProtection="1">
      <alignment horizontal="center" vertical="top" wrapText="1"/>
      <protection locked="0"/>
    </xf>
    <xf numFmtId="0" fontId="13" fillId="40" borderId="107" xfId="54" applyFont="1" applyFill="1" applyBorder="1" applyAlignment="1" applyProtection="1">
      <alignment horizontal="center" vertical="top" wrapText="1"/>
      <protection locked="0"/>
    </xf>
    <xf numFmtId="0" fontId="13" fillId="40" borderId="114" xfId="54" applyFont="1" applyFill="1" applyBorder="1" applyAlignment="1" applyProtection="1">
      <alignment horizontal="left" vertical="top" wrapText="1"/>
      <protection locked="0"/>
    </xf>
    <xf numFmtId="14" fontId="13" fillId="49" borderId="2" xfId="54" applyNumberFormat="1" applyFill="1" applyBorder="1" applyAlignment="1" applyProtection="1">
      <alignment horizontal="left"/>
      <protection locked="0"/>
    </xf>
    <xf numFmtId="14" fontId="13" fillId="49" borderId="1" xfId="54" applyNumberFormat="1" applyFill="1" applyBorder="1" applyAlignment="1" applyProtection="1">
      <alignment horizontal="left"/>
      <protection locked="0"/>
    </xf>
    <xf numFmtId="14" fontId="13" fillId="49" borderId="1" xfId="54" applyNumberFormat="1" applyFont="1" applyFill="1" applyBorder="1" applyAlignment="1" applyProtection="1">
      <alignment horizontal="left"/>
      <protection locked="0"/>
    </xf>
    <xf numFmtId="14" fontId="13" fillId="0" borderId="84" xfId="54" applyNumberFormat="1" applyFill="1" applyBorder="1" applyAlignment="1" applyProtection="1">
      <alignment horizontal="left"/>
      <protection locked="0"/>
    </xf>
    <xf numFmtId="0" fontId="13" fillId="0" borderId="0" xfId="54" applyFill="1" applyBorder="1" applyAlignment="1" applyProtection="1">
      <alignment horizontal="left"/>
      <protection locked="0"/>
    </xf>
    <xf numFmtId="0" fontId="76" fillId="40" borderId="116" xfId="54" applyFont="1" applyFill="1" applyBorder="1" applyAlignment="1" applyProtection="1">
      <alignment horizontal="left" vertical="top" wrapText="1"/>
    </xf>
    <xf numFmtId="0" fontId="13" fillId="40" borderId="1" xfId="54" applyFont="1" applyFill="1" applyBorder="1" applyAlignment="1" applyProtection="1">
      <alignment horizontal="left" vertical="top" wrapText="1"/>
      <protection locked="0"/>
    </xf>
    <xf numFmtId="0" fontId="13" fillId="40" borderId="0" xfId="54" applyFill="1" applyBorder="1" applyAlignment="1" applyProtection="1">
      <protection locked="0"/>
    </xf>
    <xf numFmtId="0" fontId="13" fillId="40" borderId="108" xfId="54" applyFont="1" applyFill="1" applyBorder="1" applyAlignment="1" applyProtection="1">
      <alignment horizontal="left" vertical="top" wrapText="1"/>
      <protection locked="0"/>
    </xf>
    <xf numFmtId="0" fontId="13" fillId="40" borderId="101" xfId="54" applyFont="1" applyFill="1" applyBorder="1" applyAlignment="1" applyProtection="1">
      <alignment horizontal="left" vertical="top" wrapText="1"/>
      <protection locked="0"/>
    </xf>
    <xf numFmtId="0" fontId="76" fillId="40" borderId="45" xfId="54" applyFont="1" applyFill="1" applyBorder="1" applyAlignment="1" applyProtection="1">
      <alignment wrapText="1"/>
    </xf>
    <xf numFmtId="0" fontId="13" fillId="40" borderId="45" xfId="54" applyFill="1" applyBorder="1" applyAlignment="1" applyProtection="1"/>
    <xf numFmtId="0" fontId="90" fillId="50" borderId="86" xfId="54" applyFont="1" applyFill="1" applyBorder="1" applyAlignment="1" applyProtection="1">
      <alignment horizontal="center" vertical="center"/>
    </xf>
    <xf numFmtId="0" fontId="76" fillId="40" borderId="45" xfId="54" applyFont="1" applyFill="1" applyBorder="1" applyAlignment="1" applyProtection="1">
      <alignment horizontal="left"/>
    </xf>
    <xf numFmtId="0" fontId="76" fillId="40" borderId="0" xfId="54" applyFont="1" applyFill="1" applyBorder="1" applyAlignment="1" applyProtection="1">
      <alignment horizontal="left"/>
    </xf>
    <xf numFmtId="0" fontId="76" fillId="40" borderId="45" xfId="54" applyFont="1" applyFill="1" applyBorder="1" applyAlignment="1" applyProtection="1">
      <alignment horizontal="left" wrapText="1"/>
    </xf>
    <xf numFmtId="0" fontId="13" fillId="49" borderId="102" xfId="54" applyFont="1" applyFill="1" applyBorder="1" applyAlignment="1" applyProtection="1">
      <alignment horizontal="left" vertical="top" wrapText="1"/>
      <protection locked="0"/>
    </xf>
    <xf numFmtId="0" fontId="13" fillId="49" borderId="5" xfId="54" applyFont="1" applyFill="1" applyBorder="1" applyAlignment="1" applyProtection="1">
      <alignment horizontal="center" vertical="center" wrapText="1"/>
      <protection locked="0"/>
    </xf>
    <xf numFmtId="0" fontId="13" fillId="49" borderId="6" xfId="54" applyFont="1" applyFill="1" applyBorder="1" applyAlignment="1" applyProtection="1">
      <alignment horizontal="center" vertical="center" wrapText="1"/>
      <protection locked="0"/>
    </xf>
    <xf numFmtId="0" fontId="13" fillId="49" borderId="25" xfId="54" applyFont="1" applyFill="1" applyBorder="1" applyAlignment="1" applyProtection="1">
      <alignment horizontal="center" vertical="center" wrapText="1"/>
      <protection locked="0"/>
    </xf>
    <xf numFmtId="1" fontId="13" fillId="49" borderId="8" xfId="54" applyNumberFormat="1" applyFont="1" applyFill="1" applyBorder="1" applyAlignment="1" applyProtection="1">
      <alignment horizontal="center" vertical="center" wrapText="1"/>
      <protection locked="0"/>
    </xf>
    <xf numFmtId="1" fontId="13" fillId="49" borderId="9" xfId="54" applyNumberFormat="1" applyFont="1" applyFill="1" applyBorder="1" applyAlignment="1" applyProtection="1">
      <alignment horizontal="center" vertical="center" wrapText="1"/>
      <protection locked="0"/>
    </xf>
    <xf numFmtId="1" fontId="13" fillId="49" borderId="26" xfId="54" applyNumberFormat="1" applyFont="1" applyFill="1" applyBorder="1" applyAlignment="1" applyProtection="1">
      <alignment horizontal="center" vertical="center" wrapText="1"/>
      <protection locked="0"/>
    </xf>
    <xf numFmtId="1" fontId="13" fillId="49" borderId="7" xfId="54" applyNumberFormat="1" applyFont="1" applyFill="1" applyBorder="1" applyAlignment="1" applyProtection="1">
      <alignment horizontal="center" vertical="center" wrapText="1"/>
      <protection locked="0"/>
    </xf>
    <xf numFmtId="1" fontId="13" fillId="49" borderId="1" xfId="54" applyNumberFormat="1" applyFont="1" applyFill="1" applyBorder="1" applyAlignment="1" applyProtection="1">
      <alignment horizontal="center" vertical="center" wrapText="1"/>
      <protection locked="0"/>
    </xf>
    <xf numFmtId="1" fontId="13" fillId="49" borderId="34" xfId="54" applyNumberFormat="1" applyFont="1" applyFill="1" applyBorder="1" applyAlignment="1" applyProtection="1">
      <alignment horizontal="center" vertical="center" wrapText="1"/>
      <protection locked="0"/>
    </xf>
    <xf numFmtId="0" fontId="13" fillId="40" borderId="42" xfId="54" applyFont="1" applyFill="1" applyBorder="1" applyAlignment="1" applyProtection="1">
      <alignment horizontal="left" vertical="top" wrapText="1"/>
    </xf>
    <xf numFmtId="1" fontId="13" fillId="49" borderId="37" xfId="54" applyNumberFormat="1" applyFont="1" applyFill="1" applyBorder="1" applyAlignment="1" applyProtection="1">
      <alignment horizontal="center" vertical="center" wrapText="1"/>
      <protection locked="0"/>
    </xf>
    <xf numFmtId="1" fontId="13" fillId="49" borderId="61" xfId="54" applyNumberFormat="1" applyFont="1" applyFill="1" applyBorder="1" applyAlignment="1" applyProtection="1">
      <alignment horizontal="center" vertical="center" wrapText="1"/>
      <protection locked="0"/>
    </xf>
    <xf numFmtId="1" fontId="13" fillId="49" borderId="81" xfId="54" applyNumberFormat="1" applyFont="1" applyFill="1" applyBorder="1" applyAlignment="1" applyProtection="1">
      <alignment horizontal="center" vertical="center" wrapText="1"/>
      <protection locked="0"/>
    </xf>
    <xf numFmtId="1" fontId="13" fillId="49" borderId="80" xfId="54" applyNumberFormat="1" applyFont="1" applyFill="1" applyBorder="1" applyAlignment="1" applyProtection="1">
      <alignment horizontal="center" vertical="center" wrapText="1"/>
      <protection locked="0"/>
    </xf>
    <xf numFmtId="0" fontId="109" fillId="50" borderId="86" xfId="54" applyFont="1" applyFill="1" applyBorder="1" applyAlignment="1" applyProtection="1">
      <alignment horizontal="left" vertical="top"/>
    </xf>
    <xf numFmtId="0" fontId="109" fillId="50" borderId="41" xfId="54" applyFont="1" applyFill="1" applyBorder="1" applyAlignment="1" applyProtection="1">
      <alignment horizontal="left" vertical="top"/>
    </xf>
    <xf numFmtId="0" fontId="13" fillId="49" borderId="16" xfId="54" applyFont="1" applyFill="1" applyBorder="1" applyAlignment="1" applyProtection="1">
      <alignment horizontal="left"/>
      <protection locked="0"/>
    </xf>
    <xf numFmtId="0" fontId="13" fillId="49" borderId="2" xfId="54" applyFont="1" applyFill="1" applyBorder="1" applyAlignment="1" applyProtection="1">
      <alignment horizontal="left"/>
      <protection locked="0"/>
    </xf>
    <xf numFmtId="0" fontId="13" fillId="0" borderId="0" xfId="54" applyFont="1" applyFill="1" applyBorder="1" applyAlignment="1" applyProtection="1">
      <alignment horizontal="left" wrapText="1"/>
    </xf>
    <xf numFmtId="0" fontId="13" fillId="40" borderId="0" xfId="54" applyFont="1" applyFill="1" applyBorder="1" applyAlignment="1" applyProtection="1">
      <alignment horizontal="left" wrapText="1" indent="1"/>
    </xf>
    <xf numFmtId="0" fontId="76" fillId="25" borderId="25" xfId="54" applyNumberFormat="1" applyFont="1" applyFill="1" applyBorder="1" applyAlignment="1" applyProtection="1">
      <alignment horizontal="center" vertical="center"/>
    </xf>
    <xf numFmtId="0" fontId="76" fillId="25" borderId="81" xfId="54" applyNumberFormat="1" applyFont="1" applyFill="1" applyBorder="1" applyAlignment="1" applyProtection="1">
      <alignment horizontal="center" vertical="center"/>
    </xf>
    <xf numFmtId="0" fontId="76" fillId="25" borderId="80" xfId="54" applyNumberFormat="1" applyFont="1" applyFill="1" applyBorder="1" applyAlignment="1" applyProtection="1">
      <alignment horizontal="center" vertical="center"/>
    </xf>
    <xf numFmtId="1" fontId="13" fillId="49" borderId="16" xfId="54" applyNumberFormat="1" applyFont="1" applyFill="1" applyBorder="1" applyAlignment="1" applyProtection="1">
      <alignment horizontal="center" vertical="center"/>
      <protection locked="0"/>
    </xf>
    <xf numFmtId="1" fontId="13" fillId="49" borderId="2" xfId="54" applyNumberFormat="1" applyFont="1" applyFill="1" applyBorder="1" applyAlignment="1" applyProtection="1">
      <alignment horizontal="center" vertical="center"/>
      <protection locked="0"/>
    </xf>
    <xf numFmtId="1" fontId="13" fillId="49" borderId="42" xfId="54" applyNumberFormat="1" applyFont="1" applyFill="1" applyBorder="1" applyAlignment="1" applyProtection="1">
      <alignment horizontal="center" vertical="center"/>
      <protection locked="0"/>
    </xf>
    <xf numFmtId="0" fontId="13" fillId="0" borderId="116" xfId="54" applyFont="1" applyBorder="1" applyAlignment="1" applyProtection="1">
      <alignment horizontal="center" wrapText="1"/>
    </xf>
    <xf numFmtId="1" fontId="13" fillId="49" borderId="16" xfId="54" applyNumberFormat="1" applyFont="1" applyFill="1" applyBorder="1" applyAlignment="1" applyProtection="1">
      <alignment horizontal="center" vertical="center" wrapText="1"/>
      <protection locked="0"/>
    </xf>
    <xf numFmtId="0" fontId="13" fillId="49" borderId="49" xfId="54" applyFont="1" applyFill="1" applyBorder="1" applyAlignment="1" applyProtection="1">
      <alignment horizontal="center" vertical="center" wrapText="1"/>
      <protection locked="0"/>
    </xf>
    <xf numFmtId="1" fontId="13" fillId="44" borderId="62" xfId="54" applyNumberFormat="1" applyFont="1" applyFill="1" applyBorder="1" applyAlignment="1" applyProtection="1">
      <alignment horizontal="center" vertical="center" wrapText="1"/>
      <protection locked="0"/>
    </xf>
    <xf numFmtId="1" fontId="13" fillId="44" borderId="82" xfId="54" applyNumberFormat="1" applyFont="1" applyFill="1" applyBorder="1" applyAlignment="1" applyProtection="1">
      <alignment horizontal="center" vertical="center" wrapText="1"/>
      <protection locked="0"/>
    </xf>
    <xf numFmtId="0" fontId="13" fillId="43" borderId="40" xfId="54" applyFont="1" applyFill="1" applyBorder="1" applyAlignment="1" applyProtection="1">
      <alignment horizontal="left" vertical="top" wrapText="1"/>
    </xf>
    <xf numFmtId="0" fontId="13" fillId="43" borderId="92" xfId="54" applyFont="1" applyFill="1" applyBorder="1" applyAlignment="1" applyProtection="1">
      <alignment horizontal="left" vertical="top" wrapText="1"/>
    </xf>
    <xf numFmtId="2" fontId="13" fillId="49" borderId="16" xfId="54" applyNumberFormat="1" applyFont="1" applyFill="1" applyBorder="1" applyAlignment="1" applyProtection="1">
      <alignment horizontal="center"/>
      <protection locked="0"/>
    </xf>
    <xf numFmtId="2" fontId="13" fillId="49" borderId="2" xfId="54" applyNumberFormat="1" applyFont="1" applyFill="1" applyBorder="1" applyAlignment="1" applyProtection="1">
      <alignment horizontal="center"/>
      <protection locked="0"/>
    </xf>
    <xf numFmtId="0" fontId="13" fillId="40" borderId="116" xfId="54" applyFont="1" applyFill="1" applyBorder="1" applyAlignment="1" applyProtection="1">
      <alignment horizontal="left" vertical="top" wrapText="1"/>
    </xf>
    <xf numFmtId="0" fontId="13" fillId="40" borderId="112" xfId="54" applyFont="1" applyFill="1" applyBorder="1" applyAlignment="1" applyProtection="1">
      <alignment horizontal="left" vertical="top" wrapText="1"/>
    </xf>
    <xf numFmtId="0" fontId="13" fillId="0" borderId="3" xfId="54" applyFont="1" applyBorder="1" applyAlignment="1" applyProtection="1">
      <alignment horizontal="left" vertical="top" wrapText="1"/>
    </xf>
    <xf numFmtId="0" fontId="13" fillId="0" borderId="35" xfId="54" applyFont="1" applyBorder="1" applyAlignment="1" applyProtection="1">
      <alignment horizontal="left" vertical="top" wrapText="1"/>
    </xf>
    <xf numFmtId="0" fontId="13" fillId="0" borderId="0" xfId="54" applyFont="1" applyFill="1" applyBorder="1" applyAlignment="1" applyProtection="1">
      <alignment horizontal="left"/>
      <protection locked="0"/>
    </xf>
    <xf numFmtId="0" fontId="13" fillId="0" borderId="0" xfId="54" applyFont="1" applyFill="1" applyBorder="1" applyAlignment="1" applyProtection="1">
      <alignment horizontal="center"/>
      <protection locked="0"/>
    </xf>
    <xf numFmtId="0" fontId="13" fillId="0" borderId="1" xfId="54" applyFont="1" applyBorder="1" applyAlignment="1" applyProtection="1">
      <alignment horizontal="right"/>
      <protection locked="0"/>
    </xf>
    <xf numFmtId="0" fontId="13" fillId="0" borderId="1" xfId="54" applyFont="1" applyBorder="1" applyAlignment="1" applyProtection="1">
      <alignment horizontal="center" vertical="center" wrapText="1"/>
    </xf>
    <xf numFmtId="0" fontId="109" fillId="50" borderId="2" xfId="54" applyFont="1" applyFill="1" applyBorder="1" applyAlignment="1" applyProtection="1">
      <alignment horizontal="left" vertical="top"/>
    </xf>
  </cellXfs>
  <cellStyles count="720">
    <cellStyle name="0.00%" xfId="57"/>
    <cellStyle name="0.00% 2" xfId="622"/>
    <cellStyle name="20% - Accent1 10" xfId="58"/>
    <cellStyle name="20% - Accent1 11" xfId="59"/>
    <cellStyle name="20% - Accent1 12" xfId="60"/>
    <cellStyle name="20% - Accent1 13" xfId="61"/>
    <cellStyle name="20% - Accent1 2" xfId="6"/>
    <cellStyle name="20% - Accent1 3" xfId="62"/>
    <cellStyle name="20% - Accent1 4" xfId="63"/>
    <cellStyle name="20% - Accent1 5" xfId="64"/>
    <cellStyle name="20% - Accent1 6" xfId="65"/>
    <cellStyle name="20% - Accent1 7" xfId="66"/>
    <cellStyle name="20% - Accent1 8" xfId="67"/>
    <cellStyle name="20% - Accent1 9" xfId="68"/>
    <cellStyle name="20% - Accent2 10" xfId="69"/>
    <cellStyle name="20% - Accent2 11" xfId="70"/>
    <cellStyle name="20% - Accent2 12" xfId="71"/>
    <cellStyle name="20% - Accent2 13" xfId="72"/>
    <cellStyle name="20% - Accent2 2" xfId="7"/>
    <cellStyle name="20% - Accent2 3" xfId="73"/>
    <cellStyle name="20% - Accent2 4" xfId="74"/>
    <cellStyle name="20% - Accent2 5" xfId="75"/>
    <cellStyle name="20% - Accent2 6" xfId="76"/>
    <cellStyle name="20% - Accent2 7" xfId="77"/>
    <cellStyle name="20% - Accent2 8" xfId="78"/>
    <cellStyle name="20% - Accent2 9" xfId="79"/>
    <cellStyle name="20% - Accent3 10" xfId="80"/>
    <cellStyle name="20% - Accent3 11" xfId="81"/>
    <cellStyle name="20% - Accent3 12" xfId="82"/>
    <cellStyle name="20% - Accent3 13" xfId="83"/>
    <cellStyle name="20% - Accent3 2" xfId="8"/>
    <cellStyle name="20% - Accent3 3" xfId="84"/>
    <cellStyle name="20% - Accent3 4" xfId="85"/>
    <cellStyle name="20% - Accent3 5" xfId="86"/>
    <cellStyle name="20% - Accent3 6" xfId="87"/>
    <cellStyle name="20% - Accent3 7" xfId="88"/>
    <cellStyle name="20% - Accent3 8" xfId="89"/>
    <cellStyle name="20% - Accent3 9" xfId="90"/>
    <cellStyle name="20% - Accent4 10" xfId="91"/>
    <cellStyle name="20% - Accent4 11" xfId="92"/>
    <cellStyle name="20% - Accent4 12" xfId="93"/>
    <cellStyle name="20% - Accent4 13" xfId="94"/>
    <cellStyle name="20% - Accent4 2" xfId="9"/>
    <cellStyle name="20% - Accent4 3" xfId="95"/>
    <cellStyle name="20% - Accent4 4" xfId="96"/>
    <cellStyle name="20% - Accent4 5" xfId="97"/>
    <cellStyle name="20% - Accent4 6" xfId="98"/>
    <cellStyle name="20% - Accent4 7" xfId="99"/>
    <cellStyle name="20% - Accent4 8" xfId="100"/>
    <cellStyle name="20% - Accent4 9" xfId="101"/>
    <cellStyle name="20% - Accent5 10" xfId="102"/>
    <cellStyle name="20% - Accent5 11" xfId="103"/>
    <cellStyle name="20% - Accent5 12" xfId="104"/>
    <cellStyle name="20% - Accent5 13" xfId="105"/>
    <cellStyle name="20% - Accent5 2" xfId="10"/>
    <cellStyle name="20% - Accent5 3" xfId="106"/>
    <cellStyle name="20% - Accent5 4" xfId="107"/>
    <cellStyle name="20% - Accent5 5" xfId="108"/>
    <cellStyle name="20% - Accent5 6" xfId="109"/>
    <cellStyle name="20% - Accent5 7" xfId="110"/>
    <cellStyle name="20% - Accent5 8" xfId="111"/>
    <cellStyle name="20% - Accent5 9" xfId="112"/>
    <cellStyle name="20% - Accent6 10" xfId="113"/>
    <cellStyle name="20% - Accent6 11" xfId="114"/>
    <cellStyle name="20% - Accent6 12" xfId="115"/>
    <cellStyle name="20% - Accent6 13" xfId="116"/>
    <cellStyle name="20% - Accent6 2" xfId="11"/>
    <cellStyle name="20% - Accent6 3" xfId="117"/>
    <cellStyle name="20% - Accent6 4" xfId="118"/>
    <cellStyle name="20% - Accent6 5" xfId="119"/>
    <cellStyle name="20% - Accent6 6" xfId="120"/>
    <cellStyle name="20% - Accent6 7" xfId="121"/>
    <cellStyle name="20% - Accent6 8" xfId="122"/>
    <cellStyle name="20% - Accent6 9" xfId="123"/>
    <cellStyle name="40% - Accent1 10" xfId="124"/>
    <cellStyle name="40% - Accent1 11" xfId="125"/>
    <cellStyle name="40% - Accent1 12" xfId="126"/>
    <cellStyle name="40% - Accent1 13" xfId="127"/>
    <cellStyle name="40% - Accent1 2" xfId="12"/>
    <cellStyle name="40% - Accent1 3" xfId="128"/>
    <cellStyle name="40% - Accent1 4" xfId="129"/>
    <cellStyle name="40% - Accent1 5" xfId="130"/>
    <cellStyle name="40% - Accent1 6" xfId="131"/>
    <cellStyle name="40% - Accent1 7" xfId="132"/>
    <cellStyle name="40% - Accent1 8" xfId="133"/>
    <cellStyle name="40% - Accent1 9" xfId="134"/>
    <cellStyle name="40% - Accent2 10" xfId="135"/>
    <cellStyle name="40% - Accent2 11" xfId="136"/>
    <cellStyle name="40% - Accent2 12" xfId="137"/>
    <cellStyle name="40% - Accent2 13" xfId="138"/>
    <cellStyle name="40% - Accent2 2" xfId="13"/>
    <cellStyle name="40% - Accent2 3" xfId="139"/>
    <cellStyle name="40% - Accent2 4" xfId="140"/>
    <cellStyle name="40% - Accent2 5" xfId="141"/>
    <cellStyle name="40% - Accent2 6" xfId="142"/>
    <cellStyle name="40% - Accent2 7" xfId="143"/>
    <cellStyle name="40% - Accent2 8" xfId="144"/>
    <cellStyle name="40% - Accent2 9" xfId="145"/>
    <cellStyle name="40% - Accent3 10" xfId="146"/>
    <cellStyle name="40% - Accent3 11" xfId="147"/>
    <cellStyle name="40% - Accent3 12" xfId="148"/>
    <cellStyle name="40% - Accent3 13" xfId="149"/>
    <cellStyle name="40% - Accent3 2" xfId="14"/>
    <cellStyle name="40% - Accent3 3" xfId="150"/>
    <cellStyle name="40% - Accent3 4" xfId="151"/>
    <cellStyle name="40% - Accent3 5" xfId="152"/>
    <cellStyle name="40% - Accent3 6" xfId="153"/>
    <cellStyle name="40% - Accent3 7" xfId="154"/>
    <cellStyle name="40% - Accent3 8" xfId="155"/>
    <cellStyle name="40% - Accent3 9" xfId="156"/>
    <cellStyle name="40% - Accent4 10" xfId="157"/>
    <cellStyle name="40% - Accent4 11" xfId="158"/>
    <cellStyle name="40% - Accent4 12" xfId="159"/>
    <cellStyle name="40% - Accent4 13" xfId="160"/>
    <cellStyle name="40% - Accent4 2" xfId="15"/>
    <cellStyle name="40% - Accent4 3" xfId="161"/>
    <cellStyle name="40% - Accent4 4" xfId="162"/>
    <cellStyle name="40% - Accent4 5" xfId="163"/>
    <cellStyle name="40% - Accent4 6" xfId="164"/>
    <cellStyle name="40% - Accent4 7" xfId="165"/>
    <cellStyle name="40% - Accent4 8" xfId="166"/>
    <cellStyle name="40% - Accent4 9" xfId="167"/>
    <cellStyle name="40% - Accent5 10" xfId="168"/>
    <cellStyle name="40% - Accent5 11" xfId="169"/>
    <cellStyle name="40% - Accent5 12" xfId="170"/>
    <cellStyle name="40% - Accent5 13" xfId="171"/>
    <cellStyle name="40% - Accent5 2" xfId="16"/>
    <cellStyle name="40% - Accent5 3" xfId="172"/>
    <cellStyle name="40% - Accent5 4" xfId="173"/>
    <cellStyle name="40% - Accent5 5" xfId="174"/>
    <cellStyle name="40% - Accent5 6" xfId="175"/>
    <cellStyle name="40% - Accent5 7" xfId="176"/>
    <cellStyle name="40% - Accent5 8" xfId="177"/>
    <cellStyle name="40% - Accent5 9" xfId="178"/>
    <cellStyle name="40% - Accent6 10" xfId="179"/>
    <cellStyle name="40% - Accent6 11" xfId="180"/>
    <cellStyle name="40% - Accent6 12" xfId="181"/>
    <cellStyle name="40% - Accent6 13" xfId="182"/>
    <cellStyle name="40% - Accent6 2" xfId="17"/>
    <cellStyle name="40% - Accent6 3" xfId="183"/>
    <cellStyle name="40% - Accent6 4" xfId="184"/>
    <cellStyle name="40% - Accent6 5" xfId="185"/>
    <cellStyle name="40% - Accent6 6" xfId="186"/>
    <cellStyle name="40% - Accent6 7" xfId="187"/>
    <cellStyle name="40% - Accent6 8" xfId="188"/>
    <cellStyle name="40% - Accent6 9" xfId="189"/>
    <cellStyle name="60% - Accent1 10" xfId="190"/>
    <cellStyle name="60% - Accent1 11" xfId="191"/>
    <cellStyle name="60% - Accent1 12" xfId="192"/>
    <cellStyle name="60% - Accent1 13" xfId="193"/>
    <cellStyle name="60% - Accent1 2" xfId="18"/>
    <cellStyle name="60% - Accent1 3" xfId="194"/>
    <cellStyle name="60% - Accent1 4" xfId="195"/>
    <cellStyle name="60% - Accent1 5" xfId="196"/>
    <cellStyle name="60% - Accent1 6" xfId="197"/>
    <cellStyle name="60% - Accent1 7" xfId="198"/>
    <cellStyle name="60% - Accent1 8" xfId="199"/>
    <cellStyle name="60% - Accent1 9" xfId="200"/>
    <cellStyle name="60% - Accent2 10" xfId="201"/>
    <cellStyle name="60% - Accent2 11" xfId="202"/>
    <cellStyle name="60% - Accent2 12" xfId="203"/>
    <cellStyle name="60% - Accent2 13" xfId="204"/>
    <cellStyle name="60% - Accent2 2" xfId="19"/>
    <cellStyle name="60% - Accent2 3" xfId="205"/>
    <cellStyle name="60% - Accent2 4" xfId="206"/>
    <cellStyle name="60% - Accent2 5" xfId="207"/>
    <cellStyle name="60% - Accent2 6" xfId="208"/>
    <cellStyle name="60% - Accent2 7" xfId="209"/>
    <cellStyle name="60% - Accent2 8" xfId="210"/>
    <cellStyle name="60% - Accent2 9" xfId="211"/>
    <cellStyle name="60% - Accent3 10" xfId="212"/>
    <cellStyle name="60% - Accent3 11" xfId="213"/>
    <cellStyle name="60% - Accent3 12" xfId="214"/>
    <cellStyle name="60% - Accent3 13" xfId="215"/>
    <cellStyle name="60% - Accent3 2" xfId="20"/>
    <cellStyle name="60% - Accent3 3" xfId="216"/>
    <cellStyle name="60% - Accent3 4" xfId="217"/>
    <cellStyle name="60% - Accent3 5" xfId="218"/>
    <cellStyle name="60% - Accent3 6" xfId="219"/>
    <cellStyle name="60% - Accent3 7" xfId="220"/>
    <cellStyle name="60% - Accent3 8" xfId="221"/>
    <cellStyle name="60% - Accent3 9" xfId="222"/>
    <cellStyle name="60% - Accent4 10" xfId="223"/>
    <cellStyle name="60% - Accent4 11" xfId="224"/>
    <cellStyle name="60% - Accent4 12" xfId="225"/>
    <cellStyle name="60% - Accent4 13" xfId="226"/>
    <cellStyle name="60% - Accent4 2" xfId="21"/>
    <cellStyle name="60% - Accent4 3" xfId="227"/>
    <cellStyle name="60% - Accent4 4" xfId="228"/>
    <cellStyle name="60% - Accent4 5" xfId="229"/>
    <cellStyle name="60% - Accent4 6" xfId="230"/>
    <cellStyle name="60% - Accent4 7" xfId="231"/>
    <cellStyle name="60% - Accent4 8" xfId="232"/>
    <cellStyle name="60% - Accent4 9" xfId="233"/>
    <cellStyle name="60% - Accent5 10" xfId="234"/>
    <cellStyle name="60% - Accent5 11" xfId="235"/>
    <cellStyle name="60% - Accent5 12" xfId="236"/>
    <cellStyle name="60% - Accent5 13" xfId="237"/>
    <cellStyle name="60% - Accent5 2" xfId="22"/>
    <cellStyle name="60% - Accent5 3" xfId="238"/>
    <cellStyle name="60% - Accent5 4" xfId="239"/>
    <cellStyle name="60% - Accent5 5" xfId="240"/>
    <cellStyle name="60% - Accent5 6" xfId="241"/>
    <cellStyle name="60% - Accent5 7" xfId="242"/>
    <cellStyle name="60% - Accent5 8" xfId="243"/>
    <cellStyle name="60% - Accent5 9" xfId="244"/>
    <cellStyle name="60% - Accent6 10" xfId="245"/>
    <cellStyle name="60% - Accent6 11" xfId="246"/>
    <cellStyle name="60% - Accent6 12" xfId="247"/>
    <cellStyle name="60% - Accent6 13" xfId="248"/>
    <cellStyle name="60% - Accent6 2" xfId="23"/>
    <cellStyle name="60% - Accent6 3" xfId="249"/>
    <cellStyle name="60% - Accent6 4" xfId="250"/>
    <cellStyle name="60% - Accent6 5" xfId="251"/>
    <cellStyle name="60% - Accent6 6" xfId="252"/>
    <cellStyle name="60% - Accent6 7" xfId="253"/>
    <cellStyle name="60% - Accent6 8" xfId="254"/>
    <cellStyle name="60% - Accent6 9" xfId="255"/>
    <cellStyle name="Accent1 10" xfId="256"/>
    <cellStyle name="Accent1 11" xfId="257"/>
    <cellStyle name="Accent1 12" xfId="258"/>
    <cellStyle name="Accent1 13" xfId="259"/>
    <cellStyle name="Accent1 14" xfId="713"/>
    <cellStyle name="Accent1 2" xfId="24"/>
    <cellStyle name="Accent1 3" xfId="260"/>
    <cellStyle name="Accent1 4" xfId="261"/>
    <cellStyle name="Accent1 5" xfId="262"/>
    <cellStyle name="Accent1 6" xfId="263"/>
    <cellStyle name="Accent1 7" xfId="264"/>
    <cellStyle name="Accent1 8" xfId="265"/>
    <cellStyle name="Accent1 9" xfId="266"/>
    <cellStyle name="Accent2 10" xfId="267"/>
    <cellStyle name="Accent2 11" xfId="268"/>
    <cellStyle name="Accent2 12" xfId="269"/>
    <cellStyle name="Accent2 13" xfId="270"/>
    <cellStyle name="Accent2 2" xfId="25"/>
    <cellStyle name="Accent2 3" xfId="271"/>
    <cellStyle name="Accent2 4" xfId="272"/>
    <cellStyle name="Accent2 5" xfId="273"/>
    <cellStyle name="Accent2 6" xfId="274"/>
    <cellStyle name="Accent2 7" xfId="275"/>
    <cellStyle name="Accent2 8" xfId="276"/>
    <cellStyle name="Accent2 9" xfId="277"/>
    <cellStyle name="Accent3 10" xfId="278"/>
    <cellStyle name="Accent3 11" xfId="279"/>
    <cellStyle name="Accent3 12" xfId="280"/>
    <cellStyle name="Accent3 13" xfId="281"/>
    <cellStyle name="Accent3 2" xfId="26"/>
    <cellStyle name="Accent3 3" xfId="282"/>
    <cellStyle name="Accent3 4" xfId="283"/>
    <cellStyle name="Accent3 5" xfId="284"/>
    <cellStyle name="Accent3 6" xfId="285"/>
    <cellStyle name="Accent3 7" xfId="286"/>
    <cellStyle name="Accent3 8" xfId="287"/>
    <cellStyle name="Accent3 9" xfId="288"/>
    <cellStyle name="Accent4 10" xfId="289"/>
    <cellStyle name="Accent4 11" xfId="290"/>
    <cellStyle name="Accent4 12" xfId="291"/>
    <cellStyle name="Accent4 13" xfId="292"/>
    <cellStyle name="Accent4 2" xfId="27"/>
    <cellStyle name="Accent4 3" xfId="293"/>
    <cellStyle name="Accent4 4" xfId="294"/>
    <cellStyle name="Accent4 5" xfId="295"/>
    <cellStyle name="Accent4 6" xfId="296"/>
    <cellStyle name="Accent4 7" xfId="297"/>
    <cellStyle name="Accent4 8" xfId="298"/>
    <cellStyle name="Accent4 9" xfId="299"/>
    <cellStyle name="Accent5 10" xfId="300"/>
    <cellStyle name="Accent5 11" xfId="301"/>
    <cellStyle name="Accent5 12" xfId="302"/>
    <cellStyle name="Accent5 13" xfId="303"/>
    <cellStyle name="Accent5 2" xfId="28"/>
    <cellStyle name="Accent5 3" xfId="304"/>
    <cellStyle name="Accent5 4" xfId="305"/>
    <cellStyle name="Accent5 5" xfId="306"/>
    <cellStyle name="Accent5 6" xfId="307"/>
    <cellStyle name="Accent5 7" xfId="308"/>
    <cellStyle name="Accent5 8" xfId="309"/>
    <cellStyle name="Accent5 9" xfId="310"/>
    <cellStyle name="Accent6 10" xfId="311"/>
    <cellStyle name="Accent6 11" xfId="312"/>
    <cellStyle name="Accent6 12" xfId="313"/>
    <cellStyle name="Accent6 13" xfId="314"/>
    <cellStyle name="Accent6 2" xfId="29"/>
    <cellStyle name="Accent6 3" xfId="315"/>
    <cellStyle name="Accent6 4" xfId="316"/>
    <cellStyle name="Accent6 5" xfId="317"/>
    <cellStyle name="Accent6 6" xfId="318"/>
    <cellStyle name="Accent6 7" xfId="319"/>
    <cellStyle name="Accent6 8" xfId="320"/>
    <cellStyle name="Accent6 9" xfId="321"/>
    <cellStyle name="Bad 10" xfId="322"/>
    <cellStyle name="Bad 11" xfId="323"/>
    <cellStyle name="Bad 12" xfId="324"/>
    <cellStyle name="Bad 13" xfId="325"/>
    <cellStyle name="Bad 2" xfId="30"/>
    <cellStyle name="Bad 3" xfId="326"/>
    <cellStyle name="Bad 4" xfId="327"/>
    <cellStyle name="Bad 5" xfId="328"/>
    <cellStyle name="Bad 6" xfId="329"/>
    <cellStyle name="Bad 7" xfId="330"/>
    <cellStyle name="Bad 8" xfId="331"/>
    <cellStyle name="Bad 9" xfId="332"/>
    <cellStyle name="Blue Font" xfId="333"/>
    <cellStyle name="Blue Font 2" xfId="623"/>
    <cellStyle name="Blue, Bold" xfId="334"/>
    <cellStyle name="Blue, Bold 2" xfId="624"/>
    <cellStyle name="Bottom Border, Unlocked" xfId="335"/>
    <cellStyle name="Bottom Border, Unlocked 2" xfId="616"/>
    <cellStyle name="Bottom Border, Unlocked 3" xfId="615"/>
    <cellStyle name="Bottom Border, Unlocked 4" xfId="625"/>
    <cellStyle name="Calculation 10" xfId="336"/>
    <cellStyle name="Calculation 11" xfId="337"/>
    <cellStyle name="Calculation 12" xfId="338"/>
    <cellStyle name="Calculation 13" xfId="339"/>
    <cellStyle name="Calculation 14" xfId="714"/>
    <cellStyle name="Calculation 2" xfId="31"/>
    <cellStyle name="Calculation 3" xfId="340"/>
    <cellStyle name="Calculation 4" xfId="341"/>
    <cellStyle name="Calculation 5" xfId="342"/>
    <cellStyle name="Calculation 6" xfId="343"/>
    <cellStyle name="Calculation 7" xfId="344"/>
    <cellStyle name="Calculation 8" xfId="345"/>
    <cellStyle name="Calculation 9" xfId="346"/>
    <cellStyle name="Check Cell 10" xfId="347"/>
    <cellStyle name="Check Cell 11" xfId="348"/>
    <cellStyle name="Check Cell 12" xfId="349"/>
    <cellStyle name="Check Cell 13" xfId="350"/>
    <cellStyle name="Check Cell 2" xfId="32"/>
    <cellStyle name="Check Cell 3" xfId="351"/>
    <cellStyle name="Check Cell 4" xfId="352"/>
    <cellStyle name="Check Cell 5" xfId="353"/>
    <cellStyle name="Check Cell 6" xfId="354"/>
    <cellStyle name="Check Cell 7" xfId="355"/>
    <cellStyle name="Check Cell 8" xfId="356"/>
    <cellStyle name="Check Cell 9" xfId="357"/>
    <cellStyle name="Comma" xfId="610" builtinId="3"/>
    <cellStyle name="Comma 2" xfId="33"/>
    <cellStyle name="Comma 2 10" xfId="358"/>
    <cellStyle name="Comma 2 11" xfId="359"/>
    <cellStyle name="Comma 2 12" xfId="360"/>
    <cellStyle name="Comma 2 13" xfId="361"/>
    <cellStyle name="Comma 2 14" xfId="362"/>
    <cellStyle name="Comma 2 15" xfId="363"/>
    <cellStyle name="Comma 2 16" xfId="364"/>
    <cellStyle name="Comma 2 17" xfId="365"/>
    <cellStyle name="Comma 2 18" xfId="366"/>
    <cellStyle name="Comma 2 19" xfId="367"/>
    <cellStyle name="Comma 2 2" xfId="34"/>
    <cellStyle name="Comma 2 2 2" xfId="634"/>
    <cellStyle name="Comma 2 20" xfId="368"/>
    <cellStyle name="Comma 2 3" xfId="369"/>
    <cellStyle name="Comma 2 3 2" xfId="635"/>
    <cellStyle name="Comma 2 4" xfId="370"/>
    <cellStyle name="Comma 2 4 2" xfId="636"/>
    <cellStyle name="Comma 2 5" xfId="371"/>
    <cellStyle name="Comma 2 5 2" xfId="637"/>
    <cellStyle name="Comma 2 6" xfId="372"/>
    <cellStyle name="Comma 2 6 2" xfId="638"/>
    <cellStyle name="Comma 2 7" xfId="373"/>
    <cellStyle name="Comma 2 7 2" xfId="639"/>
    <cellStyle name="Comma 2 8" xfId="374"/>
    <cellStyle name="Comma 2 8 2" xfId="640"/>
    <cellStyle name="Comma 2 9" xfId="375"/>
    <cellStyle name="Comma 3" xfId="56"/>
    <cellStyle name="Comma 3 2" xfId="633"/>
    <cellStyle name="Comma 4" xfId="376"/>
    <cellStyle name="Comma 4 2" xfId="641"/>
    <cellStyle name="Comma 5" xfId="377"/>
    <cellStyle name="Currency" xfId="53" builtinId="4"/>
    <cellStyle name="Currency 2" xfId="2"/>
    <cellStyle name="Currency 2 2" xfId="378"/>
    <cellStyle name="Currency 2 2 2" xfId="642"/>
    <cellStyle name="Currency 2 3" xfId="643"/>
    <cellStyle name="Currency 3" xfId="379"/>
    <cellStyle name="Currency 3 2" xfId="644"/>
    <cellStyle name="Currency 4" xfId="380"/>
    <cellStyle name="Currency 4 2" xfId="645"/>
    <cellStyle name="Currency 5" xfId="614"/>
    <cellStyle name="Currency 6" xfId="711"/>
    <cellStyle name="DollarHideZero" xfId="381"/>
    <cellStyle name="DollarHideZero 2" xfId="382"/>
    <cellStyle name="DollarHideZero 2 2" xfId="646"/>
    <cellStyle name="DollarHideZero 3" xfId="647"/>
    <cellStyle name="Explanatory Text 10" xfId="383"/>
    <cellStyle name="Explanatory Text 11" xfId="384"/>
    <cellStyle name="Explanatory Text 12" xfId="385"/>
    <cellStyle name="Explanatory Text 13" xfId="386"/>
    <cellStyle name="Explanatory Text 2" xfId="35"/>
    <cellStyle name="Explanatory Text 3" xfId="387"/>
    <cellStyle name="Explanatory Text 4" xfId="388"/>
    <cellStyle name="Explanatory Text 5" xfId="389"/>
    <cellStyle name="Explanatory Text 6" xfId="390"/>
    <cellStyle name="Explanatory Text 7" xfId="391"/>
    <cellStyle name="Explanatory Text 8" xfId="392"/>
    <cellStyle name="Explanatory Text 9" xfId="393"/>
    <cellStyle name="Good 10" xfId="394"/>
    <cellStyle name="Good 10 2" xfId="648"/>
    <cellStyle name="Good 11" xfId="395"/>
    <cellStyle name="Good 11 2" xfId="649"/>
    <cellStyle name="Good 12" xfId="396"/>
    <cellStyle name="Good 12 2" xfId="650"/>
    <cellStyle name="Good 13" xfId="397"/>
    <cellStyle name="Good 13 2" xfId="651"/>
    <cellStyle name="Good 2" xfId="36"/>
    <cellStyle name="Good 2 2" xfId="652"/>
    <cellStyle name="Good 3" xfId="398"/>
    <cellStyle name="Good 3 2" xfId="653"/>
    <cellStyle name="Good 4" xfId="399"/>
    <cellStyle name="Good 4 2" xfId="654"/>
    <cellStyle name="Good 5" xfId="400"/>
    <cellStyle name="Good 5 2" xfId="655"/>
    <cellStyle name="Good 6" xfId="401"/>
    <cellStyle name="Good 6 2" xfId="656"/>
    <cellStyle name="Good 7" xfId="402"/>
    <cellStyle name="Good 7 2" xfId="657"/>
    <cellStyle name="Good 8" xfId="403"/>
    <cellStyle name="Good 8 2" xfId="658"/>
    <cellStyle name="Good 9" xfId="404"/>
    <cellStyle name="Good 9 2" xfId="659"/>
    <cellStyle name="Heading 1 10" xfId="405"/>
    <cellStyle name="Heading 1 11" xfId="406"/>
    <cellStyle name="Heading 1 12" xfId="407"/>
    <cellStyle name="Heading 1 13" xfId="408"/>
    <cellStyle name="Heading 1 2" xfId="37"/>
    <cellStyle name="Heading 1 3" xfId="409"/>
    <cellStyle name="Heading 1 4" xfId="410"/>
    <cellStyle name="Heading 1 5" xfId="411"/>
    <cellStyle name="Heading 1 6" xfId="412"/>
    <cellStyle name="Heading 1 7" xfId="413"/>
    <cellStyle name="Heading 1 8" xfId="414"/>
    <cellStyle name="Heading 1 9" xfId="415"/>
    <cellStyle name="Heading 2 10" xfId="416"/>
    <cellStyle name="Heading 2 11" xfId="417"/>
    <cellStyle name="Heading 2 12" xfId="418"/>
    <cellStyle name="Heading 2 13" xfId="419"/>
    <cellStyle name="Heading 2 2" xfId="38"/>
    <cellStyle name="Heading 2 3" xfId="420"/>
    <cellStyle name="Heading 2 4" xfId="421"/>
    <cellStyle name="Heading 2 5" xfId="422"/>
    <cellStyle name="Heading 2 6" xfId="423"/>
    <cellStyle name="Heading 2 7" xfId="424"/>
    <cellStyle name="Heading 2 8" xfId="425"/>
    <cellStyle name="Heading 2 9" xfId="426"/>
    <cellStyle name="Heading 3 10" xfId="427"/>
    <cellStyle name="Heading 3 11" xfId="428"/>
    <cellStyle name="Heading 3 12" xfId="429"/>
    <cellStyle name="Heading 3 13" xfId="430"/>
    <cellStyle name="Heading 3 2" xfId="39"/>
    <cellStyle name="Heading 3 3" xfId="431"/>
    <cellStyle name="Heading 3 4" xfId="432"/>
    <cellStyle name="Heading 3 5" xfId="433"/>
    <cellStyle name="Heading 3 6" xfId="434"/>
    <cellStyle name="Heading 3 7" xfId="435"/>
    <cellStyle name="Heading 3 8" xfId="436"/>
    <cellStyle name="Heading 3 9" xfId="437"/>
    <cellStyle name="Heading 4 10" xfId="438"/>
    <cellStyle name="Heading 4 11" xfId="439"/>
    <cellStyle name="Heading 4 12" xfId="440"/>
    <cellStyle name="Heading 4 13" xfId="441"/>
    <cellStyle name="Heading 4 2" xfId="40"/>
    <cellStyle name="Heading 4 3" xfId="442"/>
    <cellStyle name="Heading 4 4" xfId="443"/>
    <cellStyle name="Heading 4 5" xfId="444"/>
    <cellStyle name="Heading 4 6" xfId="445"/>
    <cellStyle name="Heading 4 7" xfId="446"/>
    <cellStyle name="Heading 4 8" xfId="447"/>
    <cellStyle name="Heading 4 9" xfId="448"/>
    <cellStyle name="Hyperlink" xfId="719" builtinId="8"/>
    <cellStyle name="Hyperlink 2" xfId="449"/>
    <cellStyle name="Hyperlink 3" xfId="612"/>
    <cellStyle name="Hyperlink 4" xfId="621"/>
    <cellStyle name="Input 10" xfId="450"/>
    <cellStyle name="Input 11" xfId="451"/>
    <cellStyle name="Input 12" xfId="452"/>
    <cellStyle name="Input 13" xfId="453"/>
    <cellStyle name="Input 14" xfId="715"/>
    <cellStyle name="Input 2" xfId="41"/>
    <cellStyle name="Input 3" xfId="454"/>
    <cellStyle name="Input 4" xfId="455"/>
    <cellStyle name="Input 5" xfId="456"/>
    <cellStyle name="Input 6" xfId="457"/>
    <cellStyle name="Input 7" xfId="458"/>
    <cellStyle name="Input 8" xfId="459"/>
    <cellStyle name="Input 9" xfId="460"/>
    <cellStyle name="Installed" xfId="461"/>
    <cellStyle name="Installed 2" xfId="626"/>
    <cellStyle name="Linked Cell 10" xfId="462"/>
    <cellStyle name="Linked Cell 11" xfId="463"/>
    <cellStyle name="Linked Cell 12" xfId="464"/>
    <cellStyle name="Linked Cell 13" xfId="465"/>
    <cellStyle name="Linked Cell 2" xfId="42"/>
    <cellStyle name="Linked Cell 3" xfId="466"/>
    <cellStyle name="Linked Cell 4" xfId="467"/>
    <cellStyle name="Linked Cell 5" xfId="468"/>
    <cellStyle name="Linked Cell 6" xfId="469"/>
    <cellStyle name="Linked Cell 7" xfId="470"/>
    <cellStyle name="Linked Cell 8" xfId="471"/>
    <cellStyle name="Linked Cell 9" xfId="472"/>
    <cellStyle name="Neutral 10" xfId="473"/>
    <cellStyle name="Neutral 11" xfId="474"/>
    <cellStyle name="Neutral 12" xfId="475"/>
    <cellStyle name="Neutral 13" xfId="476"/>
    <cellStyle name="Neutral 2" xfId="43"/>
    <cellStyle name="Neutral 3" xfId="477"/>
    <cellStyle name="Neutral 4" xfId="478"/>
    <cellStyle name="Neutral 5" xfId="479"/>
    <cellStyle name="Neutral 6" xfId="480"/>
    <cellStyle name="Neutral 7" xfId="481"/>
    <cellStyle name="Neutral 8" xfId="482"/>
    <cellStyle name="Neutral 9" xfId="483"/>
    <cellStyle name="Normal" xfId="0" builtinId="0"/>
    <cellStyle name="Normal 10" xfId="54"/>
    <cellStyle name="Normal 10 2" xfId="660"/>
    <cellStyle name="Normal 11" xfId="613"/>
    <cellStyle name="Normal 11 2" xfId="617"/>
    <cellStyle name="Normal 11 3" xfId="710"/>
    <cellStyle name="Normal 12" xfId="619"/>
    <cellStyle name="Normal 18" xfId="484"/>
    <cellStyle name="Normal 18 2" xfId="485"/>
    <cellStyle name="Normal 18 2 2" xfId="661"/>
    <cellStyle name="Normal 18 3" xfId="662"/>
    <cellStyle name="Normal 2" xfId="51"/>
    <cellStyle name="Normal 2 10" xfId="486"/>
    <cellStyle name="Normal 2 11" xfId="487"/>
    <cellStyle name="Normal 2 12" xfId="488"/>
    <cellStyle name="Normal 2 13" xfId="489"/>
    <cellStyle name="Normal 2 14" xfId="490"/>
    <cellStyle name="Normal 2 15" xfId="491"/>
    <cellStyle name="Normal 2 16" xfId="492"/>
    <cellStyle name="Normal 2 17" xfId="493"/>
    <cellStyle name="Normal 2 18" xfId="494"/>
    <cellStyle name="Normal 2 19" xfId="495"/>
    <cellStyle name="Normal 2 2" xfId="44"/>
    <cellStyle name="Normal 2 2 2" xfId="496"/>
    <cellStyle name="Normal 2 2 2 2" xfId="663"/>
    <cellStyle name="Normal 2 2 3" xfId="664"/>
    <cellStyle name="Normal 2 20" xfId="497"/>
    <cellStyle name="Normal 2 3" xfId="498"/>
    <cellStyle name="Normal 2 3 2" xfId="665"/>
    <cellStyle name="Normal 2 4" xfId="499"/>
    <cellStyle name="Normal 2 4 2" xfId="666"/>
    <cellStyle name="Normal 2 5" xfId="500"/>
    <cellStyle name="Normal 2 5 2" xfId="667"/>
    <cellStyle name="Normal 2 6" xfId="501"/>
    <cellStyle name="Normal 2 6 2" xfId="668"/>
    <cellStyle name="Normal 2 7" xfId="502"/>
    <cellStyle name="Normal 2 7 2" xfId="669"/>
    <cellStyle name="Normal 2 8" xfId="503"/>
    <cellStyle name="Normal 2 8 2" xfId="670"/>
    <cellStyle name="Normal 2 9" xfId="504"/>
    <cellStyle name="Normal 2_NC - Project Name - ERP Tables_rev0_SWA" xfId="55"/>
    <cellStyle name="Normal 3" xfId="505"/>
    <cellStyle name="Normal 3 10" xfId="671"/>
    <cellStyle name="Normal 3 11" xfId="716"/>
    <cellStyle name="Normal 3 2" xfId="506"/>
    <cellStyle name="Normal 3 2 2" xfId="672"/>
    <cellStyle name="Normal 3 3" xfId="507"/>
    <cellStyle name="Normal 3 3 2" xfId="673"/>
    <cellStyle name="Normal 3 4" xfId="508"/>
    <cellStyle name="Normal 3 4 2" xfId="674"/>
    <cellStyle name="Normal 3 5" xfId="509"/>
    <cellStyle name="Normal 3 5 2" xfId="675"/>
    <cellStyle name="Normal 3 6" xfId="510"/>
    <cellStyle name="Normal 3 6 2" xfId="676"/>
    <cellStyle name="Normal 3 7" xfId="511"/>
    <cellStyle name="Normal 3 7 2" xfId="677"/>
    <cellStyle name="Normal 3 8" xfId="512"/>
    <cellStyle name="Normal 3 8 2" xfId="678"/>
    <cellStyle name="Normal 3 9" xfId="611"/>
    <cellStyle name="Normal 4" xfId="3"/>
    <cellStyle name="Normal 4 2" xfId="513"/>
    <cellStyle name="Normal 4 2 2" xfId="679"/>
    <cellStyle name="Normal 4 3" xfId="680"/>
    <cellStyle name="Normal 5" xfId="4"/>
    <cellStyle name="Normal 5 2" xfId="514"/>
    <cellStyle name="Normal 5 2 2" xfId="681"/>
    <cellStyle name="Normal 5 3" xfId="682"/>
    <cellStyle name="Normal 6" xfId="5"/>
    <cellStyle name="Normal 6 2" xfId="515"/>
    <cellStyle name="Normal 6 2 2" xfId="683"/>
    <cellStyle name="Normal 6 3" xfId="684"/>
    <cellStyle name="Normal 7" xfId="516"/>
    <cellStyle name="Normal 7 2" xfId="685"/>
    <cellStyle name="Normal 8" xfId="517"/>
    <cellStyle name="Normal 8 2" xfId="686"/>
    <cellStyle name="Normal 9" xfId="518"/>
    <cellStyle name="Normal 9 2" xfId="687"/>
    <cellStyle name="Normal_Supporting FoxLeg" xfId="618"/>
    <cellStyle name="Normal_WaterCalc 11 07 08" xfId="620"/>
    <cellStyle name="Note 10" xfId="519"/>
    <cellStyle name="Note 11" xfId="520"/>
    <cellStyle name="Note 12" xfId="521"/>
    <cellStyle name="Note 13" xfId="522"/>
    <cellStyle name="Note 14" xfId="523"/>
    <cellStyle name="Note 15" xfId="524"/>
    <cellStyle name="Note 16" xfId="525"/>
    <cellStyle name="Note 17" xfId="526"/>
    <cellStyle name="Note 18" xfId="527"/>
    <cellStyle name="Note 19" xfId="528"/>
    <cellStyle name="Note 2" xfId="45"/>
    <cellStyle name="Note 2 2" xfId="688"/>
    <cellStyle name="Note 20" xfId="529"/>
    <cellStyle name="Note 3" xfId="530"/>
    <cellStyle name="Note 3 2" xfId="689"/>
    <cellStyle name="Note 4" xfId="531"/>
    <cellStyle name="Note 4 2" xfId="690"/>
    <cellStyle name="Note 5" xfId="532"/>
    <cellStyle name="Note 5 2" xfId="691"/>
    <cellStyle name="Note 6" xfId="533"/>
    <cellStyle name="Note 6 2" xfId="692"/>
    <cellStyle name="Note 7" xfId="534"/>
    <cellStyle name="Note 7 2" xfId="693"/>
    <cellStyle name="Note 8" xfId="535"/>
    <cellStyle name="Note 8 2" xfId="694"/>
    <cellStyle name="Note 9" xfId="536"/>
    <cellStyle name="NumberHideZero" xfId="537"/>
    <cellStyle name="NumberHideZero 2" xfId="538"/>
    <cellStyle name="NumberHideZero 2 2" xfId="695"/>
    <cellStyle name="NumberHideZero 2 3" xfId="696"/>
    <cellStyle name="NumberHideZero 3" xfId="697"/>
    <cellStyle name="NumberHideZero 4" xfId="698"/>
    <cellStyle name="Ordered" xfId="539"/>
    <cellStyle name="Ordered 2" xfId="627"/>
    <cellStyle name="Output 10" xfId="540"/>
    <cellStyle name="Output 11" xfId="541"/>
    <cellStyle name="Output 12" xfId="542"/>
    <cellStyle name="Output 13" xfId="543"/>
    <cellStyle name="Output 14" xfId="717"/>
    <cellStyle name="Output 2" xfId="46"/>
    <cellStyle name="Output 3" xfId="544"/>
    <cellStyle name="Output 4" xfId="545"/>
    <cellStyle name="Output 5" xfId="546"/>
    <cellStyle name="Output 6" xfId="547"/>
    <cellStyle name="Output 7" xfId="548"/>
    <cellStyle name="Output 8" xfId="549"/>
    <cellStyle name="Output 9" xfId="550"/>
    <cellStyle name="Percent" xfId="1" builtinId="5"/>
    <cellStyle name="Percent 2" xfId="52"/>
    <cellStyle name="Percent 2 10" xfId="551"/>
    <cellStyle name="Percent 2 11" xfId="552"/>
    <cellStyle name="Percent 2 12" xfId="553"/>
    <cellStyle name="Percent 2 13" xfId="554"/>
    <cellStyle name="Percent 2 14" xfId="555"/>
    <cellStyle name="Percent 2 15" xfId="556"/>
    <cellStyle name="Percent 2 16" xfId="557"/>
    <cellStyle name="Percent 2 17" xfId="558"/>
    <cellStyle name="Percent 2 18" xfId="559"/>
    <cellStyle name="Percent 2 19" xfId="560"/>
    <cellStyle name="Percent 2 2" xfId="47"/>
    <cellStyle name="Percent 2 2 2" xfId="699"/>
    <cellStyle name="Percent 2 20" xfId="561"/>
    <cellStyle name="Percent 2 3" xfId="562"/>
    <cellStyle name="Percent 2 3 2" xfId="700"/>
    <cellStyle name="Percent 2 4" xfId="563"/>
    <cellStyle name="Percent 2 4 2" xfId="701"/>
    <cellStyle name="Percent 2 5" xfId="564"/>
    <cellStyle name="Percent 2 5 2" xfId="702"/>
    <cellStyle name="Percent 2 6" xfId="565"/>
    <cellStyle name="Percent 2 6 2" xfId="703"/>
    <cellStyle name="Percent 2 7" xfId="566"/>
    <cellStyle name="Percent 2 7 2" xfId="704"/>
    <cellStyle name="Percent 2 8" xfId="567"/>
    <cellStyle name="Percent 2 8 2" xfId="705"/>
    <cellStyle name="Percent 2 9" xfId="568"/>
    <cellStyle name="Percent 3" xfId="569"/>
    <cellStyle name="Percent 3 2" xfId="706"/>
    <cellStyle name="Percent 4" xfId="570"/>
    <cellStyle name="Percent 4 2" xfId="707"/>
    <cellStyle name="Percent 5" xfId="571"/>
    <cellStyle name="Percent 6" xfId="712"/>
    <cellStyle name="Received" xfId="572"/>
    <cellStyle name="Received 2" xfId="628"/>
    <cellStyle name="Red Font" xfId="573"/>
    <cellStyle name="Red Font 2" xfId="629"/>
    <cellStyle name="Subtotal" xfId="574"/>
    <cellStyle name="Subtotal 2" xfId="708"/>
    <cellStyle name="Subtotal 3" xfId="630"/>
    <cellStyle name="Title 10" xfId="575"/>
    <cellStyle name="Title 11" xfId="576"/>
    <cellStyle name="Title 12" xfId="577"/>
    <cellStyle name="Title 13" xfId="578"/>
    <cellStyle name="Title 2" xfId="48"/>
    <cellStyle name="Title 3" xfId="579"/>
    <cellStyle name="Title 4" xfId="580"/>
    <cellStyle name="Title 5" xfId="581"/>
    <cellStyle name="Title 6" xfId="582"/>
    <cellStyle name="Title 7" xfId="583"/>
    <cellStyle name="Title 8" xfId="584"/>
    <cellStyle name="Title 9" xfId="585"/>
    <cellStyle name="Top Border. Aqua" xfId="586"/>
    <cellStyle name="Top Border. Aqua 2" xfId="709"/>
    <cellStyle name="Top Border. Aqua 3" xfId="631"/>
    <cellStyle name="Total 10" xfId="587"/>
    <cellStyle name="Total 11" xfId="588"/>
    <cellStyle name="Total 12" xfId="589"/>
    <cellStyle name="Total 13" xfId="590"/>
    <cellStyle name="Total 14" xfId="718"/>
    <cellStyle name="Total 2" xfId="49"/>
    <cellStyle name="Total 3" xfId="591"/>
    <cellStyle name="Total 4" xfId="592"/>
    <cellStyle name="Total 5" xfId="593"/>
    <cellStyle name="Total 6" xfId="594"/>
    <cellStyle name="Total 7" xfId="595"/>
    <cellStyle name="Total 8" xfId="596"/>
    <cellStyle name="Total 9" xfId="597"/>
    <cellStyle name="Unlocked" xfId="598"/>
    <cellStyle name="Unlocked 2" xfId="632"/>
    <cellStyle name="Warning Text 10" xfId="599"/>
    <cellStyle name="Warning Text 11" xfId="600"/>
    <cellStyle name="Warning Text 12" xfId="601"/>
    <cellStyle name="Warning Text 13" xfId="602"/>
    <cellStyle name="Warning Text 2" xfId="50"/>
    <cellStyle name="Warning Text 3" xfId="603"/>
    <cellStyle name="Warning Text 4" xfId="604"/>
    <cellStyle name="Warning Text 5" xfId="605"/>
    <cellStyle name="Warning Text 6" xfId="606"/>
    <cellStyle name="Warning Text 7" xfId="607"/>
    <cellStyle name="Warning Text 8" xfId="608"/>
    <cellStyle name="Warning Text 9" xfId="609"/>
  </cellStyles>
  <dxfs count="4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solid">
          <bgColor rgb="FFFF0000"/>
        </patternFill>
      </fill>
    </dxf>
    <dxf>
      <fill>
        <patternFill>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ont>
        <condense val="0"/>
        <extend val="0"/>
        <color rgb="FF9C0006"/>
      </font>
      <fill>
        <patternFill>
          <bgColor rgb="FFFFC7CE"/>
        </patternFill>
      </fill>
    </dxf>
    <dxf>
      <font>
        <b/>
        <i val="0"/>
        <color auto="1"/>
      </font>
      <fill>
        <patternFill>
          <bgColor rgb="FFFF0000"/>
        </patternFill>
      </fill>
    </dxf>
    <dxf>
      <font>
        <condense val="0"/>
        <extend val="0"/>
        <color rgb="FF9C0006"/>
      </font>
      <fill>
        <patternFill>
          <bgColor rgb="FFFFC7CE"/>
        </patternFill>
      </fill>
    </dxf>
    <dxf>
      <font>
        <b/>
        <i val="0"/>
        <color auto="1"/>
      </font>
      <fill>
        <patternFill>
          <bgColor rgb="FFFF0000"/>
        </patternFill>
      </fill>
    </dxf>
    <dxf>
      <font>
        <color auto="1"/>
        <name val="Cambria"/>
        <scheme val="none"/>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FFFF"/>
        </patternFill>
      </fill>
      <border>
        <left/>
        <right/>
        <top/>
        <bottom/>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style="thin">
          <color theme="0"/>
        </right>
        <top style="thin">
          <color theme="0"/>
        </top>
        <vertical/>
        <horizontal/>
      </border>
    </dxf>
    <dxf>
      <font>
        <color rgb="FFFF000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FF0000"/>
      </font>
    </dxf>
    <dxf>
      <font>
        <color theme="1"/>
      </font>
      <fill>
        <patternFill>
          <bgColor theme="3" tint="0.79998168889431442"/>
        </patternFill>
      </fill>
      <border>
        <left style="thin">
          <color auto="1"/>
        </left>
        <right style="thin">
          <color auto="1"/>
        </right>
        <top style="thin">
          <color auto="1"/>
        </top>
        <bottom style="thin">
          <color auto="1"/>
        </bottom>
      </border>
    </dxf>
    <dxf>
      <fill>
        <patternFill patternType="lightUp">
          <fgColor auto="1"/>
          <bgColor theme="0" tint="-4.9989318521683403E-2"/>
        </patternFill>
      </fill>
      <border>
        <left style="thin">
          <color auto="1"/>
        </left>
        <right style="thin">
          <color auto="1"/>
        </right>
        <top style="thin">
          <color auto="1"/>
        </top>
        <bottom style="thin">
          <color auto="1"/>
        </bottom>
        <vertical/>
        <horizontal/>
      </border>
    </dxf>
    <dxf>
      <fill>
        <patternFill>
          <bgColor theme="6" tint="0.39994506668294322"/>
        </patternFill>
      </fill>
      <border>
        <left style="thin">
          <color auto="1"/>
        </left>
        <right style="thin">
          <color auto="1"/>
        </right>
        <top style="thin">
          <color auto="1"/>
        </top>
        <bottom style="thin">
          <color auto="1"/>
        </bottom>
        <vertical/>
        <horizontal/>
      </border>
    </dxf>
  </dxfs>
  <tableStyles count="0" defaultTableStyle="TableStyleMedium9" defaultPivotStyle="PivotStyleLight16"/>
  <colors>
    <mruColors>
      <color rgb="FF00FFFF"/>
      <color rgb="FF0099CC"/>
      <color rgb="FF659A2A"/>
      <color rgb="FF66FF33"/>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307506053268771"/>
          <c:y val="7.9114046297169061E-2"/>
          <c:w val="0.70460048426150146"/>
          <c:h val="0.72152010223018193"/>
        </c:manualLayout>
      </c:layout>
      <c:scatterChart>
        <c:scatterStyle val="lineMarker"/>
        <c:varyColors val="0"/>
        <c:ser>
          <c:idx val="0"/>
          <c:order val="0"/>
          <c:spPr>
            <a:ln w="28575">
              <a:noFill/>
            </a:ln>
          </c:spPr>
          <c:marker>
            <c:symbol val="diamond"/>
            <c:size val="5"/>
            <c:spPr>
              <a:solidFill>
                <a:srgbClr val="000080"/>
              </a:solidFill>
              <a:ln>
                <a:solidFill>
                  <a:srgbClr val="000080"/>
                </a:solidFill>
                <a:prstDash val="solid"/>
              </a:ln>
            </c:spPr>
          </c:marker>
          <c:trendline>
            <c:spPr>
              <a:ln w="25400">
                <a:solidFill>
                  <a:srgbClr val="000000"/>
                </a:solidFill>
                <a:prstDash val="solid"/>
              </a:ln>
            </c:spPr>
            <c:trendlineType val="linear"/>
            <c:dispRSqr val="1"/>
            <c:dispEq val="1"/>
            <c:trendlineLbl>
              <c:layout>
                <c:manualLayout>
                  <c:x val="-0.244163171193644"/>
                  <c:y val="6.1134974363992858E-2"/>
                </c:manualLayout>
              </c:layout>
              <c:numFmt formatCode="General" sourceLinked="0"/>
              <c:spPr>
                <a:noFill/>
                <a:ln w="25400">
                  <a:noFill/>
                </a:ln>
              </c:spPr>
              <c:txPr>
                <a:bodyPr/>
                <a:lstStyle/>
                <a:p>
                  <a:pPr>
                    <a:defRPr sz="825" b="0" i="0" u="none" strike="noStrike" baseline="0">
                      <a:solidFill>
                        <a:srgbClr val="000000"/>
                      </a:solidFill>
                      <a:latin typeface="Arial"/>
                      <a:ea typeface="Arial"/>
                      <a:cs typeface="Arial"/>
                    </a:defRPr>
                  </a:pPr>
                  <a:endParaRPr lang="en-US"/>
                </a:p>
              </c:txPr>
            </c:trendlineLbl>
          </c:trendline>
          <c:xVal>
            <c:numRef>
              <c:f>'8.2 - VENT_DUCT TIGHTNESS'!$H$64:$H$68</c:f>
              <c:numCache>
                <c:formatCode>0.000</c:formatCode>
                <c:ptCount val="5"/>
                <c:pt idx="0">
                  <c:v>0</c:v>
                </c:pt>
                <c:pt idx="1">
                  <c:v>0</c:v>
                </c:pt>
                <c:pt idx="2">
                  <c:v>0</c:v>
                </c:pt>
                <c:pt idx="3">
                  <c:v>0</c:v>
                </c:pt>
                <c:pt idx="4">
                  <c:v>0</c:v>
                </c:pt>
              </c:numCache>
            </c:numRef>
          </c:xVal>
          <c:yVal>
            <c:numRef>
              <c:f>'8.2 - VENT_DUCT TIGHTNESS'!$I$64:$I$68</c:f>
              <c:numCache>
                <c:formatCode>0.000</c:formatCode>
                <c:ptCount val="5"/>
                <c:pt idx="0">
                  <c:v>0</c:v>
                </c:pt>
                <c:pt idx="1">
                  <c:v>0</c:v>
                </c:pt>
                <c:pt idx="2">
                  <c:v>0</c:v>
                </c:pt>
                <c:pt idx="3">
                  <c:v>0</c:v>
                </c:pt>
                <c:pt idx="4">
                  <c:v>0</c:v>
                </c:pt>
              </c:numCache>
            </c:numRef>
          </c:yVal>
          <c:smooth val="0"/>
        </c:ser>
        <c:dLbls>
          <c:showLegendKey val="0"/>
          <c:showVal val="0"/>
          <c:showCatName val="0"/>
          <c:showSerName val="0"/>
          <c:showPercent val="0"/>
          <c:showBubbleSize val="0"/>
        </c:dLbls>
        <c:axId val="322183344"/>
        <c:axId val="316410456"/>
      </c:scatterChart>
      <c:valAx>
        <c:axId val="322183344"/>
        <c:scaling>
          <c:orientation val="minMax"/>
        </c:scaling>
        <c:delete val="0"/>
        <c:axPos val="b"/>
        <c:title>
          <c:tx>
            <c:rich>
              <a:bodyPr/>
              <a:lstStyle/>
              <a:p>
                <a:pPr>
                  <a:defRPr sz="825" b="1" i="0" u="none" strike="noStrike" baseline="0">
                    <a:solidFill>
                      <a:srgbClr val="000000"/>
                    </a:solidFill>
                    <a:latin typeface="Arial"/>
                    <a:ea typeface="Arial"/>
                    <a:cs typeface="Arial"/>
                  </a:defRPr>
                </a:pPr>
                <a:r>
                  <a:rPr lang="en-US"/>
                  <a:t>LOG (Duct Pa)</a:t>
                </a:r>
              </a:p>
            </c:rich>
          </c:tx>
          <c:layout>
            <c:manualLayout>
              <c:xMode val="edge"/>
              <c:yMode val="edge"/>
              <c:x val="0.46004851666268992"/>
              <c:y val="0.88607739581332823"/>
            </c:manualLayout>
          </c:layout>
          <c:overlay val="0"/>
          <c:spPr>
            <a:noFill/>
            <a:ln w="25400">
              <a:noFill/>
            </a:ln>
          </c:spPr>
        </c:title>
        <c:numFmt formatCode="0.000"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n-US"/>
          </a:p>
        </c:txPr>
        <c:crossAx val="316410456"/>
        <c:crosses val="autoZero"/>
        <c:crossBetween val="midCat"/>
      </c:valAx>
      <c:valAx>
        <c:axId val="316410456"/>
        <c:scaling>
          <c:orientation val="minMax"/>
        </c:scaling>
        <c:delete val="0"/>
        <c:axPos val="l"/>
        <c:title>
          <c:tx>
            <c:rich>
              <a:bodyPr/>
              <a:lstStyle/>
              <a:p>
                <a:pPr>
                  <a:defRPr sz="825" b="1" i="0" u="none" strike="noStrike" baseline="0">
                    <a:solidFill>
                      <a:srgbClr val="000000"/>
                    </a:solidFill>
                    <a:latin typeface="Arial"/>
                    <a:ea typeface="Arial"/>
                    <a:cs typeface="Arial"/>
                  </a:defRPr>
                </a:pPr>
                <a:r>
                  <a:rPr lang="en-US"/>
                  <a:t>LOG(CFM)</a:t>
                </a:r>
              </a:p>
            </c:rich>
          </c:tx>
          <c:layout>
            <c:manualLayout>
              <c:xMode val="edge"/>
              <c:yMode val="edge"/>
              <c:x val="3.8740952835441024E-2"/>
              <c:y val="0.34810191409000707"/>
            </c:manualLayout>
          </c:layout>
          <c:overlay val="0"/>
          <c:spPr>
            <a:noFill/>
            <a:ln w="25400">
              <a:noFill/>
            </a:ln>
          </c:spPr>
        </c:title>
        <c:numFmt formatCode="0.000"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n-US"/>
          </a:p>
        </c:txPr>
        <c:crossAx val="322183344"/>
        <c:crosses val="autoZero"/>
        <c:crossBetween val="midCat"/>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c:printSettings>
</c:chartSpac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fmlaLink="$J$90"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fmlaLink="$F$33" lockText="1" noThreeD="1"/>
</file>

<file path=xl/ctrlProps/ctrlProp146.xml><?xml version="1.0" encoding="utf-8"?>
<formControlPr xmlns="http://schemas.microsoft.com/office/spreadsheetml/2009/9/main" objectType="CheckBox" fmlaLink="$G$33"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fmlaLink="$F$28" lockText="1" noThreeD="1"/>
</file>

<file path=xl/ctrlProps/ctrlProp32.xml><?xml version="1.0" encoding="utf-8"?>
<formControlPr xmlns="http://schemas.microsoft.com/office/spreadsheetml/2009/9/main" objectType="CheckBox" fmlaLink="$F$29" lockText="1" noThreeD="1"/>
</file>

<file path=xl/ctrlProps/ctrlProp33.xml><?xml version="1.0" encoding="utf-8"?>
<formControlPr xmlns="http://schemas.microsoft.com/office/spreadsheetml/2009/9/main" objectType="CheckBox" fmlaLink="#REF!" lockText="1" noThreeD="1"/>
</file>

<file path=xl/ctrlProps/ctrlProp34.xml><?xml version="1.0" encoding="utf-8"?>
<formControlPr xmlns="http://schemas.microsoft.com/office/spreadsheetml/2009/9/main" objectType="CheckBox" fmlaLink="$F$30" lockText="1" noThreeD="1"/>
</file>

<file path=xl/ctrlProps/ctrlProp35.xml><?xml version="1.0" encoding="utf-8"?>
<formControlPr xmlns="http://schemas.microsoft.com/office/spreadsheetml/2009/9/main" objectType="CheckBox" fmlaLink="$F$31"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fmlaLink="$F$34"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fmlaLink="$F$37"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fmlaLink="$F$41"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257175</xdr:colOff>
          <xdr:row>12</xdr:row>
          <xdr:rowOff>0</xdr:rowOff>
        </xdr:from>
        <xdr:to>
          <xdr:col>5</xdr:col>
          <xdr:colOff>561975</xdr:colOff>
          <xdr:row>13</xdr:row>
          <xdr:rowOff>0</xdr:rowOff>
        </xdr:to>
        <xdr:sp macro="" textlink="">
          <xdr:nvSpPr>
            <xdr:cNvPr id="1182" name="Check Box 158" hidden="1">
              <a:extLst>
                <a:ext uri="{63B3BB69-23CF-44E3-9099-C40C66FF867C}">
                  <a14:compatExt spid="_x0000_s1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13</xdr:row>
          <xdr:rowOff>0</xdr:rowOff>
        </xdr:from>
        <xdr:to>
          <xdr:col>5</xdr:col>
          <xdr:colOff>561975</xdr:colOff>
          <xdr:row>14</xdr:row>
          <xdr:rowOff>0</xdr:rowOff>
        </xdr:to>
        <xdr:sp macro="" textlink="">
          <xdr:nvSpPr>
            <xdr:cNvPr id="1184" name="Check Box 160" hidden="1">
              <a:extLst>
                <a:ext uri="{63B3BB69-23CF-44E3-9099-C40C66FF867C}">
                  <a14:compatExt spid="_x0000_s1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14</xdr:row>
          <xdr:rowOff>0</xdr:rowOff>
        </xdr:from>
        <xdr:to>
          <xdr:col>5</xdr:col>
          <xdr:colOff>561975</xdr:colOff>
          <xdr:row>15</xdr:row>
          <xdr:rowOff>0</xdr:rowOff>
        </xdr:to>
        <xdr:sp macro="" textlink="">
          <xdr:nvSpPr>
            <xdr:cNvPr id="1186" name="Check Box 162" hidden="1">
              <a:extLst>
                <a:ext uri="{63B3BB69-23CF-44E3-9099-C40C66FF867C}">
                  <a14:compatExt spid="_x0000_s1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15</xdr:row>
          <xdr:rowOff>0</xdr:rowOff>
        </xdr:from>
        <xdr:to>
          <xdr:col>5</xdr:col>
          <xdr:colOff>561975</xdr:colOff>
          <xdr:row>16</xdr:row>
          <xdr:rowOff>0</xdr:rowOff>
        </xdr:to>
        <xdr:sp macro="" textlink="">
          <xdr:nvSpPr>
            <xdr:cNvPr id="1189" name="Check Box 165" hidden="1">
              <a:extLst>
                <a:ext uri="{63B3BB69-23CF-44E3-9099-C40C66FF867C}">
                  <a14:compatExt spid="_x0000_s1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16</xdr:row>
          <xdr:rowOff>0</xdr:rowOff>
        </xdr:from>
        <xdr:to>
          <xdr:col>5</xdr:col>
          <xdr:colOff>561975</xdr:colOff>
          <xdr:row>17</xdr:row>
          <xdr:rowOff>0</xdr:rowOff>
        </xdr:to>
        <xdr:sp macro="" textlink="">
          <xdr:nvSpPr>
            <xdr:cNvPr id="1192" name="Check Box 168" hidden="1">
              <a:extLst>
                <a:ext uri="{63B3BB69-23CF-44E3-9099-C40C66FF867C}">
                  <a14:compatExt spid="_x0000_s1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17</xdr:row>
          <xdr:rowOff>133350</xdr:rowOff>
        </xdr:from>
        <xdr:to>
          <xdr:col>5</xdr:col>
          <xdr:colOff>561975</xdr:colOff>
          <xdr:row>17</xdr:row>
          <xdr:rowOff>352425</xdr:rowOff>
        </xdr:to>
        <xdr:sp macro="" textlink="">
          <xdr:nvSpPr>
            <xdr:cNvPr id="1195" name="Check Box 171" hidden="1">
              <a:extLst>
                <a:ext uri="{63B3BB69-23CF-44E3-9099-C40C66FF867C}">
                  <a14:compatExt spid="_x0000_s1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18</xdr:row>
          <xdr:rowOff>19050</xdr:rowOff>
        </xdr:from>
        <xdr:to>
          <xdr:col>5</xdr:col>
          <xdr:colOff>561975</xdr:colOff>
          <xdr:row>19</xdr:row>
          <xdr:rowOff>19050</xdr:rowOff>
        </xdr:to>
        <xdr:sp macro="" textlink="">
          <xdr:nvSpPr>
            <xdr:cNvPr id="1201" name="Check Box 177" hidden="1">
              <a:extLst>
                <a:ext uri="{63B3BB69-23CF-44E3-9099-C40C66FF867C}">
                  <a14:compatExt spid="_x0000_s1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19</xdr:row>
          <xdr:rowOff>0</xdr:rowOff>
        </xdr:from>
        <xdr:to>
          <xdr:col>5</xdr:col>
          <xdr:colOff>561975</xdr:colOff>
          <xdr:row>20</xdr:row>
          <xdr:rowOff>0</xdr:rowOff>
        </xdr:to>
        <xdr:sp macro="" textlink="">
          <xdr:nvSpPr>
            <xdr:cNvPr id="1204" name="Check Box 180" hidden="1">
              <a:extLst>
                <a:ext uri="{63B3BB69-23CF-44E3-9099-C40C66FF867C}">
                  <a14:compatExt spid="_x0000_s1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20</xdr:row>
          <xdr:rowOff>0</xdr:rowOff>
        </xdr:from>
        <xdr:to>
          <xdr:col>5</xdr:col>
          <xdr:colOff>561975</xdr:colOff>
          <xdr:row>21</xdr:row>
          <xdr:rowOff>0</xdr:rowOff>
        </xdr:to>
        <xdr:sp macro="" textlink="">
          <xdr:nvSpPr>
            <xdr:cNvPr id="1207" name="Check Box 183" hidden="1">
              <a:extLst>
                <a:ext uri="{63B3BB69-23CF-44E3-9099-C40C66FF867C}">
                  <a14:compatExt spid="_x0000_s1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22</xdr:row>
          <xdr:rowOff>314325</xdr:rowOff>
        </xdr:from>
        <xdr:to>
          <xdr:col>5</xdr:col>
          <xdr:colOff>561975</xdr:colOff>
          <xdr:row>24</xdr:row>
          <xdr:rowOff>9525</xdr:rowOff>
        </xdr:to>
        <xdr:sp macro="" textlink="">
          <xdr:nvSpPr>
            <xdr:cNvPr id="1216" name="Check Box 192" hidden="1">
              <a:extLst>
                <a:ext uri="{63B3BB69-23CF-44E3-9099-C40C66FF867C}">
                  <a14:compatExt spid="_x0000_s1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24</xdr:row>
          <xdr:rowOff>0</xdr:rowOff>
        </xdr:from>
        <xdr:to>
          <xdr:col>5</xdr:col>
          <xdr:colOff>561975</xdr:colOff>
          <xdr:row>25</xdr:row>
          <xdr:rowOff>28575</xdr:rowOff>
        </xdr:to>
        <xdr:sp macro="" textlink="">
          <xdr:nvSpPr>
            <xdr:cNvPr id="1228" name="Check Box 204" hidden="1">
              <a:extLst>
                <a:ext uri="{63B3BB69-23CF-44E3-9099-C40C66FF867C}">
                  <a14:compatExt spid="_x0000_s1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25</xdr:row>
          <xdr:rowOff>0</xdr:rowOff>
        </xdr:from>
        <xdr:to>
          <xdr:col>5</xdr:col>
          <xdr:colOff>561975</xdr:colOff>
          <xdr:row>26</xdr:row>
          <xdr:rowOff>19050</xdr:rowOff>
        </xdr:to>
        <xdr:sp macro="" textlink="">
          <xdr:nvSpPr>
            <xdr:cNvPr id="1231" name="Check Box 207" hidden="1">
              <a:extLst>
                <a:ext uri="{63B3BB69-23CF-44E3-9099-C40C66FF867C}">
                  <a14:compatExt spid="_x0000_s1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25</xdr:row>
          <xdr:rowOff>0</xdr:rowOff>
        </xdr:from>
        <xdr:to>
          <xdr:col>5</xdr:col>
          <xdr:colOff>561975</xdr:colOff>
          <xdr:row>26</xdr:row>
          <xdr:rowOff>19050</xdr:rowOff>
        </xdr:to>
        <xdr:sp macro="" textlink="">
          <xdr:nvSpPr>
            <xdr:cNvPr id="1239" name="Check Box 215" hidden="1">
              <a:extLst>
                <a:ext uri="{63B3BB69-23CF-44E3-9099-C40C66FF867C}">
                  <a14:compatExt spid="_x0000_s1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10</xdr:row>
          <xdr:rowOff>0</xdr:rowOff>
        </xdr:from>
        <xdr:to>
          <xdr:col>6</xdr:col>
          <xdr:colOff>561975</xdr:colOff>
          <xdr:row>11</xdr:row>
          <xdr:rowOff>0</xdr:rowOff>
        </xdr:to>
        <xdr:sp macro="" textlink="">
          <xdr:nvSpPr>
            <xdr:cNvPr id="1245" name="Check Box 221" hidden="1">
              <a:extLst>
                <a:ext uri="{63B3BB69-23CF-44E3-9099-C40C66FF867C}">
                  <a14:compatExt spid="_x0000_s1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11</xdr:row>
          <xdr:rowOff>0</xdr:rowOff>
        </xdr:from>
        <xdr:to>
          <xdr:col>6</xdr:col>
          <xdr:colOff>561975</xdr:colOff>
          <xdr:row>12</xdr:row>
          <xdr:rowOff>0</xdr:rowOff>
        </xdr:to>
        <xdr:sp macro="" textlink="">
          <xdr:nvSpPr>
            <xdr:cNvPr id="1251" name="Check Box 227" hidden="1">
              <a:extLst>
                <a:ext uri="{63B3BB69-23CF-44E3-9099-C40C66FF867C}">
                  <a14:compatExt spid="_x0000_s1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12</xdr:row>
          <xdr:rowOff>0</xdr:rowOff>
        </xdr:from>
        <xdr:to>
          <xdr:col>6</xdr:col>
          <xdr:colOff>561975</xdr:colOff>
          <xdr:row>13</xdr:row>
          <xdr:rowOff>0</xdr:rowOff>
        </xdr:to>
        <xdr:sp macro="" textlink="">
          <xdr:nvSpPr>
            <xdr:cNvPr id="1258" name="Check Box 234" hidden="1">
              <a:extLst>
                <a:ext uri="{63B3BB69-23CF-44E3-9099-C40C66FF867C}">
                  <a14:compatExt spid="_x0000_s1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13</xdr:row>
          <xdr:rowOff>0</xdr:rowOff>
        </xdr:from>
        <xdr:to>
          <xdr:col>6</xdr:col>
          <xdr:colOff>561975</xdr:colOff>
          <xdr:row>14</xdr:row>
          <xdr:rowOff>0</xdr:rowOff>
        </xdr:to>
        <xdr:sp macro="" textlink="">
          <xdr:nvSpPr>
            <xdr:cNvPr id="1264" name="Check Box 240" hidden="1">
              <a:extLst>
                <a:ext uri="{63B3BB69-23CF-44E3-9099-C40C66FF867C}">
                  <a14:compatExt spid="_x0000_s1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14</xdr:row>
          <xdr:rowOff>0</xdr:rowOff>
        </xdr:from>
        <xdr:to>
          <xdr:col>6</xdr:col>
          <xdr:colOff>561975</xdr:colOff>
          <xdr:row>15</xdr:row>
          <xdr:rowOff>0</xdr:rowOff>
        </xdr:to>
        <xdr:sp macro="" textlink="">
          <xdr:nvSpPr>
            <xdr:cNvPr id="1270" name="Check Box 246" hidden="1">
              <a:extLst>
                <a:ext uri="{63B3BB69-23CF-44E3-9099-C40C66FF867C}">
                  <a14:compatExt spid="_x0000_s1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15</xdr:row>
          <xdr:rowOff>0</xdr:rowOff>
        </xdr:from>
        <xdr:to>
          <xdr:col>6</xdr:col>
          <xdr:colOff>561975</xdr:colOff>
          <xdr:row>16</xdr:row>
          <xdr:rowOff>0</xdr:rowOff>
        </xdr:to>
        <xdr:sp macro="" textlink="">
          <xdr:nvSpPr>
            <xdr:cNvPr id="1276" name="Check Box 252" hidden="1">
              <a:extLst>
                <a:ext uri="{63B3BB69-23CF-44E3-9099-C40C66FF867C}">
                  <a14:compatExt spid="_x0000_s1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16</xdr:row>
          <xdr:rowOff>0</xdr:rowOff>
        </xdr:from>
        <xdr:to>
          <xdr:col>6</xdr:col>
          <xdr:colOff>561975</xdr:colOff>
          <xdr:row>17</xdr:row>
          <xdr:rowOff>0</xdr:rowOff>
        </xdr:to>
        <xdr:sp macro="" textlink="">
          <xdr:nvSpPr>
            <xdr:cNvPr id="1282" name="Check Box 258" hidden="1">
              <a:extLst>
                <a:ext uri="{63B3BB69-23CF-44E3-9099-C40C66FF867C}">
                  <a14:compatExt spid="_x0000_s1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17</xdr:row>
          <xdr:rowOff>133350</xdr:rowOff>
        </xdr:from>
        <xdr:to>
          <xdr:col>6</xdr:col>
          <xdr:colOff>561975</xdr:colOff>
          <xdr:row>17</xdr:row>
          <xdr:rowOff>352425</xdr:rowOff>
        </xdr:to>
        <xdr:sp macro="" textlink="">
          <xdr:nvSpPr>
            <xdr:cNvPr id="1288" name="Check Box 264" hidden="1">
              <a:extLst>
                <a:ext uri="{63B3BB69-23CF-44E3-9099-C40C66FF867C}">
                  <a14:compatExt spid="_x0000_s1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18</xdr:row>
          <xdr:rowOff>19050</xdr:rowOff>
        </xdr:from>
        <xdr:to>
          <xdr:col>6</xdr:col>
          <xdr:colOff>561975</xdr:colOff>
          <xdr:row>19</xdr:row>
          <xdr:rowOff>19050</xdr:rowOff>
        </xdr:to>
        <xdr:sp macro="" textlink="">
          <xdr:nvSpPr>
            <xdr:cNvPr id="1300" name="Check Box 276" hidden="1">
              <a:extLst>
                <a:ext uri="{63B3BB69-23CF-44E3-9099-C40C66FF867C}">
                  <a14:compatExt spid="_x0000_s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19</xdr:row>
          <xdr:rowOff>0</xdr:rowOff>
        </xdr:from>
        <xdr:to>
          <xdr:col>6</xdr:col>
          <xdr:colOff>561975</xdr:colOff>
          <xdr:row>20</xdr:row>
          <xdr:rowOff>0</xdr:rowOff>
        </xdr:to>
        <xdr:sp macro="" textlink="">
          <xdr:nvSpPr>
            <xdr:cNvPr id="1306" name="Check Box 282" hidden="1">
              <a:extLst>
                <a:ext uri="{63B3BB69-23CF-44E3-9099-C40C66FF867C}">
                  <a14:compatExt spid="_x0000_s1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20</xdr:row>
          <xdr:rowOff>0</xdr:rowOff>
        </xdr:from>
        <xdr:to>
          <xdr:col>6</xdr:col>
          <xdr:colOff>561975</xdr:colOff>
          <xdr:row>21</xdr:row>
          <xdr:rowOff>0</xdr:rowOff>
        </xdr:to>
        <xdr:sp macro="" textlink="">
          <xdr:nvSpPr>
            <xdr:cNvPr id="1312" name="Check Box 288" hidden="1">
              <a:extLst>
                <a:ext uri="{63B3BB69-23CF-44E3-9099-C40C66FF867C}">
                  <a14:compatExt spid="_x0000_s1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22</xdr:row>
          <xdr:rowOff>304800</xdr:rowOff>
        </xdr:from>
        <xdr:to>
          <xdr:col>6</xdr:col>
          <xdr:colOff>561975</xdr:colOff>
          <xdr:row>24</xdr:row>
          <xdr:rowOff>0</xdr:rowOff>
        </xdr:to>
        <xdr:sp macro="" textlink="">
          <xdr:nvSpPr>
            <xdr:cNvPr id="1330" name="Check Box 306" hidden="1">
              <a:extLst>
                <a:ext uri="{63B3BB69-23CF-44E3-9099-C40C66FF867C}">
                  <a14:compatExt spid="_x0000_s1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24</xdr:row>
          <xdr:rowOff>0</xdr:rowOff>
        </xdr:from>
        <xdr:to>
          <xdr:col>6</xdr:col>
          <xdr:colOff>561975</xdr:colOff>
          <xdr:row>25</xdr:row>
          <xdr:rowOff>28575</xdr:rowOff>
        </xdr:to>
        <xdr:sp macro="" textlink="">
          <xdr:nvSpPr>
            <xdr:cNvPr id="1354" name="Check Box 330" hidden="1">
              <a:extLst>
                <a:ext uri="{63B3BB69-23CF-44E3-9099-C40C66FF867C}">
                  <a14:compatExt spid="_x0000_s1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25</xdr:row>
          <xdr:rowOff>0</xdr:rowOff>
        </xdr:from>
        <xdr:to>
          <xdr:col>6</xdr:col>
          <xdr:colOff>561975</xdr:colOff>
          <xdr:row>26</xdr:row>
          <xdr:rowOff>19050</xdr:rowOff>
        </xdr:to>
        <xdr:sp macro="" textlink="">
          <xdr:nvSpPr>
            <xdr:cNvPr id="1360" name="Check Box 336" hidden="1">
              <a:extLst>
                <a:ext uri="{63B3BB69-23CF-44E3-9099-C40C66FF867C}">
                  <a14:compatExt spid="_x0000_s1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25</xdr:row>
          <xdr:rowOff>0</xdr:rowOff>
        </xdr:from>
        <xdr:to>
          <xdr:col>6</xdr:col>
          <xdr:colOff>561975</xdr:colOff>
          <xdr:row>26</xdr:row>
          <xdr:rowOff>19050</xdr:rowOff>
        </xdr:to>
        <xdr:sp macro="" textlink="">
          <xdr:nvSpPr>
            <xdr:cNvPr id="1372" name="Check Box 348" hidden="1">
              <a:extLst>
                <a:ext uri="{63B3BB69-23CF-44E3-9099-C40C66FF867C}">
                  <a14:compatExt spid="_x0000_s1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10</xdr:row>
          <xdr:rowOff>0</xdr:rowOff>
        </xdr:from>
        <xdr:to>
          <xdr:col>5</xdr:col>
          <xdr:colOff>561975</xdr:colOff>
          <xdr:row>11</xdr:row>
          <xdr:rowOff>0</xdr:rowOff>
        </xdr:to>
        <xdr:sp macro="" textlink="">
          <xdr:nvSpPr>
            <xdr:cNvPr id="1378" name="Check Box 354" hidden="1">
              <a:extLst>
                <a:ext uri="{63B3BB69-23CF-44E3-9099-C40C66FF867C}">
                  <a14:compatExt spid="_x0000_s1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11</xdr:row>
          <xdr:rowOff>0</xdr:rowOff>
        </xdr:from>
        <xdr:to>
          <xdr:col>5</xdr:col>
          <xdr:colOff>561975</xdr:colOff>
          <xdr:row>12</xdr:row>
          <xdr:rowOff>0</xdr:rowOff>
        </xdr:to>
        <xdr:sp macro="" textlink="">
          <xdr:nvSpPr>
            <xdr:cNvPr id="1380" name="Check Box 356" hidden="1">
              <a:extLst>
                <a:ext uri="{63B3BB69-23CF-44E3-9099-C40C66FF867C}">
                  <a14:compatExt spid="_x0000_s1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27</xdr:row>
          <xdr:rowOff>0</xdr:rowOff>
        </xdr:from>
        <xdr:to>
          <xdr:col>5</xdr:col>
          <xdr:colOff>561975</xdr:colOff>
          <xdr:row>28</xdr:row>
          <xdr:rowOff>28575</xdr:rowOff>
        </xdr:to>
        <xdr:sp macro="" textlink="">
          <xdr:nvSpPr>
            <xdr:cNvPr id="1385" name="Check Box 361" hidden="1">
              <a:extLst>
                <a:ext uri="{63B3BB69-23CF-44E3-9099-C40C66FF867C}">
                  <a14:compatExt spid="_x0000_s1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28</xdr:row>
          <xdr:rowOff>0</xdr:rowOff>
        </xdr:from>
        <xdr:to>
          <xdr:col>5</xdr:col>
          <xdr:colOff>561975</xdr:colOff>
          <xdr:row>29</xdr:row>
          <xdr:rowOff>28575</xdr:rowOff>
        </xdr:to>
        <xdr:sp macro="" textlink="">
          <xdr:nvSpPr>
            <xdr:cNvPr id="1390" name="Check Box 366" hidden="1">
              <a:extLst>
                <a:ext uri="{63B3BB69-23CF-44E3-9099-C40C66FF867C}">
                  <a14:compatExt spid="_x0000_s1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29</xdr:row>
          <xdr:rowOff>0</xdr:rowOff>
        </xdr:from>
        <xdr:to>
          <xdr:col>5</xdr:col>
          <xdr:colOff>561975</xdr:colOff>
          <xdr:row>30</xdr:row>
          <xdr:rowOff>19050</xdr:rowOff>
        </xdr:to>
        <xdr:sp macro="" textlink="">
          <xdr:nvSpPr>
            <xdr:cNvPr id="1393" name="Check Box 369" hidden="1">
              <a:extLst>
                <a:ext uri="{63B3BB69-23CF-44E3-9099-C40C66FF867C}">
                  <a14:compatExt spid="_x0000_s1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29</xdr:row>
          <xdr:rowOff>0</xdr:rowOff>
        </xdr:from>
        <xdr:to>
          <xdr:col>5</xdr:col>
          <xdr:colOff>561975</xdr:colOff>
          <xdr:row>30</xdr:row>
          <xdr:rowOff>19050</xdr:rowOff>
        </xdr:to>
        <xdr:sp macro="" textlink="">
          <xdr:nvSpPr>
            <xdr:cNvPr id="1396" name="Check Box 372" hidden="1">
              <a:extLst>
                <a:ext uri="{63B3BB69-23CF-44E3-9099-C40C66FF867C}">
                  <a14:compatExt spid="_x0000_s1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30</xdr:row>
          <xdr:rowOff>0</xdr:rowOff>
        </xdr:from>
        <xdr:to>
          <xdr:col>5</xdr:col>
          <xdr:colOff>561975</xdr:colOff>
          <xdr:row>31</xdr:row>
          <xdr:rowOff>19050</xdr:rowOff>
        </xdr:to>
        <xdr:sp macro="" textlink="">
          <xdr:nvSpPr>
            <xdr:cNvPr id="1399" name="Check Box 375" hidden="1">
              <a:extLst>
                <a:ext uri="{63B3BB69-23CF-44E3-9099-C40C66FF867C}">
                  <a14:compatExt spid="_x0000_s1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27</xdr:row>
          <xdr:rowOff>0</xdr:rowOff>
        </xdr:from>
        <xdr:to>
          <xdr:col>6</xdr:col>
          <xdr:colOff>561975</xdr:colOff>
          <xdr:row>28</xdr:row>
          <xdr:rowOff>28575</xdr:rowOff>
        </xdr:to>
        <xdr:sp macro="" textlink="">
          <xdr:nvSpPr>
            <xdr:cNvPr id="1402" name="Check Box 378" hidden="1">
              <a:extLst>
                <a:ext uri="{63B3BB69-23CF-44E3-9099-C40C66FF867C}">
                  <a14:compatExt spid="_x0000_s1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28</xdr:row>
          <xdr:rowOff>0</xdr:rowOff>
        </xdr:from>
        <xdr:to>
          <xdr:col>6</xdr:col>
          <xdr:colOff>561975</xdr:colOff>
          <xdr:row>29</xdr:row>
          <xdr:rowOff>28575</xdr:rowOff>
        </xdr:to>
        <xdr:sp macro="" textlink="">
          <xdr:nvSpPr>
            <xdr:cNvPr id="1405" name="Check Box 381" hidden="1">
              <a:extLst>
                <a:ext uri="{63B3BB69-23CF-44E3-9099-C40C66FF867C}">
                  <a14:compatExt spid="_x0000_s1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29</xdr:row>
          <xdr:rowOff>0</xdr:rowOff>
        </xdr:from>
        <xdr:to>
          <xdr:col>6</xdr:col>
          <xdr:colOff>561975</xdr:colOff>
          <xdr:row>30</xdr:row>
          <xdr:rowOff>19050</xdr:rowOff>
        </xdr:to>
        <xdr:sp macro="" textlink="">
          <xdr:nvSpPr>
            <xdr:cNvPr id="1408" name="Check Box 384" hidden="1">
              <a:extLst>
                <a:ext uri="{63B3BB69-23CF-44E3-9099-C40C66FF867C}">
                  <a14:compatExt spid="_x0000_s1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29</xdr:row>
          <xdr:rowOff>0</xdr:rowOff>
        </xdr:from>
        <xdr:to>
          <xdr:col>6</xdr:col>
          <xdr:colOff>561975</xdr:colOff>
          <xdr:row>30</xdr:row>
          <xdr:rowOff>19050</xdr:rowOff>
        </xdr:to>
        <xdr:sp macro="" textlink="">
          <xdr:nvSpPr>
            <xdr:cNvPr id="1411" name="Check Box 387" hidden="1">
              <a:extLst>
                <a:ext uri="{63B3BB69-23CF-44E3-9099-C40C66FF867C}">
                  <a14:compatExt spid="_x0000_s1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30</xdr:row>
          <xdr:rowOff>0</xdr:rowOff>
        </xdr:from>
        <xdr:to>
          <xdr:col>6</xdr:col>
          <xdr:colOff>561975</xdr:colOff>
          <xdr:row>31</xdr:row>
          <xdr:rowOff>19050</xdr:rowOff>
        </xdr:to>
        <xdr:sp macro="" textlink="">
          <xdr:nvSpPr>
            <xdr:cNvPr id="1414" name="Check Box 390" hidden="1">
              <a:extLst>
                <a:ext uri="{63B3BB69-23CF-44E3-9099-C40C66FF867C}">
                  <a14:compatExt spid="_x0000_s1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34</xdr:row>
          <xdr:rowOff>0</xdr:rowOff>
        </xdr:from>
        <xdr:to>
          <xdr:col>6</xdr:col>
          <xdr:colOff>561975</xdr:colOff>
          <xdr:row>35</xdr:row>
          <xdr:rowOff>28575</xdr:rowOff>
        </xdr:to>
        <xdr:sp macro="" textlink="">
          <xdr:nvSpPr>
            <xdr:cNvPr id="1420" name="Check Box 396" hidden="1">
              <a:extLst>
                <a:ext uri="{63B3BB69-23CF-44E3-9099-C40C66FF867C}">
                  <a14:compatExt spid="_x0000_s1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34</xdr:row>
          <xdr:rowOff>0</xdr:rowOff>
        </xdr:from>
        <xdr:to>
          <xdr:col>5</xdr:col>
          <xdr:colOff>561975</xdr:colOff>
          <xdr:row>35</xdr:row>
          <xdr:rowOff>28575</xdr:rowOff>
        </xdr:to>
        <xdr:sp macro="" textlink="">
          <xdr:nvSpPr>
            <xdr:cNvPr id="1426" name="Check Box 402" hidden="1">
              <a:extLst>
                <a:ext uri="{63B3BB69-23CF-44E3-9099-C40C66FF867C}">
                  <a14:compatExt spid="_x0000_s1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37</xdr:row>
          <xdr:rowOff>0</xdr:rowOff>
        </xdr:from>
        <xdr:to>
          <xdr:col>6</xdr:col>
          <xdr:colOff>561975</xdr:colOff>
          <xdr:row>38</xdr:row>
          <xdr:rowOff>28575</xdr:rowOff>
        </xdr:to>
        <xdr:sp macro="" textlink="">
          <xdr:nvSpPr>
            <xdr:cNvPr id="1432" name="Check Box 408" hidden="1">
              <a:extLst>
                <a:ext uri="{63B3BB69-23CF-44E3-9099-C40C66FF867C}">
                  <a14:compatExt spid="_x0000_s1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37</xdr:row>
          <xdr:rowOff>0</xdr:rowOff>
        </xdr:from>
        <xdr:to>
          <xdr:col>5</xdr:col>
          <xdr:colOff>561975</xdr:colOff>
          <xdr:row>38</xdr:row>
          <xdr:rowOff>28575</xdr:rowOff>
        </xdr:to>
        <xdr:sp macro="" textlink="">
          <xdr:nvSpPr>
            <xdr:cNvPr id="1439" name="Check Box 415" hidden="1">
              <a:extLst>
                <a:ext uri="{63B3BB69-23CF-44E3-9099-C40C66FF867C}">
                  <a14:compatExt spid="_x0000_s1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39</xdr:row>
          <xdr:rowOff>47625</xdr:rowOff>
        </xdr:from>
        <xdr:to>
          <xdr:col>5</xdr:col>
          <xdr:colOff>561975</xdr:colOff>
          <xdr:row>39</xdr:row>
          <xdr:rowOff>266700</xdr:rowOff>
        </xdr:to>
        <xdr:sp macro="" textlink="">
          <xdr:nvSpPr>
            <xdr:cNvPr id="1454" name="Check Box 430" hidden="1">
              <a:extLst>
                <a:ext uri="{63B3BB69-23CF-44E3-9099-C40C66FF867C}">
                  <a14:compatExt spid="_x0000_s1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39</xdr:row>
          <xdr:rowOff>38100</xdr:rowOff>
        </xdr:from>
        <xdr:to>
          <xdr:col>6</xdr:col>
          <xdr:colOff>561975</xdr:colOff>
          <xdr:row>39</xdr:row>
          <xdr:rowOff>257175</xdr:rowOff>
        </xdr:to>
        <xdr:sp macro="" textlink="">
          <xdr:nvSpPr>
            <xdr:cNvPr id="1460" name="Check Box 436" hidden="1">
              <a:extLst>
                <a:ext uri="{63B3BB69-23CF-44E3-9099-C40C66FF867C}">
                  <a14:compatExt spid="_x0000_s1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40</xdr:row>
          <xdr:rowOff>142875</xdr:rowOff>
        </xdr:from>
        <xdr:to>
          <xdr:col>5</xdr:col>
          <xdr:colOff>561975</xdr:colOff>
          <xdr:row>41</xdr:row>
          <xdr:rowOff>104775</xdr:rowOff>
        </xdr:to>
        <xdr:sp macro="" textlink="">
          <xdr:nvSpPr>
            <xdr:cNvPr id="1466" name="Check Box 442" hidden="1">
              <a:extLst>
                <a:ext uri="{63B3BB69-23CF-44E3-9099-C40C66FF867C}">
                  <a14:compatExt spid="_x0000_s1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40</xdr:row>
          <xdr:rowOff>142875</xdr:rowOff>
        </xdr:from>
        <xdr:to>
          <xdr:col>6</xdr:col>
          <xdr:colOff>561975</xdr:colOff>
          <xdr:row>41</xdr:row>
          <xdr:rowOff>104775</xdr:rowOff>
        </xdr:to>
        <xdr:sp macro="" textlink="">
          <xdr:nvSpPr>
            <xdr:cNvPr id="1472" name="Check Box 448" hidden="1">
              <a:extLst>
                <a:ext uri="{63B3BB69-23CF-44E3-9099-C40C66FF867C}">
                  <a14:compatExt spid="_x0000_s1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42</xdr:row>
          <xdr:rowOff>0</xdr:rowOff>
        </xdr:from>
        <xdr:to>
          <xdr:col>5</xdr:col>
          <xdr:colOff>561975</xdr:colOff>
          <xdr:row>42</xdr:row>
          <xdr:rowOff>219075</xdr:rowOff>
        </xdr:to>
        <xdr:sp macro="" textlink="">
          <xdr:nvSpPr>
            <xdr:cNvPr id="1475" name="Check Box 451" hidden="1">
              <a:extLst>
                <a:ext uri="{63B3BB69-23CF-44E3-9099-C40C66FF867C}">
                  <a14:compatExt spid="_x0000_s1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42</xdr:row>
          <xdr:rowOff>0</xdr:rowOff>
        </xdr:from>
        <xdr:to>
          <xdr:col>6</xdr:col>
          <xdr:colOff>561975</xdr:colOff>
          <xdr:row>42</xdr:row>
          <xdr:rowOff>219075</xdr:rowOff>
        </xdr:to>
        <xdr:sp macro="" textlink="">
          <xdr:nvSpPr>
            <xdr:cNvPr id="1478" name="Check Box 454" hidden="1">
              <a:extLst>
                <a:ext uri="{63B3BB69-23CF-44E3-9099-C40C66FF867C}">
                  <a14:compatExt spid="_x0000_s1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42</xdr:row>
          <xdr:rowOff>133350</xdr:rowOff>
        </xdr:from>
        <xdr:to>
          <xdr:col>5</xdr:col>
          <xdr:colOff>561975</xdr:colOff>
          <xdr:row>43</xdr:row>
          <xdr:rowOff>104775</xdr:rowOff>
        </xdr:to>
        <xdr:sp macro="" textlink="">
          <xdr:nvSpPr>
            <xdr:cNvPr id="1481" name="Check Box 457" hidden="1">
              <a:extLst>
                <a:ext uri="{63B3BB69-23CF-44E3-9099-C40C66FF867C}">
                  <a14:compatExt spid="_x0000_s1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42</xdr:row>
          <xdr:rowOff>133350</xdr:rowOff>
        </xdr:from>
        <xdr:to>
          <xdr:col>6</xdr:col>
          <xdr:colOff>561975</xdr:colOff>
          <xdr:row>43</xdr:row>
          <xdr:rowOff>104775</xdr:rowOff>
        </xdr:to>
        <xdr:sp macro="" textlink="">
          <xdr:nvSpPr>
            <xdr:cNvPr id="1484" name="Check Box 460" hidden="1">
              <a:extLst>
                <a:ext uri="{63B3BB69-23CF-44E3-9099-C40C66FF867C}">
                  <a14:compatExt spid="_x0000_s1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46</xdr:row>
          <xdr:rowOff>0</xdr:rowOff>
        </xdr:from>
        <xdr:to>
          <xdr:col>5</xdr:col>
          <xdr:colOff>561975</xdr:colOff>
          <xdr:row>46</xdr:row>
          <xdr:rowOff>219075</xdr:rowOff>
        </xdr:to>
        <xdr:sp macro="" textlink="">
          <xdr:nvSpPr>
            <xdr:cNvPr id="1487" name="Check Box 463" hidden="1">
              <a:extLst>
                <a:ext uri="{63B3BB69-23CF-44E3-9099-C40C66FF867C}">
                  <a14:compatExt spid="_x0000_s1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46</xdr:row>
          <xdr:rowOff>0</xdr:rowOff>
        </xdr:from>
        <xdr:to>
          <xdr:col>6</xdr:col>
          <xdr:colOff>561975</xdr:colOff>
          <xdr:row>46</xdr:row>
          <xdr:rowOff>219075</xdr:rowOff>
        </xdr:to>
        <xdr:sp macro="" textlink="">
          <xdr:nvSpPr>
            <xdr:cNvPr id="1490" name="Check Box 466" hidden="1">
              <a:extLst>
                <a:ext uri="{63B3BB69-23CF-44E3-9099-C40C66FF867C}">
                  <a14:compatExt spid="_x0000_s1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47</xdr:row>
          <xdr:rowOff>0</xdr:rowOff>
        </xdr:from>
        <xdr:to>
          <xdr:col>5</xdr:col>
          <xdr:colOff>561975</xdr:colOff>
          <xdr:row>47</xdr:row>
          <xdr:rowOff>219075</xdr:rowOff>
        </xdr:to>
        <xdr:sp macro="" textlink="">
          <xdr:nvSpPr>
            <xdr:cNvPr id="1493" name="Check Box 469" hidden="1">
              <a:extLst>
                <a:ext uri="{63B3BB69-23CF-44E3-9099-C40C66FF867C}">
                  <a14:compatExt spid="_x0000_s1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47</xdr:row>
          <xdr:rowOff>0</xdr:rowOff>
        </xdr:from>
        <xdr:to>
          <xdr:col>6</xdr:col>
          <xdr:colOff>561975</xdr:colOff>
          <xdr:row>47</xdr:row>
          <xdr:rowOff>219075</xdr:rowOff>
        </xdr:to>
        <xdr:sp macro="" textlink="">
          <xdr:nvSpPr>
            <xdr:cNvPr id="1496" name="Check Box 472" hidden="1">
              <a:extLst>
                <a:ext uri="{63B3BB69-23CF-44E3-9099-C40C66FF867C}">
                  <a14:compatExt spid="_x0000_s1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48</xdr:row>
          <xdr:rowOff>0</xdr:rowOff>
        </xdr:from>
        <xdr:to>
          <xdr:col>5</xdr:col>
          <xdr:colOff>561975</xdr:colOff>
          <xdr:row>49</xdr:row>
          <xdr:rowOff>28575</xdr:rowOff>
        </xdr:to>
        <xdr:sp macro="" textlink="">
          <xdr:nvSpPr>
            <xdr:cNvPr id="1499" name="Check Box 475" hidden="1">
              <a:extLst>
                <a:ext uri="{63B3BB69-23CF-44E3-9099-C40C66FF867C}">
                  <a14:compatExt spid="_x0000_s1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48</xdr:row>
          <xdr:rowOff>0</xdr:rowOff>
        </xdr:from>
        <xdr:to>
          <xdr:col>6</xdr:col>
          <xdr:colOff>561975</xdr:colOff>
          <xdr:row>49</xdr:row>
          <xdr:rowOff>28575</xdr:rowOff>
        </xdr:to>
        <xdr:sp macro="" textlink="">
          <xdr:nvSpPr>
            <xdr:cNvPr id="1502" name="Check Box 478" hidden="1">
              <a:extLst>
                <a:ext uri="{63B3BB69-23CF-44E3-9099-C40C66FF867C}">
                  <a14:compatExt spid="_x0000_s1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49</xdr:row>
          <xdr:rowOff>0</xdr:rowOff>
        </xdr:from>
        <xdr:to>
          <xdr:col>5</xdr:col>
          <xdr:colOff>561975</xdr:colOff>
          <xdr:row>49</xdr:row>
          <xdr:rowOff>219075</xdr:rowOff>
        </xdr:to>
        <xdr:sp macro="" textlink="">
          <xdr:nvSpPr>
            <xdr:cNvPr id="1505" name="Check Box 481" hidden="1">
              <a:extLst>
                <a:ext uri="{63B3BB69-23CF-44E3-9099-C40C66FF867C}">
                  <a14:compatExt spid="_x0000_s1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49</xdr:row>
          <xdr:rowOff>0</xdr:rowOff>
        </xdr:from>
        <xdr:to>
          <xdr:col>6</xdr:col>
          <xdr:colOff>561975</xdr:colOff>
          <xdr:row>49</xdr:row>
          <xdr:rowOff>219075</xdr:rowOff>
        </xdr:to>
        <xdr:sp macro="" textlink="">
          <xdr:nvSpPr>
            <xdr:cNvPr id="1508" name="Check Box 484" hidden="1">
              <a:extLst>
                <a:ext uri="{63B3BB69-23CF-44E3-9099-C40C66FF867C}">
                  <a14:compatExt spid="_x0000_s1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50</xdr:row>
          <xdr:rowOff>0</xdr:rowOff>
        </xdr:from>
        <xdr:to>
          <xdr:col>5</xdr:col>
          <xdr:colOff>561975</xdr:colOff>
          <xdr:row>50</xdr:row>
          <xdr:rowOff>219075</xdr:rowOff>
        </xdr:to>
        <xdr:sp macro="" textlink="">
          <xdr:nvSpPr>
            <xdr:cNvPr id="1511" name="Check Box 487" hidden="1">
              <a:extLst>
                <a:ext uri="{63B3BB69-23CF-44E3-9099-C40C66FF867C}">
                  <a14:compatExt spid="_x0000_s1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50</xdr:row>
          <xdr:rowOff>0</xdr:rowOff>
        </xdr:from>
        <xdr:to>
          <xdr:col>6</xdr:col>
          <xdr:colOff>561975</xdr:colOff>
          <xdr:row>50</xdr:row>
          <xdr:rowOff>219075</xdr:rowOff>
        </xdr:to>
        <xdr:sp macro="" textlink="">
          <xdr:nvSpPr>
            <xdr:cNvPr id="1514" name="Check Box 490" hidden="1">
              <a:extLst>
                <a:ext uri="{63B3BB69-23CF-44E3-9099-C40C66FF867C}">
                  <a14:compatExt spid="_x0000_s1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51</xdr:row>
          <xdr:rowOff>57150</xdr:rowOff>
        </xdr:from>
        <xdr:to>
          <xdr:col>5</xdr:col>
          <xdr:colOff>561975</xdr:colOff>
          <xdr:row>51</xdr:row>
          <xdr:rowOff>276225</xdr:rowOff>
        </xdr:to>
        <xdr:sp macro="" textlink="">
          <xdr:nvSpPr>
            <xdr:cNvPr id="1523" name="Check Box 499" hidden="1">
              <a:extLst>
                <a:ext uri="{63B3BB69-23CF-44E3-9099-C40C66FF867C}">
                  <a14:compatExt spid="_x0000_s1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51</xdr:row>
          <xdr:rowOff>47625</xdr:rowOff>
        </xdr:from>
        <xdr:to>
          <xdr:col>6</xdr:col>
          <xdr:colOff>561975</xdr:colOff>
          <xdr:row>51</xdr:row>
          <xdr:rowOff>266700</xdr:rowOff>
        </xdr:to>
        <xdr:sp macro="" textlink="">
          <xdr:nvSpPr>
            <xdr:cNvPr id="1526" name="Check Box 502" hidden="1">
              <a:extLst>
                <a:ext uri="{63B3BB69-23CF-44E3-9099-C40C66FF867C}">
                  <a14:compatExt spid="_x0000_s1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52</xdr:row>
          <xdr:rowOff>38100</xdr:rowOff>
        </xdr:from>
        <xdr:to>
          <xdr:col>5</xdr:col>
          <xdr:colOff>571500</xdr:colOff>
          <xdr:row>52</xdr:row>
          <xdr:rowOff>257175</xdr:rowOff>
        </xdr:to>
        <xdr:sp macro="" textlink="">
          <xdr:nvSpPr>
            <xdr:cNvPr id="1529" name="Check Box 505" hidden="1">
              <a:extLst>
                <a:ext uri="{63B3BB69-23CF-44E3-9099-C40C66FF867C}">
                  <a14:compatExt spid="_x0000_s1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52</xdr:row>
          <xdr:rowOff>38100</xdr:rowOff>
        </xdr:from>
        <xdr:to>
          <xdr:col>6</xdr:col>
          <xdr:colOff>561975</xdr:colOff>
          <xdr:row>52</xdr:row>
          <xdr:rowOff>257175</xdr:rowOff>
        </xdr:to>
        <xdr:sp macro="" textlink="">
          <xdr:nvSpPr>
            <xdr:cNvPr id="1532" name="Check Box 508" hidden="1">
              <a:extLst>
                <a:ext uri="{63B3BB69-23CF-44E3-9099-C40C66FF867C}">
                  <a14:compatExt spid="_x0000_s1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52</xdr:row>
          <xdr:rowOff>314325</xdr:rowOff>
        </xdr:from>
        <xdr:to>
          <xdr:col>5</xdr:col>
          <xdr:colOff>561975</xdr:colOff>
          <xdr:row>53</xdr:row>
          <xdr:rowOff>209550</xdr:rowOff>
        </xdr:to>
        <xdr:sp macro="" textlink="">
          <xdr:nvSpPr>
            <xdr:cNvPr id="1535" name="Check Box 511" hidden="1">
              <a:extLst>
                <a:ext uri="{63B3BB69-23CF-44E3-9099-C40C66FF867C}">
                  <a14:compatExt spid="_x0000_s1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52</xdr:row>
          <xdr:rowOff>314325</xdr:rowOff>
        </xdr:from>
        <xdr:to>
          <xdr:col>6</xdr:col>
          <xdr:colOff>561975</xdr:colOff>
          <xdr:row>53</xdr:row>
          <xdr:rowOff>209550</xdr:rowOff>
        </xdr:to>
        <xdr:sp macro="" textlink="">
          <xdr:nvSpPr>
            <xdr:cNvPr id="1538" name="Check Box 514" hidden="1">
              <a:extLst>
                <a:ext uri="{63B3BB69-23CF-44E3-9099-C40C66FF867C}">
                  <a14:compatExt spid="_x0000_s1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54</xdr:row>
          <xdr:rowOff>219075</xdr:rowOff>
        </xdr:from>
        <xdr:to>
          <xdr:col>5</xdr:col>
          <xdr:colOff>561975</xdr:colOff>
          <xdr:row>55</xdr:row>
          <xdr:rowOff>114300</xdr:rowOff>
        </xdr:to>
        <xdr:sp macro="" textlink="">
          <xdr:nvSpPr>
            <xdr:cNvPr id="1541" name="Check Box 517" hidden="1">
              <a:extLst>
                <a:ext uri="{63B3BB69-23CF-44E3-9099-C40C66FF867C}">
                  <a14:compatExt spid="_x0000_s1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238125</xdr:colOff>
          <xdr:row>54</xdr:row>
          <xdr:rowOff>219075</xdr:rowOff>
        </xdr:from>
        <xdr:to>
          <xdr:col>6</xdr:col>
          <xdr:colOff>542925</xdr:colOff>
          <xdr:row>55</xdr:row>
          <xdr:rowOff>114300</xdr:rowOff>
        </xdr:to>
        <xdr:sp macro="" textlink="">
          <xdr:nvSpPr>
            <xdr:cNvPr id="1544" name="Check Box 520" hidden="1">
              <a:extLst>
                <a:ext uri="{63B3BB69-23CF-44E3-9099-C40C66FF867C}">
                  <a14:compatExt spid="_x0000_s1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56</xdr:row>
          <xdr:rowOff>19050</xdr:rowOff>
        </xdr:from>
        <xdr:to>
          <xdr:col>5</xdr:col>
          <xdr:colOff>561975</xdr:colOff>
          <xdr:row>56</xdr:row>
          <xdr:rowOff>238125</xdr:rowOff>
        </xdr:to>
        <xdr:sp macro="" textlink="">
          <xdr:nvSpPr>
            <xdr:cNvPr id="1547" name="Check Box 523" hidden="1">
              <a:extLst>
                <a:ext uri="{63B3BB69-23CF-44E3-9099-C40C66FF867C}">
                  <a14:compatExt spid="_x0000_s1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55</xdr:row>
          <xdr:rowOff>323850</xdr:rowOff>
        </xdr:from>
        <xdr:to>
          <xdr:col>6</xdr:col>
          <xdr:colOff>552450</xdr:colOff>
          <xdr:row>57</xdr:row>
          <xdr:rowOff>28575</xdr:rowOff>
        </xdr:to>
        <xdr:sp macro="" textlink="">
          <xdr:nvSpPr>
            <xdr:cNvPr id="1550" name="Check Box 526" hidden="1">
              <a:extLst>
                <a:ext uri="{63B3BB69-23CF-44E3-9099-C40C66FF867C}">
                  <a14:compatExt spid="_x0000_s1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57</xdr:row>
          <xdr:rowOff>57150</xdr:rowOff>
        </xdr:from>
        <xdr:to>
          <xdr:col>5</xdr:col>
          <xdr:colOff>561975</xdr:colOff>
          <xdr:row>57</xdr:row>
          <xdr:rowOff>323850</xdr:rowOff>
        </xdr:to>
        <xdr:sp macro="" textlink="">
          <xdr:nvSpPr>
            <xdr:cNvPr id="1559" name="Check Box 535" hidden="1">
              <a:extLst>
                <a:ext uri="{63B3BB69-23CF-44E3-9099-C40C66FF867C}">
                  <a14:compatExt spid="_x0000_s1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57</xdr:row>
          <xdr:rowOff>47625</xdr:rowOff>
        </xdr:from>
        <xdr:to>
          <xdr:col>6</xdr:col>
          <xdr:colOff>561975</xdr:colOff>
          <xdr:row>57</xdr:row>
          <xdr:rowOff>323850</xdr:rowOff>
        </xdr:to>
        <xdr:sp macro="" textlink="">
          <xdr:nvSpPr>
            <xdr:cNvPr id="1562" name="Check Box 538" hidden="1">
              <a:extLst>
                <a:ext uri="{63B3BB69-23CF-44E3-9099-C40C66FF867C}">
                  <a14:compatExt spid="_x0000_s1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58</xdr:row>
          <xdr:rowOff>38100</xdr:rowOff>
        </xdr:from>
        <xdr:to>
          <xdr:col>5</xdr:col>
          <xdr:colOff>571500</xdr:colOff>
          <xdr:row>59</xdr:row>
          <xdr:rowOff>9525</xdr:rowOff>
        </xdr:to>
        <xdr:sp macro="" textlink="">
          <xdr:nvSpPr>
            <xdr:cNvPr id="1565" name="Check Box 541" hidden="1">
              <a:extLst>
                <a:ext uri="{63B3BB69-23CF-44E3-9099-C40C66FF867C}">
                  <a14:compatExt spid="_x0000_s1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58</xdr:row>
          <xdr:rowOff>38100</xdr:rowOff>
        </xdr:from>
        <xdr:to>
          <xdr:col>6</xdr:col>
          <xdr:colOff>561975</xdr:colOff>
          <xdr:row>59</xdr:row>
          <xdr:rowOff>9525</xdr:rowOff>
        </xdr:to>
        <xdr:sp macro="" textlink="">
          <xdr:nvSpPr>
            <xdr:cNvPr id="1568" name="Check Box 544" hidden="1">
              <a:extLst>
                <a:ext uri="{63B3BB69-23CF-44E3-9099-C40C66FF867C}">
                  <a14:compatExt spid="_x0000_s1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59</xdr:row>
          <xdr:rowOff>38100</xdr:rowOff>
        </xdr:from>
        <xdr:to>
          <xdr:col>5</xdr:col>
          <xdr:colOff>561975</xdr:colOff>
          <xdr:row>60</xdr:row>
          <xdr:rowOff>66675</xdr:rowOff>
        </xdr:to>
        <xdr:sp macro="" textlink="">
          <xdr:nvSpPr>
            <xdr:cNvPr id="1571" name="Check Box 547" hidden="1">
              <a:extLst>
                <a:ext uri="{63B3BB69-23CF-44E3-9099-C40C66FF867C}">
                  <a14:compatExt spid="_x0000_s1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59</xdr:row>
          <xdr:rowOff>38100</xdr:rowOff>
        </xdr:from>
        <xdr:to>
          <xdr:col>6</xdr:col>
          <xdr:colOff>561975</xdr:colOff>
          <xdr:row>60</xdr:row>
          <xdr:rowOff>66675</xdr:rowOff>
        </xdr:to>
        <xdr:sp macro="" textlink="">
          <xdr:nvSpPr>
            <xdr:cNvPr id="1574" name="Check Box 550" hidden="1">
              <a:extLst>
                <a:ext uri="{63B3BB69-23CF-44E3-9099-C40C66FF867C}">
                  <a14:compatExt spid="_x0000_s1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60</xdr:row>
          <xdr:rowOff>19050</xdr:rowOff>
        </xdr:from>
        <xdr:to>
          <xdr:col>5</xdr:col>
          <xdr:colOff>561975</xdr:colOff>
          <xdr:row>61</xdr:row>
          <xdr:rowOff>47625</xdr:rowOff>
        </xdr:to>
        <xdr:sp macro="" textlink="">
          <xdr:nvSpPr>
            <xdr:cNvPr id="1577" name="Check Box 553" hidden="1">
              <a:extLst>
                <a:ext uri="{63B3BB69-23CF-44E3-9099-C40C66FF867C}">
                  <a14:compatExt spid="_x0000_s1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60</xdr:row>
          <xdr:rowOff>28575</xdr:rowOff>
        </xdr:from>
        <xdr:to>
          <xdr:col>6</xdr:col>
          <xdr:colOff>561975</xdr:colOff>
          <xdr:row>61</xdr:row>
          <xdr:rowOff>57150</xdr:rowOff>
        </xdr:to>
        <xdr:sp macro="" textlink="">
          <xdr:nvSpPr>
            <xdr:cNvPr id="1580" name="Check Box 556" hidden="1">
              <a:extLst>
                <a:ext uri="{63B3BB69-23CF-44E3-9099-C40C66FF867C}">
                  <a14:compatExt spid="_x0000_s1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61</xdr:row>
          <xdr:rowOff>0</xdr:rowOff>
        </xdr:from>
        <xdr:to>
          <xdr:col>5</xdr:col>
          <xdr:colOff>561975</xdr:colOff>
          <xdr:row>61</xdr:row>
          <xdr:rowOff>219075</xdr:rowOff>
        </xdr:to>
        <xdr:sp macro="" textlink="">
          <xdr:nvSpPr>
            <xdr:cNvPr id="1583" name="Check Box 559" hidden="1">
              <a:extLst>
                <a:ext uri="{63B3BB69-23CF-44E3-9099-C40C66FF867C}">
                  <a14:compatExt spid="_x0000_s1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61</xdr:row>
          <xdr:rowOff>0</xdr:rowOff>
        </xdr:from>
        <xdr:to>
          <xdr:col>6</xdr:col>
          <xdr:colOff>561975</xdr:colOff>
          <xdr:row>61</xdr:row>
          <xdr:rowOff>219075</xdr:rowOff>
        </xdr:to>
        <xdr:sp macro="" textlink="">
          <xdr:nvSpPr>
            <xdr:cNvPr id="1586" name="Check Box 562" hidden="1">
              <a:extLst>
                <a:ext uri="{63B3BB69-23CF-44E3-9099-C40C66FF867C}">
                  <a14:compatExt spid="_x0000_s1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62</xdr:row>
          <xdr:rowOff>0</xdr:rowOff>
        </xdr:from>
        <xdr:to>
          <xdr:col>5</xdr:col>
          <xdr:colOff>561975</xdr:colOff>
          <xdr:row>62</xdr:row>
          <xdr:rowOff>219075</xdr:rowOff>
        </xdr:to>
        <xdr:sp macro="" textlink="">
          <xdr:nvSpPr>
            <xdr:cNvPr id="1589" name="Check Box 565" hidden="1">
              <a:extLst>
                <a:ext uri="{63B3BB69-23CF-44E3-9099-C40C66FF867C}">
                  <a14:compatExt spid="_x0000_s1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62</xdr:row>
          <xdr:rowOff>0</xdr:rowOff>
        </xdr:from>
        <xdr:to>
          <xdr:col>6</xdr:col>
          <xdr:colOff>561975</xdr:colOff>
          <xdr:row>62</xdr:row>
          <xdr:rowOff>219075</xdr:rowOff>
        </xdr:to>
        <xdr:sp macro="" textlink="">
          <xdr:nvSpPr>
            <xdr:cNvPr id="1592" name="Check Box 568" hidden="1">
              <a:extLst>
                <a:ext uri="{63B3BB69-23CF-44E3-9099-C40C66FF867C}">
                  <a14:compatExt spid="_x0000_s1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63</xdr:row>
          <xdr:rowOff>66675</xdr:rowOff>
        </xdr:from>
        <xdr:to>
          <xdr:col>5</xdr:col>
          <xdr:colOff>561975</xdr:colOff>
          <xdr:row>64</xdr:row>
          <xdr:rowOff>95250</xdr:rowOff>
        </xdr:to>
        <xdr:sp macro="" textlink="">
          <xdr:nvSpPr>
            <xdr:cNvPr id="1595" name="Check Box 571" hidden="1">
              <a:extLst>
                <a:ext uri="{63B3BB69-23CF-44E3-9099-C40C66FF867C}">
                  <a14:compatExt spid="_x0000_s1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63</xdr:row>
          <xdr:rowOff>57150</xdr:rowOff>
        </xdr:from>
        <xdr:to>
          <xdr:col>6</xdr:col>
          <xdr:colOff>561975</xdr:colOff>
          <xdr:row>64</xdr:row>
          <xdr:rowOff>85725</xdr:rowOff>
        </xdr:to>
        <xdr:sp macro="" textlink="">
          <xdr:nvSpPr>
            <xdr:cNvPr id="1598" name="Check Box 574" hidden="1">
              <a:extLst>
                <a:ext uri="{63B3BB69-23CF-44E3-9099-C40C66FF867C}">
                  <a14:compatExt spid="_x0000_s1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65</xdr:row>
          <xdr:rowOff>0</xdr:rowOff>
        </xdr:from>
        <xdr:to>
          <xdr:col>5</xdr:col>
          <xdr:colOff>561975</xdr:colOff>
          <xdr:row>66</xdr:row>
          <xdr:rowOff>28575</xdr:rowOff>
        </xdr:to>
        <xdr:sp macro="" textlink="">
          <xdr:nvSpPr>
            <xdr:cNvPr id="1601" name="Check Box 577" hidden="1">
              <a:extLst>
                <a:ext uri="{63B3BB69-23CF-44E3-9099-C40C66FF867C}">
                  <a14:compatExt spid="_x0000_s1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65</xdr:row>
          <xdr:rowOff>0</xdr:rowOff>
        </xdr:from>
        <xdr:to>
          <xdr:col>6</xdr:col>
          <xdr:colOff>561975</xdr:colOff>
          <xdr:row>66</xdr:row>
          <xdr:rowOff>28575</xdr:rowOff>
        </xdr:to>
        <xdr:sp macro="" textlink="">
          <xdr:nvSpPr>
            <xdr:cNvPr id="1604" name="Check Box 580" hidden="1">
              <a:extLst>
                <a:ext uri="{63B3BB69-23CF-44E3-9099-C40C66FF867C}">
                  <a14:compatExt spid="_x0000_s1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66</xdr:row>
          <xdr:rowOff>0</xdr:rowOff>
        </xdr:from>
        <xdr:to>
          <xdr:col>5</xdr:col>
          <xdr:colOff>561975</xdr:colOff>
          <xdr:row>67</xdr:row>
          <xdr:rowOff>28575</xdr:rowOff>
        </xdr:to>
        <xdr:sp macro="" textlink="">
          <xdr:nvSpPr>
            <xdr:cNvPr id="1613" name="Check Box 589" hidden="1">
              <a:extLst>
                <a:ext uri="{63B3BB69-23CF-44E3-9099-C40C66FF867C}">
                  <a14:compatExt spid="_x0000_s1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66</xdr:row>
          <xdr:rowOff>0</xdr:rowOff>
        </xdr:from>
        <xdr:to>
          <xdr:col>6</xdr:col>
          <xdr:colOff>561975</xdr:colOff>
          <xdr:row>67</xdr:row>
          <xdr:rowOff>28575</xdr:rowOff>
        </xdr:to>
        <xdr:sp macro="" textlink="">
          <xdr:nvSpPr>
            <xdr:cNvPr id="1616" name="Check Box 592" hidden="1">
              <a:extLst>
                <a:ext uri="{63B3BB69-23CF-44E3-9099-C40C66FF867C}">
                  <a14:compatExt spid="_x0000_s1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67</xdr:row>
          <xdr:rowOff>0</xdr:rowOff>
        </xdr:from>
        <xdr:to>
          <xdr:col>5</xdr:col>
          <xdr:colOff>561975</xdr:colOff>
          <xdr:row>68</xdr:row>
          <xdr:rowOff>133350</xdr:rowOff>
        </xdr:to>
        <xdr:sp macro="" textlink="">
          <xdr:nvSpPr>
            <xdr:cNvPr id="1625" name="Check Box 601" hidden="1">
              <a:extLst>
                <a:ext uri="{63B3BB69-23CF-44E3-9099-C40C66FF867C}">
                  <a14:compatExt spid="_x0000_s1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67</xdr:row>
          <xdr:rowOff>0</xdr:rowOff>
        </xdr:from>
        <xdr:to>
          <xdr:col>6</xdr:col>
          <xdr:colOff>561975</xdr:colOff>
          <xdr:row>68</xdr:row>
          <xdr:rowOff>133350</xdr:rowOff>
        </xdr:to>
        <xdr:sp macro="" textlink="">
          <xdr:nvSpPr>
            <xdr:cNvPr id="1628" name="Check Box 604" hidden="1">
              <a:extLst>
                <a:ext uri="{63B3BB69-23CF-44E3-9099-C40C66FF867C}">
                  <a14:compatExt spid="_x0000_s1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68</xdr:row>
          <xdr:rowOff>0</xdr:rowOff>
        </xdr:from>
        <xdr:to>
          <xdr:col>5</xdr:col>
          <xdr:colOff>561975</xdr:colOff>
          <xdr:row>68</xdr:row>
          <xdr:rowOff>219075</xdr:rowOff>
        </xdr:to>
        <xdr:sp macro="" textlink="">
          <xdr:nvSpPr>
            <xdr:cNvPr id="1643" name="Check Box 619" hidden="1">
              <a:extLst>
                <a:ext uri="{63B3BB69-23CF-44E3-9099-C40C66FF867C}">
                  <a14:compatExt spid="_x0000_s1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68</xdr:row>
          <xdr:rowOff>0</xdr:rowOff>
        </xdr:from>
        <xdr:to>
          <xdr:col>6</xdr:col>
          <xdr:colOff>561975</xdr:colOff>
          <xdr:row>68</xdr:row>
          <xdr:rowOff>219075</xdr:rowOff>
        </xdr:to>
        <xdr:sp macro="" textlink="">
          <xdr:nvSpPr>
            <xdr:cNvPr id="1646" name="Check Box 622" hidden="1">
              <a:extLst>
                <a:ext uri="{63B3BB69-23CF-44E3-9099-C40C66FF867C}">
                  <a14:compatExt spid="_x0000_s1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69</xdr:row>
          <xdr:rowOff>0</xdr:rowOff>
        </xdr:from>
        <xdr:to>
          <xdr:col>5</xdr:col>
          <xdr:colOff>561975</xdr:colOff>
          <xdr:row>69</xdr:row>
          <xdr:rowOff>219075</xdr:rowOff>
        </xdr:to>
        <xdr:sp macro="" textlink="">
          <xdr:nvSpPr>
            <xdr:cNvPr id="1661" name="Check Box 637" hidden="1">
              <a:extLst>
                <a:ext uri="{63B3BB69-23CF-44E3-9099-C40C66FF867C}">
                  <a14:compatExt spid="_x0000_s1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69</xdr:row>
          <xdr:rowOff>0</xdr:rowOff>
        </xdr:from>
        <xdr:to>
          <xdr:col>6</xdr:col>
          <xdr:colOff>561975</xdr:colOff>
          <xdr:row>69</xdr:row>
          <xdr:rowOff>219075</xdr:rowOff>
        </xdr:to>
        <xdr:sp macro="" textlink="">
          <xdr:nvSpPr>
            <xdr:cNvPr id="1664" name="Check Box 640" hidden="1">
              <a:extLst>
                <a:ext uri="{63B3BB69-23CF-44E3-9099-C40C66FF867C}">
                  <a14:compatExt spid="_x0000_s1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70</xdr:row>
          <xdr:rowOff>0</xdr:rowOff>
        </xdr:from>
        <xdr:to>
          <xdr:col>5</xdr:col>
          <xdr:colOff>561975</xdr:colOff>
          <xdr:row>70</xdr:row>
          <xdr:rowOff>219075</xdr:rowOff>
        </xdr:to>
        <xdr:sp macro="" textlink="">
          <xdr:nvSpPr>
            <xdr:cNvPr id="1679" name="Check Box 655" hidden="1">
              <a:extLst>
                <a:ext uri="{63B3BB69-23CF-44E3-9099-C40C66FF867C}">
                  <a14:compatExt spid="_x0000_s1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70</xdr:row>
          <xdr:rowOff>0</xdr:rowOff>
        </xdr:from>
        <xdr:to>
          <xdr:col>6</xdr:col>
          <xdr:colOff>561975</xdr:colOff>
          <xdr:row>70</xdr:row>
          <xdr:rowOff>219075</xdr:rowOff>
        </xdr:to>
        <xdr:sp macro="" textlink="">
          <xdr:nvSpPr>
            <xdr:cNvPr id="1682" name="Check Box 658" hidden="1">
              <a:extLst>
                <a:ext uri="{63B3BB69-23CF-44E3-9099-C40C66FF867C}">
                  <a14:compatExt spid="_x0000_s1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71</xdr:row>
          <xdr:rowOff>0</xdr:rowOff>
        </xdr:from>
        <xdr:to>
          <xdr:col>5</xdr:col>
          <xdr:colOff>561975</xdr:colOff>
          <xdr:row>71</xdr:row>
          <xdr:rowOff>219075</xdr:rowOff>
        </xdr:to>
        <xdr:sp macro="" textlink="">
          <xdr:nvSpPr>
            <xdr:cNvPr id="1697" name="Check Box 673" hidden="1">
              <a:extLst>
                <a:ext uri="{63B3BB69-23CF-44E3-9099-C40C66FF867C}">
                  <a14:compatExt spid="_x0000_s1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71</xdr:row>
          <xdr:rowOff>0</xdr:rowOff>
        </xdr:from>
        <xdr:to>
          <xdr:col>6</xdr:col>
          <xdr:colOff>561975</xdr:colOff>
          <xdr:row>71</xdr:row>
          <xdr:rowOff>219075</xdr:rowOff>
        </xdr:to>
        <xdr:sp macro="" textlink="">
          <xdr:nvSpPr>
            <xdr:cNvPr id="1700" name="Check Box 676" hidden="1">
              <a:extLst>
                <a:ext uri="{63B3BB69-23CF-44E3-9099-C40C66FF867C}">
                  <a14:compatExt spid="_x0000_s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72</xdr:row>
          <xdr:rowOff>0</xdr:rowOff>
        </xdr:from>
        <xdr:to>
          <xdr:col>5</xdr:col>
          <xdr:colOff>561975</xdr:colOff>
          <xdr:row>72</xdr:row>
          <xdr:rowOff>219075</xdr:rowOff>
        </xdr:to>
        <xdr:sp macro="" textlink="">
          <xdr:nvSpPr>
            <xdr:cNvPr id="1715" name="Check Box 691" hidden="1">
              <a:extLst>
                <a:ext uri="{63B3BB69-23CF-44E3-9099-C40C66FF867C}">
                  <a14:compatExt spid="_x0000_s1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72</xdr:row>
          <xdr:rowOff>0</xdr:rowOff>
        </xdr:from>
        <xdr:to>
          <xdr:col>6</xdr:col>
          <xdr:colOff>561975</xdr:colOff>
          <xdr:row>72</xdr:row>
          <xdr:rowOff>219075</xdr:rowOff>
        </xdr:to>
        <xdr:sp macro="" textlink="">
          <xdr:nvSpPr>
            <xdr:cNvPr id="1718" name="Check Box 694" hidden="1">
              <a:extLst>
                <a:ext uri="{63B3BB69-23CF-44E3-9099-C40C66FF867C}">
                  <a14:compatExt spid="_x0000_s1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73</xdr:row>
          <xdr:rowOff>0</xdr:rowOff>
        </xdr:from>
        <xdr:to>
          <xdr:col>5</xdr:col>
          <xdr:colOff>561975</xdr:colOff>
          <xdr:row>73</xdr:row>
          <xdr:rowOff>219075</xdr:rowOff>
        </xdr:to>
        <xdr:sp macro="" textlink="">
          <xdr:nvSpPr>
            <xdr:cNvPr id="1733" name="Check Box 709" hidden="1">
              <a:extLst>
                <a:ext uri="{63B3BB69-23CF-44E3-9099-C40C66FF867C}">
                  <a14:compatExt spid="_x0000_s1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73</xdr:row>
          <xdr:rowOff>0</xdr:rowOff>
        </xdr:from>
        <xdr:to>
          <xdr:col>6</xdr:col>
          <xdr:colOff>561975</xdr:colOff>
          <xdr:row>73</xdr:row>
          <xdr:rowOff>219075</xdr:rowOff>
        </xdr:to>
        <xdr:sp macro="" textlink="">
          <xdr:nvSpPr>
            <xdr:cNvPr id="1736" name="Check Box 712" hidden="1">
              <a:extLst>
                <a:ext uri="{63B3BB69-23CF-44E3-9099-C40C66FF867C}">
                  <a14:compatExt spid="_x0000_s1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74</xdr:row>
          <xdr:rowOff>0</xdr:rowOff>
        </xdr:from>
        <xdr:to>
          <xdr:col>5</xdr:col>
          <xdr:colOff>561975</xdr:colOff>
          <xdr:row>74</xdr:row>
          <xdr:rowOff>219075</xdr:rowOff>
        </xdr:to>
        <xdr:sp macro="" textlink="">
          <xdr:nvSpPr>
            <xdr:cNvPr id="1751" name="Check Box 727" hidden="1">
              <a:extLst>
                <a:ext uri="{63B3BB69-23CF-44E3-9099-C40C66FF867C}">
                  <a14:compatExt spid="_x0000_s1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74</xdr:row>
          <xdr:rowOff>0</xdr:rowOff>
        </xdr:from>
        <xdr:to>
          <xdr:col>6</xdr:col>
          <xdr:colOff>561975</xdr:colOff>
          <xdr:row>74</xdr:row>
          <xdr:rowOff>219075</xdr:rowOff>
        </xdr:to>
        <xdr:sp macro="" textlink="">
          <xdr:nvSpPr>
            <xdr:cNvPr id="1754" name="Check Box 730" hidden="1">
              <a:extLst>
                <a:ext uri="{63B3BB69-23CF-44E3-9099-C40C66FF867C}">
                  <a14:compatExt spid="_x0000_s1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75</xdr:row>
          <xdr:rowOff>0</xdr:rowOff>
        </xdr:from>
        <xdr:to>
          <xdr:col>5</xdr:col>
          <xdr:colOff>561975</xdr:colOff>
          <xdr:row>76</xdr:row>
          <xdr:rowOff>28575</xdr:rowOff>
        </xdr:to>
        <xdr:sp macro="" textlink="">
          <xdr:nvSpPr>
            <xdr:cNvPr id="1769" name="Check Box 745" hidden="1">
              <a:extLst>
                <a:ext uri="{63B3BB69-23CF-44E3-9099-C40C66FF867C}">
                  <a14:compatExt spid="_x0000_s1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75</xdr:row>
          <xdr:rowOff>0</xdr:rowOff>
        </xdr:from>
        <xdr:to>
          <xdr:col>6</xdr:col>
          <xdr:colOff>561975</xdr:colOff>
          <xdr:row>76</xdr:row>
          <xdr:rowOff>28575</xdr:rowOff>
        </xdr:to>
        <xdr:sp macro="" textlink="">
          <xdr:nvSpPr>
            <xdr:cNvPr id="1772" name="Check Box 748" hidden="1">
              <a:extLst>
                <a:ext uri="{63B3BB69-23CF-44E3-9099-C40C66FF867C}">
                  <a14:compatExt spid="_x0000_s1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76</xdr:row>
          <xdr:rowOff>0</xdr:rowOff>
        </xdr:from>
        <xdr:to>
          <xdr:col>5</xdr:col>
          <xdr:colOff>561975</xdr:colOff>
          <xdr:row>76</xdr:row>
          <xdr:rowOff>219075</xdr:rowOff>
        </xdr:to>
        <xdr:sp macro="" textlink="">
          <xdr:nvSpPr>
            <xdr:cNvPr id="1787" name="Check Box 763" hidden="1">
              <a:extLst>
                <a:ext uri="{63B3BB69-23CF-44E3-9099-C40C66FF867C}">
                  <a14:compatExt spid="_x0000_s1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76</xdr:row>
          <xdr:rowOff>0</xdr:rowOff>
        </xdr:from>
        <xdr:to>
          <xdr:col>6</xdr:col>
          <xdr:colOff>561975</xdr:colOff>
          <xdr:row>76</xdr:row>
          <xdr:rowOff>219075</xdr:rowOff>
        </xdr:to>
        <xdr:sp macro="" textlink="">
          <xdr:nvSpPr>
            <xdr:cNvPr id="1790" name="Check Box 766" hidden="1">
              <a:extLst>
                <a:ext uri="{63B3BB69-23CF-44E3-9099-C40C66FF867C}">
                  <a14:compatExt spid="_x0000_s1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77</xdr:row>
          <xdr:rowOff>0</xdr:rowOff>
        </xdr:from>
        <xdr:to>
          <xdr:col>5</xdr:col>
          <xdr:colOff>561975</xdr:colOff>
          <xdr:row>77</xdr:row>
          <xdr:rowOff>219075</xdr:rowOff>
        </xdr:to>
        <xdr:sp macro="" textlink="">
          <xdr:nvSpPr>
            <xdr:cNvPr id="1805" name="Check Box 781" hidden="1">
              <a:extLst>
                <a:ext uri="{63B3BB69-23CF-44E3-9099-C40C66FF867C}">
                  <a14:compatExt spid="_x0000_s1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77</xdr:row>
          <xdr:rowOff>0</xdr:rowOff>
        </xdr:from>
        <xdr:to>
          <xdr:col>6</xdr:col>
          <xdr:colOff>561975</xdr:colOff>
          <xdr:row>77</xdr:row>
          <xdr:rowOff>219075</xdr:rowOff>
        </xdr:to>
        <xdr:sp macro="" textlink="">
          <xdr:nvSpPr>
            <xdr:cNvPr id="1808" name="Check Box 784" hidden="1">
              <a:extLst>
                <a:ext uri="{63B3BB69-23CF-44E3-9099-C40C66FF867C}">
                  <a14:compatExt spid="_x0000_s1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78</xdr:row>
          <xdr:rowOff>0</xdr:rowOff>
        </xdr:from>
        <xdr:to>
          <xdr:col>5</xdr:col>
          <xdr:colOff>561975</xdr:colOff>
          <xdr:row>78</xdr:row>
          <xdr:rowOff>219075</xdr:rowOff>
        </xdr:to>
        <xdr:sp macro="" textlink="">
          <xdr:nvSpPr>
            <xdr:cNvPr id="1823" name="Check Box 799" hidden="1">
              <a:extLst>
                <a:ext uri="{63B3BB69-23CF-44E3-9099-C40C66FF867C}">
                  <a14:compatExt spid="_x0000_s1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78</xdr:row>
          <xdr:rowOff>0</xdr:rowOff>
        </xdr:from>
        <xdr:to>
          <xdr:col>6</xdr:col>
          <xdr:colOff>561975</xdr:colOff>
          <xdr:row>78</xdr:row>
          <xdr:rowOff>219075</xdr:rowOff>
        </xdr:to>
        <xdr:sp macro="" textlink="">
          <xdr:nvSpPr>
            <xdr:cNvPr id="1826" name="Check Box 802" hidden="1">
              <a:extLst>
                <a:ext uri="{63B3BB69-23CF-44E3-9099-C40C66FF867C}">
                  <a14:compatExt spid="_x0000_s1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79</xdr:row>
          <xdr:rowOff>0</xdr:rowOff>
        </xdr:from>
        <xdr:to>
          <xdr:col>5</xdr:col>
          <xdr:colOff>561975</xdr:colOff>
          <xdr:row>79</xdr:row>
          <xdr:rowOff>219075</xdr:rowOff>
        </xdr:to>
        <xdr:sp macro="" textlink="">
          <xdr:nvSpPr>
            <xdr:cNvPr id="1841" name="Check Box 817" hidden="1">
              <a:extLst>
                <a:ext uri="{63B3BB69-23CF-44E3-9099-C40C66FF867C}">
                  <a14:compatExt spid="_x0000_s1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79</xdr:row>
          <xdr:rowOff>0</xdr:rowOff>
        </xdr:from>
        <xdr:to>
          <xdr:col>6</xdr:col>
          <xdr:colOff>561975</xdr:colOff>
          <xdr:row>79</xdr:row>
          <xdr:rowOff>219075</xdr:rowOff>
        </xdr:to>
        <xdr:sp macro="" textlink="">
          <xdr:nvSpPr>
            <xdr:cNvPr id="1844" name="Check Box 820" hidden="1">
              <a:extLst>
                <a:ext uri="{63B3BB69-23CF-44E3-9099-C40C66FF867C}">
                  <a14:compatExt spid="_x0000_s1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80</xdr:row>
          <xdr:rowOff>0</xdr:rowOff>
        </xdr:from>
        <xdr:to>
          <xdr:col>5</xdr:col>
          <xdr:colOff>561975</xdr:colOff>
          <xdr:row>80</xdr:row>
          <xdr:rowOff>219075</xdr:rowOff>
        </xdr:to>
        <xdr:sp macro="" textlink="">
          <xdr:nvSpPr>
            <xdr:cNvPr id="1859" name="Check Box 835" hidden="1">
              <a:extLst>
                <a:ext uri="{63B3BB69-23CF-44E3-9099-C40C66FF867C}">
                  <a14:compatExt spid="_x0000_s1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80</xdr:row>
          <xdr:rowOff>0</xdr:rowOff>
        </xdr:from>
        <xdr:to>
          <xdr:col>6</xdr:col>
          <xdr:colOff>561975</xdr:colOff>
          <xdr:row>80</xdr:row>
          <xdr:rowOff>219075</xdr:rowOff>
        </xdr:to>
        <xdr:sp macro="" textlink="">
          <xdr:nvSpPr>
            <xdr:cNvPr id="1862" name="Check Box 838" hidden="1">
              <a:extLst>
                <a:ext uri="{63B3BB69-23CF-44E3-9099-C40C66FF867C}">
                  <a14:compatExt spid="_x0000_s1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81</xdr:row>
          <xdr:rowOff>0</xdr:rowOff>
        </xdr:from>
        <xdr:to>
          <xdr:col>5</xdr:col>
          <xdr:colOff>561975</xdr:colOff>
          <xdr:row>82</xdr:row>
          <xdr:rowOff>28575</xdr:rowOff>
        </xdr:to>
        <xdr:sp macro="" textlink="">
          <xdr:nvSpPr>
            <xdr:cNvPr id="1877" name="Check Box 853" hidden="1">
              <a:extLst>
                <a:ext uri="{63B3BB69-23CF-44E3-9099-C40C66FF867C}">
                  <a14:compatExt spid="_x0000_s1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81</xdr:row>
          <xdr:rowOff>0</xdr:rowOff>
        </xdr:from>
        <xdr:to>
          <xdr:col>6</xdr:col>
          <xdr:colOff>561975</xdr:colOff>
          <xdr:row>82</xdr:row>
          <xdr:rowOff>28575</xdr:rowOff>
        </xdr:to>
        <xdr:sp macro="" textlink="">
          <xdr:nvSpPr>
            <xdr:cNvPr id="1880" name="Check Box 856" hidden="1">
              <a:extLst>
                <a:ext uri="{63B3BB69-23CF-44E3-9099-C40C66FF867C}">
                  <a14:compatExt spid="_x0000_s18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82</xdr:row>
          <xdr:rowOff>0</xdr:rowOff>
        </xdr:from>
        <xdr:to>
          <xdr:col>5</xdr:col>
          <xdr:colOff>561975</xdr:colOff>
          <xdr:row>82</xdr:row>
          <xdr:rowOff>219075</xdr:rowOff>
        </xdr:to>
        <xdr:sp macro="" textlink="">
          <xdr:nvSpPr>
            <xdr:cNvPr id="1895" name="Check Box 871" hidden="1">
              <a:extLst>
                <a:ext uri="{63B3BB69-23CF-44E3-9099-C40C66FF867C}">
                  <a14:compatExt spid="_x0000_s1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82</xdr:row>
          <xdr:rowOff>0</xdr:rowOff>
        </xdr:from>
        <xdr:to>
          <xdr:col>6</xdr:col>
          <xdr:colOff>561975</xdr:colOff>
          <xdr:row>82</xdr:row>
          <xdr:rowOff>219075</xdr:rowOff>
        </xdr:to>
        <xdr:sp macro="" textlink="">
          <xdr:nvSpPr>
            <xdr:cNvPr id="1898" name="Check Box 874" hidden="1">
              <a:extLst>
                <a:ext uri="{63B3BB69-23CF-44E3-9099-C40C66FF867C}">
                  <a14:compatExt spid="_x0000_s1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83</xdr:row>
          <xdr:rowOff>123825</xdr:rowOff>
        </xdr:from>
        <xdr:to>
          <xdr:col>5</xdr:col>
          <xdr:colOff>561975</xdr:colOff>
          <xdr:row>84</xdr:row>
          <xdr:rowOff>19050</xdr:rowOff>
        </xdr:to>
        <xdr:sp macro="" textlink="">
          <xdr:nvSpPr>
            <xdr:cNvPr id="1949" name="Check Box 925" hidden="1">
              <a:extLst>
                <a:ext uri="{63B3BB69-23CF-44E3-9099-C40C66FF867C}">
                  <a14:compatExt spid="_x0000_s1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83</xdr:row>
          <xdr:rowOff>123825</xdr:rowOff>
        </xdr:from>
        <xdr:to>
          <xdr:col>6</xdr:col>
          <xdr:colOff>561975</xdr:colOff>
          <xdr:row>84</xdr:row>
          <xdr:rowOff>19050</xdr:rowOff>
        </xdr:to>
        <xdr:sp macro="" textlink="">
          <xdr:nvSpPr>
            <xdr:cNvPr id="1952" name="Check Box 928" hidden="1">
              <a:extLst>
                <a:ext uri="{63B3BB69-23CF-44E3-9099-C40C66FF867C}">
                  <a14:compatExt spid="_x0000_s1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84</xdr:row>
          <xdr:rowOff>0</xdr:rowOff>
        </xdr:from>
        <xdr:to>
          <xdr:col>5</xdr:col>
          <xdr:colOff>561975</xdr:colOff>
          <xdr:row>84</xdr:row>
          <xdr:rowOff>219075</xdr:rowOff>
        </xdr:to>
        <xdr:sp macro="" textlink="">
          <xdr:nvSpPr>
            <xdr:cNvPr id="1967" name="Check Box 943" hidden="1">
              <a:extLst>
                <a:ext uri="{63B3BB69-23CF-44E3-9099-C40C66FF867C}">
                  <a14:compatExt spid="_x0000_s1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84</xdr:row>
          <xdr:rowOff>0</xdr:rowOff>
        </xdr:from>
        <xdr:to>
          <xdr:col>6</xdr:col>
          <xdr:colOff>561975</xdr:colOff>
          <xdr:row>84</xdr:row>
          <xdr:rowOff>219075</xdr:rowOff>
        </xdr:to>
        <xdr:sp macro="" textlink="">
          <xdr:nvSpPr>
            <xdr:cNvPr id="1970" name="Check Box 946" hidden="1">
              <a:extLst>
                <a:ext uri="{63B3BB69-23CF-44E3-9099-C40C66FF867C}">
                  <a14:compatExt spid="_x0000_s1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85</xdr:row>
          <xdr:rowOff>0</xdr:rowOff>
        </xdr:from>
        <xdr:to>
          <xdr:col>5</xdr:col>
          <xdr:colOff>561975</xdr:colOff>
          <xdr:row>85</xdr:row>
          <xdr:rowOff>219075</xdr:rowOff>
        </xdr:to>
        <xdr:sp macro="" textlink="">
          <xdr:nvSpPr>
            <xdr:cNvPr id="1985" name="Check Box 961" hidden="1">
              <a:extLst>
                <a:ext uri="{63B3BB69-23CF-44E3-9099-C40C66FF867C}">
                  <a14:compatExt spid="_x0000_s1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85</xdr:row>
          <xdr:rowOff>0</xdr:rowOff>
        </xdr:from>
        <xdr:to>
          <xdr:col>6</xdr:col>
          <xdr:colOff>561975</xdr:colOff>
          <xdr:row>85</xdr:row>
          <xdr:rowOff>219075</xdr:rowOff>
        </xdr:to>
        <xdr:sp macro="" textlink="">
          <xdr:nvSpPr>
            <xdr:cNvPr id="1988" name="Check Box 964" hidden="1">
              <a:extLst>
                <a:ext uri="{63B3BB69-23CF-44E3-9099-C40C66FF867C}">
                  <a14:compatExt spid="_x0000_s1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86</xdr:row>
          <xdr:rowOff>257175</xdr:rowOff>
        </xdr:from>
        <xdr:to>
          <xdr:col>5</xdr:col>
          <xdr:colOff>561975</xdr:colOff>
          <xdr:row>87</xdr:row>
          <xdr:rowOff>485775</xdr:rowOff>
        </xdr:to>
        <xdr:sp macro="" textlink="">
          <xdr:nvSpPr>
            <xdr:cNvPr id="2003" name="Check Box 979" hidden="1">
              <a:extLst>
                <a:ext uri="{63B3BB69-23CF-44E3-9099-C40C66FF867C}">
                  <a14:compatExt spid="_x0000_s2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86</xdr:row>
          <xdr:rowOff>257175</xdr:rowOff>
        </xdr:from>
        <xdr:to>
          <xdr:col>6</xdr:col>
          <xdr:colOff>561975</xdr:colOff>
          <xdr:row>87</xdr:row>
          <xdr:rowOff>485775</xdr:rowOff>
        </xdr:to>
        <xdr:sp macro="" textlink="">
          <xdr:nvSpPr>
            <xdr:cNvPr id="2006" name="Check Box 982" hidden="1">
              <a:extLst>
                <a:ext uri="{63B3BB69-23CF-44E3-9099-C40C66FF867C}">
                  <a14:compatExt spid="_x0000_s2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87</xdr:row>
          <xdr:rowOff>361950</xdr:rowOff>
        </xdr:from>
        <xdr:to>
          <xdr:col>5</xdr:col>
          <xdr:colOff>571500</xdr:colOff>
          <xdr:row>87</xdr:row>
          <xdr:rowOff>581025</xdr:rowOff>
        </xdr:to>
        <xdr:sp macro="" textlink="">
          <xdr:nvSpPr>
            <xdr:cNvPr id="2022" name="Check Box 998" hidden="1">
              <a:extLst>
                <a:ext uri="{63B3BB69-23CF-44E3-9099-C40C66FF867C}">
                  <a14:compatExt spid="_x0000_s2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87</xdr:row>
          <xdr:rowOff>342900</xdr:rowOff>
        </xdr:from>
        <xdr:to>
          <xdr:col>6</xdr:col>
          <xdr:colOff>561975</xdr:colOff>
          <xdr:row>87</xdr:row>
          <xdr:rowOff>561975</xdr:rowOff>
        </xdr:to>
        <xdr:sp macro="" textlink="">
          <xdr:nvSpPr>
            <xdr:cNvPr id="2024" name="Check Box 1000" hidden="1">
              <a:extLst>
                <a:ext uri="{63B3BB69-23CF-44E3-9099-C40C66FF867C}">
                  <a14:compatExt spid="_x0000_s2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89</xdr:row>
          <xdr:rowOff>85725</xdr:rowOff>
        </xdr:from>
        <xdr:to>
          <xdr:col>5</xdr:col>
          <xdr:colOff>552450</xdr:colOff>
          <xdr:row>89</xdr:row>
          <xdr:rowOff>695325</xdr:rowOff>
        </xdr:to>
        <xdr:sp macro="" textlink="">
          <xdr:nvSpPr>
            <xdr:cNvPr id="2039" name="Check Box 1015" hidden="1">
              <a:extLst>
                <a:ext uri="{63B3BB69-23CF-44E3-9099-C40C66FF867C}">
                  <a14:compatExt spid="_x0000_s2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89</xdr:row>
          <xdr:rowOff>95250</xdr:rowOff>
        </xdr:from>
        <xdr:to>
          <xdr:col>6</xdr:col>
          <xdr:colOff>561975</xdr:colOff>
          <xdr:row>89</xdr:row>
          <xdr:rowOff>695325</xdr:rowOff>
        </xdr:to>
        <xdr:sp macro="" textlink="">
          <xdr:nvSpPr>
            <xdr:cNvPr id="2042" name="Check Box 1018" hidden="1">
              <a:extLst>
                <a:ext uri="{63B3BB69-23CF-44E3-9099-C40C66FF867C}">
                  <a14:compatExt spid="_x0000_s2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90</xdr:row>
          <xdr:rowOff>180975</xdr:rowOff>
        </xdr:from>
        <xdr:to>
          <xdr:col>5</xdr:col>
          <xdr:colOff>561975</xdr:colOff>
          <xdr:row>91</xdr:row>
          <xdr:rowOff>114300</xdr:rowOff>
        </xdr:to>
        <xdr:sp macro="" textlink="">
          <xdr:nvSpPr>
            <xdr:cNvPr id="2057" name="Check Box 1033" hidden="1">
              <a:extLst>
                <a:ext uri="{63B3BB69-23CF-44E3-9099-C40C66FF867C}">
                  <a14:compatExt spid="_x0000_s2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90</xdr:row>
          <xdr:rowOff>180975</xdr:rowOff>
        </xdr:from>
        <xdr:to>
          <xdr:col>6</xdr:col>
          <xdr:colOff>561975</xdr:colOff>
          <xdr:row>91</xdr:row>
          <xdr:rowOff>114300</xdr:rowOff>
        </xdr:to>
        <xdr:sp macro="" textlink="">
          <xdr:nvSpPr>
            <xdr:cNvPr id="2060" name="Check Box 1036" hidden="1">
              <a:extLst>
                <a:ext uri="{63B3BB69-23CF-44E3-9099-C40C66FF867C}">
                  <a14:compatExt spid="_x0000_s2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90</xdr:row>
          <xdr:rowOff>552450</xdr:rowOff>
        </xdr:from>
        <xdr:to>
          <xdr:col>5</xdr:col>
          <xdr:colOff>561975</xdr:colOff>
          <xdr:row>91</xdr:row>
          <xdr:rowOff>485775</xdr:rowOff>
        </xdr:to>
        <xdr:sp macro="" textlink="">
          <xdr:nvSpPr>
            <xdr:cNvPr id="2111" name="Check Box 1087" hidden="1">
              <a:extLst>
                <a:ext uri="{63B3BB69-23CF-44E3-9099-C40C66FF867C}">
                  <a14:compatExt spid="_x0000_s2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90</xdr:row>
          <xdr:rowOff>552450</xdr:rowOff>
        </xdr:from>
        <xdr:to>
          <xdr:col>6</xdr:col>
          <xdr:colOff>571500</xdr:colOff>
          <xdr:row>91</xdr:row>
          <xdr:rowOff>485775</xdr:rowOff>
        </xdr:to>
        <xdr:sp macro="" textlink="">
          <xdr:nvSpPr>
            <xdr:cNvPr id="2114" name="Check Box 1090" hidden="1">
              <a:extLst>
                <a:ext uri="{63B3BB69-23CF-44E3-9099-C40C66FF867C}">
                  <a14:compatExt spid="_x0000_s2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93</xdr:row>
          <xdr:rowOff>600075</xdr:rowOff>
        </xdr:from>
        <xdr:to>
          <xdr:col>5</xdr:col>
          <xdr:colOff>561975</xdr:colOff>
          <xdr:row>94</xdr:row>
          <xdr:rowOff>352425</xdr:rowOff>
        </xdr:to>
        <xdr:sp macro="" textlink="">
          <xdr:nvSpPr>
            <xdr:cNvPr id="2147" name="Check Box 1123" hidden="1">
              <a:extLst>
                <a:ext uri="{63B3BB69-23CF-44E3-9099-C40C66FF867C}">
                  <a14:compatExt spid="_x0000_s2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93</xdr:row>
          <xdr:rowOff>609600</xdr:rowOff>
        </xdr:from>
        <xdr:to>
          <xdr:col>6</xdr:col>
          <xdr:colOff>561975</xdr:colOff>
          <xdr:row>94</xdr:row>
          <xdr:rowOff>352425</xdr:rowOff>
        </xdr:to>
        <xdr:sp macro="" textlink="">
          <xdr:nvSpPr>
            <xdr:cNvPr id="2150" name="Check Box 1126" hidden="1">
              <a:extLst>
                <a:ext uri="{63B3BB69-23CF-44E3-9099-C40C66FF867C}">
                  <a14:compatExt spid="_x0000_s2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95</xdr:row>
          <xdr:rowOff>114300</xdr:rowOff>
        </xdr:from>
        <xdr:to>
          <xdr:col>5</xdr:col>
          <xdr:colOff>561975</xdr:colOff>
          <xdr:row>95</xdr:row>
          <xdr:rowOff>485775</xdr:rowOff>
        </xdr:to>
        <xdr:sp macro="" textlink="">
          <xdr:nvSpPr>
            <xdr:cNvPr id="2183" name="Check Box 1159" hidden="1">
              <a:extLst>
                <a:ext uri="{63B3BB69-23CF-44E3-9099-C40C66FF867C}">
                  <a14:compatExt spid="_x0000_s2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95</xdr:row>
          <xdr:rowOff>114300</xdr:rowOff>
        </xdr:from>
        <xdr:to>
          <xdr:col>6</xdr:col>
          <xdr:colOff>561975</xdr:colOff>
          <xdr:row>95</xdr:row>
          <xdr:rowOff>485775</xdr:rowOff>
        </xdr:to>
        <xdr:sp macro="" textlink="">
          <xdr:nvSpPr>
            <xdr:cNvPr id="2186" name="Check Box 1162" hidden="1">
              <a:extLst>
                <a:ext uri="{63B3BB69-23CF-44E3-9099-C40C66FF867C}">
                  <a14:compatExt spid="_x0000_s2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96</xdr:row>
          <xdr:rowOff>57150</xdr:rowOff>
        </xdr:from>
        <xdr:to>
          <xdr:col>5</xdr:col>
          <xdr:colOff>561975</xdr:colOff>
          <xdr:row>97</xdr:row>
          <xdr:rowOff>0</xdr:rowOff>
        </xdr:to>
        <xdr:sp macro="" textlink="">
          <xdr:nvSpPr>
            <xdr:cNvPr id="2267" name="Check Box 1243" hidden="1">
              <a:extLst>
                <a:ext uri="{63B3BB69-23CF-44E3-9099-C40C66FF867C}">
                  <a14:compatExt spid="_x0000_s2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96</xdr:row>
          <xdr:rowOff>66675</xdr:rowOff>
        </xdr:from>
        <xdr:to>
          <xdr:col>6</xdr:col>
          <xdr:colOff>561975</xdr:colOff>
          <xdr:row>97</xdr:row>
          <xdr:rowOff>0</xdr:rowOff>
        </xdr:to>
        <xdr:sp macro="" textlink="">
          <xdr:nvSpPr>
            <xdr:cNvPr id="2268" name="Check Box 1244" hidden="1">
              <a:extLst>
                <a:ext uri="{63B3BB69-23CF-44E3-9099-C40C66FF867C}">
                  <a14:compatExt spid="_x0000_s2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31</xdr:row>
          <xdr:rowOff>180975</xdr:rowOff>
        </xdr:from>
        <xdr:to>
          <xdr:col>5</xdr:col>
          <xdr:colOff>561975</xdr:colOff>
          <xdr:row>33</xdr:row>
          <xdr:rowOff>0</xdr:rowOff>
        </xdr:to>
        <xdr:sp macro="" textlink="">
          <xdr:nvSpPr>
            <xdr:cNvPr id="2271" name="Check Box 1247" hidden="1">
              <a:extLst>
                <a:ext uri="{63B3BB69-23CF-44E3-9099-C40C66FF867C}">
                  <a14:compatExt spid="_x0000_s2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31</xdr:row>
          <xdr:rowOff>180975</xdr:rowOff>
        </xdr:from>
        <xdr:to>
          <xdr:col>6</xdr:col>
          <xdr:colOff>561975</xdr:colOff>
          <xdr:row>33</xdr:row>
          <xdr:rowOff>0</xdr:rowOff>
        </xdr:to>
        <xdr:sp macro="" textlink="">
          <xdr:nvSpPr>
            <xdr:cNvPr id="2273" name="Check Box 1249" hidden="1">
              <a:extLst>
                <a:ext uri="{63B3BB69-23CF-44E3-9099-C40C66FF867C}">
                  <a14:compatExt spid="_x0000_s2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92</xdr:row>
          <xdr:rowOff>371475</xdr:rowOff>
        </xdr:from>
        <xdr:to>
          <xdr:col>5</xdr:col>
          <xdr:colOff>523875</xdr:colOff>
          <xdr:row>93</xdr:row>
          <xdr:rowOff>133350</xdr:rowOff>
        </xdr:to>
        <xdr:sp macro="" textlink="">
          <xdr:nvSpPr>
            <xdr:cNvPr id="2275" name="Check Box 1251" hidden="1">
              <a:extLst>
                <a:ext uri="{63B3BB69-23CF-44E3-9099-C40C66FF867C}">
                  <a14:compatExt spid="_x0000_s2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92</xdr:row>
          <xdr:rowOff>361950</xdr:rowOff>
        </xdr:from>
        <xdr:to>
          <xdr:col>6</xdr:col>
          <xdr:colOff>552450</xdr:colOff>
          <xdr:row>93</xdr:row>
          <xdr:rowOff>123825</xdr:rowOff>
        </xdr:to>
        <xdr:sp macro="" textlink="">
          <xdr:nvSpPr>
            <xdr:cNvPr id="2276" name="Check Box 1252" hidden="1">
              <a:extLst>
                <a:ext uri="{63B3BB69-23CF-44E3-9099-C40C66FF867C}">
                  <a14:compatExt spid="_x0000_s2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95250</xdr:colOff>
      <xdr:row>1</xdr:row>
      <xdr:rowOff>47625</xdr:rowOff>
    </xdr:from>
    <xdr:to>
      <xdr:col>2</xdr:col>
      <xdr:colOff>349250</xdr:colOff>
      <xdr:row>1</xdr:row>
      <xdr:rowOff>409725</xdr:rowOff>
    </xdr:to>
    <xdr:pic>
      <xdr:nvPicPr>
        <xdr:cNvPr id="180" name="Picture 179" descr="nyserd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247650"/>
          <a:ext cx="1254125" cy="3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257175</xdr:colOff>
          <xdr:row>21</xdr:row>
          <xdr:rowOff>0</xdr:rowOff>
        </xdr:from>
        <xdr:to>
          <xdr:col>5</xdr:col>
          <xdr:colOff>561975</xdr:colOff>
          <xdr:row>21</xdr:row>
          <xdr:rowOff>219075</xdr:rowOff>
        </xdr:to>
        <xdr:sp macro="" textlink="">
          <xdr:nvSpPr>
            <xdr:cNvPr id="2289" name="Check Box 1265" hidden="1">
              <a:extLst>
                <a:ext uri="{63B3BB69-23CF-44E3-9099-C40C66FF867C}">
                  <a14:compatExt spid="_x0000_s2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21</xdr:row>
          <xdr:rowOff>0</xdr:rowOff>
        </xdr:from>
        <xdr:to>
          <xdr:col>5</xdr:col>
          <xdr:colOff>561975</xdr:colOff>
          <xdr:row>21</xdr:row>
          <xdr:rowOff>219075</xdr:rowOff>
        </xdr:to>
        <xdr:sp macro="" textlink="">
          <xdr:nvSpPr>
            <xdr:cNvPr id="2290" name="Check Box 1266" hidden="1">
              <a:extLst>
                <a:ext uri="{63B3BB69-23CF-44E3-9099-C40C66FF867C}">
                  <a14:compatExt spid="_x0000_s2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21</xdr:row>
          <xdr:rowOff>0</xdr:rowOff>
        </xdr:from>
        <xdr:to>
          <xdr:col>6</xdr:col>
          <xdr:colOff>561975</xdr:colOff>
          <xdr:row>21</xdr:row>
          <xdr:rowOff>219075</xdr:rowOff>
        </xdr:to>
        <xdr:sp macro="" textlink="">
          <xdr:nvSpPr>
            <xdr:cNvPr id="2291" name="Check Box 1267" hidden="1">
              <a:extLst>
                <a:ext uri="{63B3BB69-23CF-44E3-9099-C40C66FF867C}">
                  <a14:compatExt spid="_x0000_s2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21</xdr:row>
          <xdr:rowOff>0</xdr:rowOff>
        </xdr:from>
        <xdr:to>
          <xdr:col>6</xdr:col>
          <xdr:colOff>561975</xdr:colOff>
          <xdr:row>21</xdr:row>
          <xdr:rowOff>219075</xdr:rowOff>
        </xdr:to>
        <xdr:sp macro="" textlink="">
          <xdr:nvSpPr>
            <xdr:cNvPr id="2292" name="Check Box 1268" hidden="1">
              <a:extLst>
                <a:ext uri="{63B3BB69-23CF-44E3-9099-C40C66FF867C}">
                  <a14:compatExt spid="_x0000_s2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44</xdr:row>
          <xdr:rowOff>133350</xdr:rowOff>
        </xdr:from>
        <xdr:to>
          <xdr:col>5</xdr:col>
          <xdr:colOff>561975</xdr:colOff>
          <xdr:row>45</xdr:row>
          <xdr:rowOff>104775</xdr:rowOff>
        </xdr:to>
        <xdr:sp macro="" textlink="">
          <xdr:nvSpPr>
            <xdr:cNvPr id="2296" name="Check Box 1272" hidden="1">
              <a:extLst>
                <a:ext uri="{63B3BB69-23CF-44E3-9099-C40C66FF867C}">
                  <a14:compatExt spid="_x0000_s2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44</xdr:row>
          <xdr:rowOff>133350</xdr:rowOff>
        </xdr:from>
        <xdr:to>
          <xdr:col>6</xdr:col>
          <xdr:colOff>561975</xdr:colOff>
          <xdr:row>45</xdr:row>
          <xdr:rowOff>104775</xdr:rowOff>
        </xdr:to>
        <xdr:sp macro="" textlink="">
          <xdr:nvSpPr>
            <xdr:cNvPr id="2297" name="Check Box 1273" hidden="1">
              <a:extLst>
                <a:ext uri="{63B3BB69-23CF-44E3-9099-C40C66FF867C}">
                  <a14:compatExt spid="_x0000_s2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1</xdr:col>
      <xdr:colOff>201083</xdr:colOff>
      <xdr:row>0</xdr:row>
      <xdr:rowOff>105833</xdr:rowOff>
    </xdr:from>
    <xdr:to>
      <xdr:col>2</xdr:col>
      <xdr:colOff>121708</xdr:colOff>
      <xdr:row>1</xdr:row>
      <xdr:rowOff>129266</xdr:rowOff>
    </xdr:to>
    <xdr:pic>
      <xdr:nvPicPr>
        <xdr:cNvPr id="2" name="Picture 1" descr="nyserd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4916" y="105833"/>
          <a:ext cx="1254125" cy="3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158750</xdr:colOff>
      <xdr:row>0</xdr:row>
      <xdr:rowOff>52917</xdr:rowOff>
    </xdr:from>
    <xdr:to>
      <xdr:col>2</xdr:col>
      <xdr:colOff>79375</xdr:colOff>
      <xdr:row>1</xdr:row>
      <xdr:rowOff>76350</xdr:rowOff>
    </xdr:to>
    <xdr:pic>
      <xdr:nvPicPr>
        <xdr:cNvPr id="2" name="Picture 1" descr="nyserd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3167" y="52917"/>
          <a:ext cx="1254125" cy="3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127000</xdr:colOff>
      <xdr:row>0</xdr:row>
      <xdr:rowOff>116417</xdr:rowOff>
    </xdr:from>
    <xdr:to>
      <xdr:col>2</xdr:col>
      <xdr:colOff>47625</xdr:colOff>
      <xdr:row>1</xdr:row>
      <xdr:rowOff>139850</xdr:rowOff>
    </xdr:to>
    <xdr:pic>
      <xdr:nvPicPr>
        <xdr:cNvPr id="2" name="Picture 1" descr="nyserd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0833" y="116417"/>
          <a:ext cx="1254125" cy="3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139700</xdr:colOff>
      <xdr:row>0</xdr:row>
      <xdr:rowOff>76200</xdr:rowOff>
    </xdr:from>
    <xdr:to>
      <xdr:col>2</xdr:col>
      <xdr:colOff>60325</xdr:colOff>
      <xdr:row>1</xdr:row>
      <xdr:rowOff>108100</xdr:rowOff>
    </xdr:to>
    <xdr:pic>
      <xdr:nvPicPr>
        <xdr:cNvPr id="2" name="Picture 1" descr="nyserd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9300" y="76200"/>
          <a:ext cx="1254125" cy="3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169333</xdr:colOff>
      <xdr:row>0</xdr:row>
      <xdr:rowOff>95250</xdr:rowOff>
    </xdr:from>
    <xdr:to>
      <xdr:col>2</xdr:col>
      <xdr:colOff>89958</xdr:colOff>
      <xdr:row>1</xdr:row>
      <xdr:rowOff>118683</xdr:rowOff>
    </xdr:to>
    <xdr:pic>
      <xdr:nvPicPr>
        <xdr:cNvPr id="2" name="Picture 1" descr="nyserd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750" y="95250"/>
          <a:ext cx="1254125" cy="3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2</xdr:col>
      <xdr:colOff>466725</xdr:colOff>
      <xdr:row>72</xdr:row>
      <xdr:rowOff>114300</xdr:rowOff>
    </xdr:from>
    <xdr:to>
      <xdr:col>9</xdr:col>
      <xdr:colOff>542925</xdr:colOff>
      <xdr:row>94</xdr:row>
      <xdr:rowOff>152400</xdr:rowOff>
    </xdr:to>
    <xdr:grpSp>
      <xdr:nvGrpSpPr>
        <xdr:cNvPr id="2" name="Group 3"/>
        <xdr:cNvGrpSpPr>
          <a:grpSpLocks noChangeAspect="1"/>
        </xdr:cNvGrpSpPr>
      </xdr:nvGrpSpPr>
      <xdr:grpSpPr bwMode="auto">
        <a:xfrm>
          <a:off x="2414058" y="50988383"/>
          <a:ext cx="6987117" cy="4038600"/>
          <a:chOff x="269" y="1404"/>
          <a:chExt cx="312" cy="192"/>
        </a:xfrm>
      </xdr:grpSpPr>
      <xdr:sp macro="" textlink="">
        <xdr:nvSpPr>
          <xdr:cNvPr id="3" name="AutoShape 4"/>
          <xdr:cNvSpPr>
            <a:spLocks noChangeAspect="1" noChangeArrowheads="1"/>
          </xdr:cNvSpPr>
        </xdr:nvSpPr>
        <xdr:spPr bwMode="auto">
          <a:xfrm>
            <a:off x="269" y="1404"/>
            <a:ext cx="312" cy="1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xdr:col>
      <xdr:colOff>148167</xdr:colOff>
      <xdr:row>0</xdr:row>
      <xdr:rowOff>95250</xdr:rowOff>
    </xdr:from>
    <xdr:to>
      <xdr:col>2</xdr:col>
      <xdr:colOff>68792</xdr:colOff>
      <xdr:row>1</xdr:row>
      <xdr:rowOff>118683</xdr:rowOff>
    </xdr:to>
    <xdr:pic>
      <xdr:nvPicPr>
        <xdr:cNvPr id="4" name="Picture 3" descr="nyserd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0" y="95250"/>
          <a:ext cx="1254125" cy="3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232833</xdr:colOff>
      <xdr:row>0</xdr:row>
      <xdr:rowOff>84666</xdr:rowOff>
    </xdr:from>
    <xdr:to>
      <xdr:col>2</xdr:col>
      <xdr:colOff>153458</xdr:colOff>
      <xdr:row>1</xdr:row>
      <xdr:rowOff>108099</xdr:rowOff>
    </xdr:to>
    <xdr:pic>
      <xdr:nvPicPr>
        <xdr:cNvPr id="2" name="Picture 1" descr="nyserd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6666" y="84666"/>
          <a:ext cx="1254125" cy="3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148167</xdr:colOff>
      <xdr:row>0</xdr:row>
      <xdr:rowOff>105834</xdr:rowOff>
    </xdr:from>
    <xdr:to>
      <xdr:col>2</xdr:col>
      <xdr:colOff>68792</xdr:colOff>
      <xdr:row>1</xdr:row>
      <xdr:rowOff>129267</xdr:rowOff>
    </xdr:to>
    <xdr:pic>
      <xdr:nvPicPr>
        <xdr:cNvPr id="2" name="Picture 1" descr="nyserd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0" y="105834"/>
          <a:ext cx="1254125" cy="3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127000</xdr:colOff>
      <xdr:row>0</xdr:row>
      <xdr:rowOff>127000</xdr:rowOff>
    </xdr:from>
    <xdr:to>
      <xdr:col>2</xdr:col>
      <xdr:colOff>47625</xdr:colOff>
      <xdr:row>1</xdr:row>
      <xdr:rowOff>150433</xdr:rowOff>
    </xdr:to>
    <xdr:pic>
      <xdr:nvPicPr>
        <xdr:cNvPr id="2" name="Picture 1" descr="nyserd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6583" y="127000"/>
          <a:ext cx="1254125" cy="3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4</xdr:col>
      <xdr:colOff>619125</xdr:colOff>
      <xdr:row>69</xdr:row>
      <xdr:rowOff>47625</xdr:rowOff>
    </xdr:from>
    <xdr:to>
      <xdr:col>8</xdr:col>
      <xdr:colOff>466725</xdr:colOff>
      <xdr:row>87</xdr:row>
      <xdr:rowOff>104775</xdr:rowOff>
    </xdr:to>
    <xdr:graphicFrame macro="">
      <xdr:nvGraphicFramePr>
        <xdr:cNvPr id="2"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169333</xdr:colOff>
      <xdr:row>0</xdr:row>
      <xdr:rowOff>74083</xdr:rowOff>
    </xdr:from>
    <xdr:to>
      <xdr:col>2</xdr:col>
      <xdr:colOff>89958</xdr:colOff>
      <xdr:row>1</xdr:row>
      <xdr:rowOff>97516</xdr:rowOff>
    </xdr:to>
    <xdr:pic>
      <xdr:nvPicPr>
        <xdr:cNvPr id="3" name="Picture 2" descr="nyserd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83166" y="74083"/>
          <a:ext cx="1254125" cy="3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153458</xdr:colOff>
      <xdr:row>0</xdr:row>
      <xdr:rowOff>56093</xdr:rowOff>
    </xdr:from>
    <xdr:to>
      <xdr:col>2</xdr:col>
      <xdr:colOff>74083</xdr:colOff>
      <xdr:row>1</xdr:row>
      <xdr:rowOff>79526</xdr:rowOff>
    </xdr:to>
    <xdr:pic>
      <xdr:nvPicPr>
        <xdr:cNvPr id="2" name="Picture 1" descr="nyserd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7291" y="56093"/>
          <a:ext cx="1254125" cy="3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127000</xdr:colOff>
      <xdr:row>0</xdr:row>
      <xdr:rowOff>84667</xdr:rowOff>
    </xdr:from>
    <xdr:to>
      <xdr:col>2</xdr:col>
      <xdr:colOff>47625</xdr:colOff>
      <xdr:row>1</xdr:row>
      <xdr:rowOff>108100</xdr:rowOff>
    </xdr:to>
    <xdr:pic>
      <xdr:nvPicPr>
        <xdr:cNvPr id="2" name="Picture 1" descr="nyserd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0833" y="84667"/>
          <a:ext cx="1254125" cy="3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148166</xdr:colOff>
      <xdr:row>0</xdr:row>
      <xdr:rowOff>74083</xdr:rowOff>
    </xdr:from>
    <xdr:to>
      <xdr:col>2</xdr:col>
      <xdr:colOff>68791</xdr:colOff>
      <xdr:row>1</xdr:row>
      <xdr:rowOff>97516</xdr:rowOff>
    </xdr:to>
    <xdr:pic>
      <xdr:nvPicPr>
        <xdr:cNvPr id="2" name="Picture 1" descr="nyserd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2583" y="74083"/>
          <a:ext cx="1254125" cy="3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190500</xdr:colOff>
      <xdr:row>0</xdr:row>
      <xdr:rowOff>105833</xdr:rowOff>
    </xdr:from>
    <xdr:to>
      <xdr:col>2</xdr:col>
      <xdr:colOff>111125</xdr:colOff>
      <xdr:row>1</xdr:row>
      <xdr:rowOff>129266</xdr:rowOff>
    </xdr:to>
    <xdr:pic>
      <xdr:nvPicPr>
        <xdr:cNvPr id="2" name="Picture 1" descr="nyserd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4333" y="105833"/>
          <a:ext cx="1254125" cy="3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179917</xdr:colOff>
      <xdr:row>0</xdr:row>
      <xdr:rowOff>95250</xdr:rowOff>
    </xdr:from>
    <xdr:to>
      <xdr:col>2</xdr:col>
      <xdr:colOff>100542</xdr:colOff>
      <xdr:row>1</xdr:row>
      <xdr:rowOff>118683</xdr:rowOff>
    </xdr:to>
    <xdr:pic>
      <xdr:nvPicPr>
        <xdr:cNvPr id="2" name="Picture 1" descr="nyserd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750" y="95250"/>
          <a:ext cx="1254125" cy="3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211667</xdr:colOff>
      <xdr:row>0</xdr:row>
      <xdr:rowOff>116417</xdr:rowOff>
    </xdr:from>
    <xdr:to>
      <xdr:col>2</xdr:col>
      <xdr:colOff>132292</xdr:colOff>
      <xdr:row>1</xdr:row>
      <xdr:rowOff>139850</xdr:rowOff>
    </xdr:to>
    <xdr:pic>
      <xdr:nvPicPr>
        <xdr:cNvPr id="2" name="Picture 1" descr="nyserd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5500" y="116417"/>
          <a:ext cx="1254125" cy="3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201084</xdr:colOff>
      <xdr:row>0</xdr:row>
      <xdr:rowOff>116417</xdr:rowOff>
    </xdr:from>
    <xdr:to>
      <xdr:col>2</xdr:col>
      <xdr:colOff>121709</xdr:colOff>
      <xdr:row>1</xdr:row>
      <xdr:rowOff>139850</xdr:rowOff>
    </xdr:to>
    <xdr:pic>
      <xdr:nvPicPr>
        <xdr:cNvPr id="2" name="Picture 1" descr="nyserd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4917" y="116417"/>
          <a:ext cx="1254125" cy="3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211666</xdr:colOff>
      <xdr:row>0</xdr:row>
      <xdr:rowOff>116416</xdr:rowOff>
    </xdr:from>
    <xdr:to>
      <xdr:col>2</xdr:col>
      <xdr:colOff>132291</xdr:colOff>
      <xdr:row>1</xdr:row>
      <xdr:rowOff>139849</xdr:rowOff>
    </xdr:to>
    <xdr:pic>
      <xdr:nvPicPr>
        <xdr:cNvPr id="2" name="Picture 1" descr="nyserd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5499" y="116416"/>
          <a:ext cx="1254125" cy="3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190500</xdr:colOff>
      <xdr:row>0</xdr:row>
      <xdr:rowOff>95250</xdr:rowOff>
    </xdr:from>
    <xdr:to>
      <xdr:col>2</xdr:col>
      <xdr:colOff>111125</xdr:colOff>
      <xdr:row>1</xdr:row>
      <xdr:rowOff>118683</xdr:rowOff>
    </xdr:to>
    <xdr:pic>
      <xdr:nvPicPr>
        <xdr:cNvPr id="2" name="Picture 1" descr="nyserd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4333" y="95250"/>
          <a:ext cx="1254125" cy="3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MeasureQC%20Calc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asureQC Calcs"/>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hyperlink" Target="mailto:pgleeson@trcsolutions.com" TargetMode="External"/><Relationship Id="rId2" Type="http://schemas.openxmlformats.org/officeDocument/2006/relationships/hyperlink" Target="http://www.youtube.com/watch?v=gco7heVBBZY" TargetMode="External"/><Relationship Id="rId1" Type="http://schemas.openxmlformats.org/officeDocument/2006/relationships/hyperlink" Target="mailto:pgleeson@trcsolutions.com" TargetMode="External"/><Relationship Id="rId4"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www.nema.org/Policy/Energy/Efficiency/Documents/NEMA_Premium_Partners.pdf."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38" Type="http://schemas.openxmlformats.org/officeDocument/2006/relationships/ctrlProp" Target="../ctrlProps/ctrlProp135.xml"/><Relationship Id="rId154" Type="http://schemas.openxmlformats.org/officeDocument/2006/relationships/ctrlProp" Target="../ctrlProps/ctrlProp151.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28" Type="http://schemas.openxmlformats.org/officeDocument/2006/relationships/ctrlProp" Target="../ctrlProps/ctrlProp125.xml"/><Relationship Id="rId144" Type="http://schemas.openxmlformats.org/officeDocument/2006/relationships/ctrlProp" Target="../ctrlProps/ctrlProp141.xml"/><Relationship Id="rId149" Type="http://schemas.openxmlformats.org/officeDocument/2006/relationships/ctrlProp" Target="../ctrlProps/ctrlProp146.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113" Type="http://schemas.openxmlformats.org/officeDocument/2006/relationships/ctrlProp" Target="../ctrlProps/ctrlProp110.xml"/><Relationship Id="rId118" Type="http://schemas.openxmlformats.org/officeDocument/2006/relationships/ctrlProp" Target="../ctrlProps/ctrlProp115.xml"/><Relationship Id="rId134" Type="http://schemas.openxmlformats.org/officeDocument/2006/relationships/ctrlProp" Target="../ctrlProps/ctrlProp131.xml"/><Relationship Id="rId139" Type="http://schemas.openxmlformats.org/officeDocument/2006/relationships/ctrlProp" Target="../ctrlProps/ctrlProp136.xml"/><Relationship Id="rId80" Type="http://schemas.openxmlformats.org/officeDocument/2006/relationships/ctrlProp" Target="../ctrlProps/ctrlProp77.xml"/><Relationship Id="rId85" Type="http://schemas.openxmlformats.org/officeDocument/2006/relationships/ctrlProp" Target="../ctrlProps/ctrlProp82.xml"/><Relationship Id="rId150" Type="http://schemas.openxmlformats.org/officeDocument/2006/relationships/ctrlProp" Target="../ctrlProps/ctrlProp147.xml"/><Relationship Id="rId155" Type="http://schemas.openxmlformats.org/officeDocument/2006/relationships/ctrlProp" Target="../ctrlProps/ctrlProp152.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124" Type="http://schemas.openxmlformats.org/officeDocument/2006/relationships/ctrlProp" Target="../ctrlProps/ctrlProp121.xml"/><Relationship Id="rId129" Type="http://schemas.openxmlformats.org/officeDocument/2006/relationships/ctrlProp" Target="../ctrlProps/ctrlProp12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11" Type="http://schemas.openxmlformats.org/officeDocument/2006/relationships/ctrlProp" Target="../ctrlProps/ctrlProp108.xml"/><Relationship Id="rId132" Type="http://schemas.openxmlformats.org/officeDocument/2006/relationships/ctrlProp" Target="../ctrlProps/ctrlProp129.xml"/><Relationship Id="rId140" Type="http://schemas.openxmlformats.org/officeDocument/2006/relationships/ctrlProp" Target="../ctrlProps/ctrlProp137.xml"/><Relationship Id="rId145" Type="http://schemas.openxmlformats.org/officeDocument/2006/relationships/ctrlProp" Target="../ctrlProps/ctrlProp142.xml"/><Relationship Id="rId153" Type="http://schemas.openxmlformats.org/officeDocument/2006/relationships/ctrlProp" Target="../ctrlProps/ctrlProp150.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6" Type="http://schemas.openxmlformats.org/officeDocument/2006/relationships/ctrlProp" Target="../ctrlProps/ctrlProp103.xml"/><Relationship Id="rId114" Type="http://schemas.openxmlformats.org/officeDocument/2006/relationships/ctrlProp" Target="../ctrlProps/ctrlProp111.xml"/><Relationship Id="rId119" Type="http://schemas.openxmlformats.org/officeDocument/2006/relationships/ctrlProp" Target="../ctrlProps/ctrlProp116.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30" Type="http://schemas.openxmlformats.org/officeDocument/2006/relationships/ctrlProp" Target="../ctrlProps/ctrlProp127.xml"/><Relationship Id="rId135" Type="http://schemas.openxmlformats.org/officeDocument/2006/relationships/ctrlProp" Target="../ctrlProps/ctrlProp132.xml"/><Relationship Id="rId143" Type="http://schemas.openxmlformats.org/officeDocument/2006/relationships/ctrlProp" Target="../ctrlProps/ctrlProp140.xml"/><Relationship Id="rId148" Type="http://schemas.openxmlformats.org/officeDocument/2006/relationships/ctrlProp" Target="../ctrlProps/ctrlProp145.xml"/><Relationship Id="rId151" Type="http://schemas.openxmlformats.org/officeDocument/2006/relationships/ctrlProp" Target="../ctrlProps/ctrlProp148.xml"/><Relationship Id="rId156" Type="http://schemas.openxmlformats.org/officeDocument/2006/relationships/ctrlProp" Target="../ctrlProps/ctrlProp153.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125" Type="http://schemas.openxmlformats.org/officeDocument/2006/relationships/ctrlProp" Target="../ctrlProps/ctrlProp122.xml"/><Relationship Id="rId141" Type="http://schemas.openxmlformats.org/officeDocument/2006/relationships/ctrlProp" Target="../ctrlProps/ctrlProp138.xml"/><Relationship Id="rId146" Type="http://schemas.openxmlformats.org/officeDocument/2006/relationships/ctrlProp" Target="../ctrlProps/ctrlProp143.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131" Type="http://schemas.openxmlformats.org/officeDocument/2006/relationships/ctrlProp" Target="../ctrlProps/ctrlProp128.xml"/><Relationship Id="rId136" Type="http://schemas.openxmlformats.org/officeDocument/2006/relationships/ctrlProp" Target="../ctrlProps/ctrlProp133.xml"/><Relationship Id="rId157" Type="http://schemas.openxmlformats.org/officeDocument/2006/relationships/ctrlProp" Target="../ctrlProps/ctrlProp154.xml"/><Relationship Id="rId61" Type="http://schemas.openxmlformats.org/officeDocument/2006/relationships/ctrlProp" Target="../ctrlProps/ctrlProp58.xml"/><Relationship Id="rId82" Type="http://schemas.openxmlformats.org/officeDocument/2006/relationships/ctrlProp" Target="../ctrlProps/ctrlProp79.xml"/><Relationship Id="rId152" Type="http://schemas.openxmlformats.org/officeDocument/2006/relationships/ctrlProp" Target="../ctrlProps/ctrlProp14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3" Type="http://schemas.openxmlformats.org/officeDocument/2006/relationships/vmlDrawing" Target="../drawings/vmlDrawing1.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4.xml"/><Relationship Id="rId1" Type="http://schemas.openxmlformats.org/officeDocument/2006/relationships/printerSettings" Target="../printerSettings/printerSettings19.bin"/><Relationship Id="rId5" Type="http://schemas.openxmlformats.org/officeDocument/2006/relationships/comments" Target="../comments8.xml"/><Relationship Id="rId4" Type="http://schemas.openxmlformats.org/officeDocument/2006/relationships/vmlDrawing" Target="../drawings/vmlDrawing9.v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20.bin"/><Relationship Id="rId4"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21.bin"/><Relationship Id="rId5" Type="http://schemas.openxmlformats.org/officeDocument/2006/relationships/comments" Target="../comments10.xml"/><Relationship Id="rId4" Type="http://schemas.openxmlformats.org/officeDocument/2006/relationships/vmlDrawing" Target="../drawings/vmlDrawing12.v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7.xml"/><Relationship Id="rId1" Type="http://schemas.openxmlformats.org/officeDocument/2006/relationships/printerSettings" Target="../printerSettings/printerSettings22.bin"/><Relationship Id="rId5" Type="http://schemas.openxmlformats.org/officeDocument/2006/relationships/comments" Target="../comments11.xml"/><Relationship Id="rId4" Type="http://schemas.openxmlformats.org/officeDocument/2006/relationships/vmlDrawing" Target="../drawings/vmlDrawing14.v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9.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0.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3.xml"/><Relationship Id="rId1" Type="http://schemas.openxmlformats.org/officeDocument/2006/relationships/printerSettings" Target="../printerSettings/printerSettings28.bin"/><Relationship Id="rId5" Type="http://schemas.openxmlformats.org/officeDocument/2006/relationships/comments" Target="../comments12.xml"/><Relationship Id="rId4" Type="http://schemas.openxmlformats.org/officeDocument/2006/relationships/vmlDrawing" Target="../drawings/vmlDrawing18.v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8.xml"/><Relationship Id="rId1" Type="http://schemas.openxmlformats.org/officeDocument/2006/relationships/printerSettings" Target="../printerSettings/printerSettings33.bin"/><Relationship Id="rId5" Type="http://schemas.openxmlformats.org/officeDocument/2006/relationships/comments" Target="../comments13.xml"/><Relationship Id="rId4" Type="http://schemas.openxmlformats.org/officeDocument/2006/relationships/vmlDrawing" Target="../drawings/vmlDrawing23.v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19.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0.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4.bin"/><Relationship Id="rId1" Type="http://schemas.openxmlformats.org/officeDocument/2006/relationships/hyperlink" Target="https://www.energystar.gov/index.cfm?c=roomac.pr_crit_room_ac" TargetMode="External"/><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FFCC"/>
  </sheetPr>
  <dimension ref="B1:C18"/>
  <sheetViews>
    <sheetView showGridLines="0" tabSelected="1" topLeftCell="B1" workbookViewId="0">
      <selection activeCell="B2" sqref="B2"/>
    </sheetView>
  </sheetViews>
  <sheetFormatPr defaultRowHeight="12"/>
  <cols>
    <col min="1" max="1" width="2.42578125" style="1259" customWidth="1"/>
    <col min="2" max="2" width="9.140625" style="1259"/>
    <col min="3" max="3" width="112.85546875" style="1259" customWidth="1"/>
    <col min="4" max="256" width="9.140625" style="1259"/>
    <col min="257" max="257" width="2.42578125" style="1259" customWidth="1"/>
    <col min="258" max="258" width="9.140625" style="1259"/>
    <col min="259" max="259" width="112.85546875" style="1259" customWidth="1"/>
    <col min="260" max="512" width="9.140625" style="1259"/>
    <col min="513" max="513" width="2.42578125" style="1259" customWidth="1"/>
    <col min="514" max="514" width="9.140625" style="1259"/>
    <col min="515" max="515" width="112.85546875" style="1259" customWidth="1"/>
    <col min="516" max="768" width="9.140625" style="1259"/>
    <col min="769" max="769" width="2.42578125" style="1259" customWidth="1"/>
    <col min="770" max="770" width="9.140625" style="1259"/>
    <col min="771" max="771" width="112.85546875" style="1259" customWidth="1"/>
    <col min="772" max="1024" width="9.140625" style="1259"/>
    <col min="1025" max="1025" width="2.42578125" style="1259" customWidth="1"/>
    <col min="1026" max="1026" width="9.140625" style="1259"/>
    <col min="1027" max="1027" width="112.85546875" style="1259" customWidth="1"/>
    <col min="1028" max="1280" width="9.140625" style="1259"/>
    <col min="1281" max="1281" width="2.42578125" style="1259" customWidth="1"/>
    <col min="1282" max="1282" width="9.140625" style="1259"/>
    <col min="1283" max="1283" width="112.85546875" style="1259" customWidth="1"/>
    <col min="1284" max="1536" width="9.140625" style="1259"/>
    <col min="1537" max="1537" width="2.42578125" style="1259" customWidth="1"/>
    <col min="1538" max="1538" width="9.140625" style="1259"/>
    <col min="1539" max="1539" width="112.85546875" style="1259" customWidth="1"/>
    <col min="1540" max="1792" width="9.140625" style="1259"/>
    <col min="1793" max="1793" width="2.42578125" style="1259" customWidth="1"/>
    <col min="1794" max="1794" width="9.140625" style="1259"/>
    <col min="1795" max="1795" width="112.85546875" style="1259" customWidth="1"/>
    <col min="1796" max="2048" width="9.140625" style="1259"/>
    <col min="2049" max="2049" width="2.42578125" style="1259" customWidth="1"/>
    <col min="2050" max="2050" width="9.140625" style="1259"/>
    <col min="2051" max="2051" width="112.85546875" style="1259" customWidth="1"/>
    <col min="2052" max="2304" width="9.140625" style="1259"/>
    <col min="2305" max="2305" width="2.42578125" style="1259" customWidth="1"/>
    <col min="2306" max="2306" width="9.140625" style="1259"/>
    <col min="2307" max="2307" width="112.85546875" style="1259" customWidth="1"/>
    <col min="2308" max="2560" width="9.140625" style="1259"/>
    <col min="2561" max="2561" width="2.42578125" style="1259" customWidth="1"/>
    <col min="2562" max="2562" width="9.140625" style="1259"/>
    <col min="2563" max="2563" width="112.85546875" style="1259" customWidth="1"/>
    <col min="2564" max="2816" width="9.140625" style="1259"/>
    <col min="2817" max="2817" width="2.42578125" style="1259" customWidth="1"/>
    <col min="2818" max="2818" width="9.140625" style="1259"/>
    <col min="2819" max="2819" width="112.85546875" style="1259" customWidth="1"/>
    <col min="2820" max="3072" width="9.140625" style="1259"/>
    <col min="3073" max="3073" width="2.42578125" style="1259" customWidth="1"/>
    <col min="3074" max="3074" width="9.140625" style="1259"/>
    <col min="3075" max="3075" width="112.85546875" style="1259" customWidth="1"/>
    <col min="3076" max="3328" width="9.140625" style="1259"/>
    <col min="3329" max="3329" width="2.42578125" style="1259" customWidth="1"/>
    <col min="3330" max="3330" width="9.140625" style="1259"/>
    <col min="3331" max="3331" width="112.85546875" style="1259" customWidth="1"/>
    <col min="3332" max="3584" width="9.140625" style="1259"/>
    <col min="3585" max="3585" width="2.42578125" style="1259" customWidth="1"/>
    <col min="3586" max="3586" width="9.140625" style="1259"/>
    <col min="3587" max="3587" width="112.85546875" style="1259" customWidth="1"/>
    <col min="3588" max="3840" width="9.140625" style="1259"/>
    <col min="3841" max="3841" width="2.42578125" style="1259" customWidth="1"/>
    <col min="3842" max="3842" width="9.140625" style="1259"/>
    <col min="3843" max="3843" width="112.85546875" style="1259" customWidth="1"/>
    <col min="3844" max="4096" width="9.140625" style="1259"/>
    <col min="4097" max="4097" width="2.42578125" style="1259" customWidth="1"/>
    <col min="4098" max="4098" width="9.140625" style="1259"/>
    <col min="4099" max="4099" width="112.85546875" style="1259" customWidth="1"/>
    <col min="4100" max="4352" width="9.140625" style="1259"/>
    <col min="4353" max="4353" width="2.42578125" style="1259" customWidth="1"/>
    <col min="4354" max="4354" width="9.140625" style="1259"/>
    <col min="4355" max="4355" width="112.85546875" style="1259" customWidth="1"/>
    <col min="4356" max="4608" width="9.140625" style="1259"/>
    <col min="4609" max="4609" width="2.42578125" style="1259" customWidth="1"/>
    <col min="4610" max="4610" width="9.140625" style="1259"/>
    <col min="4611" max="4611" width="112.85546875" style="1259" customWidth="1"/>
    <col min="4612" max="4864" width="9.140625" style="1259"/>
    <col min="4865" max="4865" width="2.42578125" style="1259" customWidth="1"/>
    <col min="4866" max="4866" width="9.140625" style="1259"/>
    <col min="4867" max="4867" width="112.85546875" style="1259" customWidth="1"/>
    <col min="4868" max="5120" width="9.140625" style="1259"/>
    <col min="5121" max="5121" width="2.42578125" style="1259" customWidth="1"/>
    <col min="5122" max="5122" width="9.140625" style="1259"/>
    <col min="5123" max="5123" width="112.85546875" style="1259" customWidth="1"/>
    <col min="5124" max="5376" width="9.140625" style="1259"/>
    <col min="5377" max="5377" width="2.42578125" style="1259" customWidth="1"/>
    <col min="5378" max="5378" width="9.140625" style="1259"/>
    <col min="5379" max="5379" width="112.85546875" style="1259" customWidth="1"/>
    <col min="5380" max="5632" width="9.140625" style="1259"/>
    <col min="5633" max="5633" width="2.42578125" style="1259" customWidth="1"/>
    <col min="5634" max="5634" width="9.140625" style="1259"/>
    <col min="5635" max="5635" width="112.85546875" style="1259" customWidth="1"/>
    <col min="5636" max="5888" width="9.140625" style="1259"/>
    <col min="5889" max="5889" width="2.42578125" style="1259" customWidth="1"/>
    <col min="5890" max="5890" width="9.140625" style="1259"/>
    <col min="5891" max="5891" width="112.85546875" style="1259" customWidth="1"/>
    <col min="5892" max="6144" width="9.140625" style="1259"/>
    <col min="6145" max="6145" width="2.42578125" style="1259" customWidth="1"/>
    <col min="6146" max="6146" width="9.140625" style="1259"/>
    <col min="6147" max="6147" width="112.85546875" style="1259" customWidth="1"/>
    <col min="6148" max="6400" width="9.140625" style="1259"/>
    <col min="6401" max="6401" width="2.42578125" style="1259" customWidth="1"/>
    <col min="6402" max="6402" width="9.140625" style="1259"/>
    <col min="6403" max="6403" width="112.85546875" style="1259" customWidth="1"/>
    <col min="6404" max="6656" width="9.140625" style="1259"/>
    <col min="6657" max="6657" width="2.42578125" style="1259" customWidth="1"/>
    <col min="6658" max="6658" width="9.140625" style="1259"/>
    <col min="6659" max="6659" width="112.85546875" style="1259" customWidth="1"/>
    <col min="6660" max="6912" width="9.140625" style="1259"/>
    <col min="6913" max="6913" width="2.42578125" style="1259" customWidth="1"/>
    <col min="6914" max="6914" width="9.140625" style="1259"/>
    <col min="6915" max="6915" width="112.85546875" style="1259" customWidth="1"/>
    <col min="6916" max="7168" width="9.140625" style="1259"/>
    <col min="7169" max="7169" width="2.42578125" style="1259" customWidth="1"/>
    <col min="7170" max="7170" width="9.140625" style="1259"/>
    <col min="7171" max="7171" width="112.85546875" style="1259" customWidth="1"/>
    <col min="7172" max="7424" width="9.140625" style="1259"/>
    <col min="7425" max="7425" width="2.42578125" style="1259" customWidth="1"/>
    <col min="7426" max="7426" width="9.140625" style="1259"/>
    <col min="7427" max="7427" width="112.85546875" style="1259" customWidth="1"/>
    <col min="7428" max="7680" width="9.140625" style="1259"/>
    <col min="7681" max="7681" width="2.42578125" style="1259" customWidth="1"/>
    <col min="7682" max="7682" width="9.140625" style="1259"/>
    <col min="7683" max="7683" width="112.85546875" style="1259" customWidth="1"/>
    <col min="7684" max="7936" width="9.140625" style="1259"/>
    <col min="7937" max="7937" width="2.42578125" style="1259" customWidth="1"/>
    <col min="7938" max="7938" width="9.140625" style="1259"/>
    <col min="7939" max="7939" width="112.85546875" style="1259" customWidth="1"/>
    <col min="7940" max="8192" width="9.140625" style="1259"/>
    <col min="8193" max="8193" width="2.42578125" style="1259" customWidth="1"/>
    <col min="8194" max="8194" width="9.140625" style="1259"/>
    <col min="8195" max="8195" width="112.85546875" style="1259" customWidth="1"/>
    <col min="8196" max="8448" width="9.140625" style="1259"/>
    <col min="8449" max="8449" width="2.42578125" style="1259" customWidth="1"/>
    <col min="8450" max="8450" width="9.140625" style="1259"/>
    <col min="8451" max="8451" width="112.85546875" style="1259" customWidth="1"/>
    <col min="8452" max="8704" width="9.140625" style="1259"/>
    <col min="8705" max="8705" width="2.42578125" style="1259" customWidth="1"/>
    <col min="8706" max="8706" width="9.140625" style="1259"/>
    <col min="8707" max="8707" width="112.85546875" style="1259" customWidth="1"/>
    <col min="8708" max="8960" width="9.140625" style="1259"/>
    <col min="8961" max="8961" width="2.42578125" style="1259" customWidth="1"/>
    <col min="8962" max="8962" width="9.140625" style="1259"/>
    <col min="8963" max="8963" width="112.85546875" style="1259" customWidth="1"/>
    <col min="8964" max="9216" width="9.140625" style="1259"/>
    <col min="9217" max="9217" width="2.42578125" style="1259" customWidth="1"/>
    <col min="9218" max="9218" width="9.140625" style="1259"/>
    <col min="9219" max="9219" width="112.85546875" style="1259" customWidth="1"/>
    <col min="9220" max="9472" width="9.140625" style="1259"/>
    <col min="9473" max="9473" width="2.42578125" style="1259" customWidth="1"/>
    <col min="9474" max="9474" width="9.140625" style="1259"/>
    <col min="9475" max="9475" width="112.85546875" style="1259" customWidth="1"/>
    <col min="9476" max="9728" width="9.140625" style="1259"/>
    <col min="9729" max="9729" width="2.42578125" style="1259" customWidth="1"/>
    <col min="9730" max="9730" width="9.140625" style="1259"/>
    <col min="9731" max="9731" width="112.85546875" style="1259" customWidth="1"/>
    <col min="9732" max="9984" width="9.140625" style="1259"/>
    <col min="9985" max="9985" width="2.42578125" style="1259" customWidth="1"/>
    <col min="9986" max="9986" width="9.140625" style="1259"/>
    <col min="9987" max="9987" width="112.85546875" style="1259" customWidth="1"/>
    <col min="9988" max="10240" width="9.140625" style="1259"/>
    <col min="10241" max="10241" width="2.42578125" style="1259" customWidth="1"/>
    <col min="10242" max="10242" width="9.140625" style="1259"/>
    <col min="10243" max="10243" width="112.85546875" style="1259" customWidth="1"/>
    <col min="10244" max="10496" width="9.140625" style="1259"/>
    <col min="10497" max="10497" width="2.42578125" style="1259" customWidth="1"/>
    <col min="10498" max="10498" width="9.140625" style="1259"/>
    <col min="10499" max="10499" width="112.85546875" style="1259" customWidth="1"/>
    <col min="10500" max="10752" width="9.140625" style="1259"/>
    <col min="10753" max="10753" width="2.42578125" style="1259" customWidth="1"/>
    <col min="10754" max="10754" width="9.140625" style="1259"/>
    <col min="10755" max="10755" width="112.85546875" style="1259" customWidth="1"/>
    <col min="10756" max="11008" width="9.140625" style="1259"/>
    <col min="11009" max="11009" width="2.42578125" style="1259" customWidth="1"/>
    <col min="11010" max="11010" width="9.140625" style="1259"/>
    <col min="11011" max="11011" width="112.85546875" style="1259" customWidth="1"/>
    <col min="11012" max="11264" width="9.140625" style="1259"/>
    <col min="11265" max="11265" width="2.42578125" style="1259" customWidth="1"/>
    <col min="11266" max="11266" width="9.140625" style="1259"/>
    <col min="11267" max="11267" width="112.85546875" style="1259" customWidth="1"/>
    <col min="11268" max="11520" width="9.140625" style="1259"/>
    <col min="11521" max="11521" width="2.42578125" style="1259" customWidth="1"/>
    <col min="11522" max="11522" width="9.140625" style="1259"/>
    <col min="11523" max="11523" width="112.85546875" style="1259" customWidth="1"/>
    <col min="11524" max="11776" width="9.140625" style="1259"/>
    <col min="11777" max="11777" width="2.42578125" style="1259" customWidth="1"/>
    <col min="11778" max="11778" width="9.140625" style="1259"/>
    <col min="11779" max="11779" width="112.85546875" style="1259" customWidth="1"/>
    <col min="11780" max="12032" width="9.140625" style="1259"/>
    <col min="12033" max="12033" width="2.42578125" style="1259" customWidth="1"/>
    <col min="12034" max="12034" width="9.140625" style="1259"/>
    <col min="12035" max="12035" width="112.85546875" style="1259" customWidth="1"/>
    <col min="12036" max="12288" width="9.140625" style="1259"/>
    <col min="12289" max="12289" width="2.42578125" style="1259" customWidth="1"/>
    <col min="12290" max="12290" width="9.140625" style="1259"/>
    <col min="12291" max="12291" width="112.85546875" style="1259" customWidth="1"/>
    <col min="12292" max="12544" width="9.140625" style="1259"/>
    <col min="12545" max="12545" width="2.42578125" style="1259" customWidth="1"/>
    <col min="12546" max="12546" width="9.140625" style="1259"/>
    <col min="12547" max="12547" width="112.85546875" style="1259" customWidth="1"/>
    <col min="12548" max="12800" width="9.140625" style="1259"/>
    <col min="12801" max="12801" width="2.42578125" style="1259" customWidth="1"/>
    <col min="12802" max="12802" width="9.140625" style="1259"/>
    <col min="12803" max="12803" width="112.85546875" style="1259" customWidth="1"/>
    <col min="12804" max="13056" width="9.140625" style="1259"/>
    <col min="13057" max="13057" width="2.42578125" style="1259" customWidth="1"/>
    <col min="13058" max="13058" width="9.140625" style="1259"/>
    <col min="13059" max="13059" width="112.85546875" style="1259" customWidth="1"/>
    <col min="13060" max="13312" width="9.140625" style="1259"/>
    <col min="13313" max="13313" width="2.42578125" style="1259" customWidth="1"/>
    <col min="13314" max="13314" width="9.140625" style="1259"/>
    <col min="13315" max="13315" width="112.85546875" style="1259" customWidth="1"/>
    <col min="13316" max="13568" width="9.140625" style="1259"/>
    <col min="13569" max="13569" width="2.42578125" style="1259" customWidth="1"/>
    <col min="13570" max="13570" width="9.140625" style="1259"/>
    <col min="13571" max="13571" width="112.85546875" style="1259" customWidth="1"/>
    <col min="13572" max="13824" width="9.140625" style="1259"/>
    <col min="13825" max="13825" width="2.42578125" style="1259" customWidth="1"/>
    <col min="13826" max="13826" width="9.140625" style="1259"/>
    <col min="13827" max="13827" width="112.85546875" style="1259" customWidth="1"/>
    <col min="13828" max="14080" width="9.140625" style="1259"/>
    <col min="14081" max="14081" width="2.42578125" style="1259" customWidth="1"/>
    <col min="14082" max="14082" width="9.140625" style="1259"/>
    <col min="14083" max="14083" width="112.85546875" style="1259" customWidth="1"/>
    <col min="14084" max="14336" width="9.140625" style="1259"/>
    <col min="14337" max="14337" width="2.42578125" style="1259" customWidth="1"/>
    <col min="14338" max="14338" width="9.140625" style="1259"/>
    <col min="14339" max="14339" width="112.85546875" style="1259" customWidth="1"/>
    <col min="14340" max="14592" width="9.140625" style="1259"/>
    <col min="14593" max="14593" width="2.42578125" style="1259" customWidth="1"/>
    <col min="14594" max="14594" width="9.140625" style="1259"/>
    <col min="14595" max="14595" width="112.85546875" style="1259" customWidth="1"/>
    <col min="14596" max="14848" width="9.140625" style="1259"/>
    <col min="14849" max="14849" width="2.42578125" style="1259" customWidth="1"/>
    <col min="14850" max="14850" width="9.140625" style="1259"/>
    <col min="14851" max="14851" width="112.85546875" style="1259" customWidth="1"/>
    <col min="14852" max="15104" width="9.140625" style="1259"/>
    <col min="15105" max="15105" width="2.42578125" style="1259" customWidth="1"/>
    <col min="15106" max="15106" width="9.140625" style="1259"/>
    <col min="15107" max="15107" width="112.85546875" style="1259" customWidth="1"/>
    <col min="15108" max="15360" width="9.140625" style="1259"/>
    <col min="15361" max="15361" width="2.42578125" style="1259" customWidth="1"/>
    <col min="15362" max="15362" width="9.140625" style="1259"/>
    <col min="15363" max="15363" width="112.85546875" style="1259" customWidth="1"/>
    <col min="15364" max="15616" width="9.140625" style="1259"/>
    <col min="15617" max="15617" width="2.42578125" style="1259" customWidth="1"/>
    <col min="15618" max="15618" width="9.140625" style="1259"/>
    <col min="15619" max="15619" width="112.85546875" style="1259" customWidth="1"/>
    <col min="15620" max="15872" width="9.140625" style="1259"/>
    <col min="15873" max="15873" width="2.42578125" style="1259" customWidth="1"/>
    <col min="15874" max="15874" width="9.140625" style="1259"/>
    <col min="15875" max="15875" width="112.85546875" style="1259" customWidth="1"/>
    <col min="15876" max="16128" width="9.140625" style="1259"/>
    <col min="16129" max="16129" width="2.42578125" style="1259" customWidth="1"/>
    <col min="16130" max="16130" width="9.140625" style="1259"/>
    <col min="16131" max="16131" width="112.85546875" style="1259" customWidth="1"/>
    <col min="16132" max="16384" width="9.140625" style="1259"/>
  </cols>
  <sheetData>
    <row r="1" spans="2:3" ht="18.75">
      <c r="B1" s="1257" t="s">
        <v>1966</v>
      </c>
      <c r="C1" s="1258"/>
    </row>
    <row r="2" spans="2:3" ht="18.75">
      <c r="B2" s="1257" t="s">
        <v>2542</v>
      </c>
      <c r="C2" s="1258"/>
    </row>
    <row r="3" spans="2:3" ht="12.75" thickBot="1">
      <c r="B3" s="1260"/>
      <c r="C3" s="1261"/>
    </row>
    <row r="4" spans="2:3" ht="34.5" customHeight="1">
      <c r="B4" s="2230" t="s">
        <v>1969</v>
      </c>
      <c r="C4" s="2231"/>
    </row>
    <row r="5" spans="2:3" ht="15">
      <c r="B5" s="1262"/>
      <c r="C5" s="1263"/>
    </row>
    <row r="6" spans="2:3" ht="47.25" customHeight="1">
      <c r="B6" s="2232" t="s">
        <v>1961</v>
      </c>
      <c r="C6" s="2233"/>
    </row>
    <row r="7" spans="2:3" ht="15">
      <c r="B7" s="1262"/>
      <c r="C7" s="1263"/>
    </row>
    <row r="8" spans="2:3" ht="15">
      <c r="B8" s="1264" t="s">
        <v>1962</v>
      </c>
      <c r="C8" s="1265"/>
    </row>
    <row r="9" spans="2:3" ht="138" customHeight="1">
      <c r="B9" s="1266"/>
      <c r="C9" s="1267" t="s">
        <v>2467</v>
      </c>
    </row>
    <row r="10" spans="2:3" ht="15">
      <c r="B10" s="1266"/>
      <c r="C10" s="1265"/>
    </row>
    <row r="11" spans="2:3" ht="15">
      <c r="B11" s="1264" t="s">
        <v>1963</v>
      </c>
      <c r="C11" s="1265"/>
    </row>
    <row r="12" spans="2:3" ht="45">
      <c r="B12" s="1266"/>
      <c r="C12" s="1267" t="s">
        <v>1968</v>
      </c>
    </row>
    <row r="13" spans="2:3" ht="15">
      <c r="B13" s="1266"/>
      <c r="C13" s="1265"/>
    </row>
    <row r="14" spans="2:3" ht="15">
      <c r="B14" s="1264" t="s">
        <v>1964</v>
      </c>
      <c r="C14" s="1265"/>
    </row>
    <row r="15" spans="2:3" ht="30">
      <c r="B15" s="1266"/>
      <c r="C15" s="1267" t="s">
        <v>1965</v>
      </c>
    </row>
    <row r="16" spans="2:3" ht="15.75" thickBot="1">
      <c r="B16" s="1268"/>
      <c r="C16" s="1269"/>
    </row>
    <row r="18" spans="2:3" ht="30.75" customHeight="1">
      <c r="B18" s="2234" t="s">
        <v>1967</v>
      </c>
      <c r="C18" s="2235"/>
    </row>
  </sheetData>
  <sheetProtection sheet="1" objects="1" scenarios="1"/>
  <mergeCells count="3">
    <mergeCell ref="B4:C4"/>
    <mergeCell ref="B6:C6"/>
    <mergeCell ref="B18:C18"/>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theme="0" tint="-0.249977111117893"/>
  </sheetPr>
  <dimension ref="A1:AA114"/>
  <sheetViews>
    <sheetView showGridLines="0" zoomScaleNormal="100" workbookViewId="0">
      <selection activeCell="C22" sqref="C22"/>
    </sheetView>
  </sheetViews>
  <sheetFormatPr defaultRowHeight="12"/>
  <cols>
    <col min="1" max="1" width="9.140625" style="1863"/>
    <col min="2" max="2" width="28.5703125" style="1863" customWidth="1"/>
    <col min="3" max="8" width="17.42578125" style="1863" customWidth="1"/>
    <col min="9" max="10" width="9.140625" style="1863"/>
    <col min="11" max="13" width="13.42578125" style="1863" customWidth="1"/>
    <col min="14" max="14" width="9.140625" style="1863"/>
    <col min="15" max="16" width="0" style="1863" hidden="1" customWidth="1"/>
    <col min="17" max="27" width="12.5703125" style="1863" customWidth="1"/>
    <col min="28" max="16384" width="9.140625" style="1863"/>
  </cols>
  <sheetData>
    <row r="1" spans="2:27" ht="12.75" thickBot="1"/>
    <row r="2" spans="2:27">
      <c r="B2" s="2574" t="s">
        <v>2342</v>
      </c>
      <c r="C2" s="2575"/>
      <c r="D2" s="2575"/>
      <c r="E2" s="2575"/>
      <c r="F2" s="2575"/>
      <c r="G2" s="2575"/>
      <c r="H2" s="2576"/>
    </row>
    <row r="3" spans="2:27">
      <c r="B3" s="2577"/>
      <c r="C3" s="2578"/>
      <c r="D3" s="2578"/>
      <c r="E3" s="2578"/>
      <c r="F3" s="2578"/>
      <c r="G3" s="2578"/>
      <c r="H3" s="2579"/>
    </row>
    <row r="4" spans="2:27" ht="12.75" thickBot="1">
      <c r="B4" s="2580"/>
      <c r="C4" s="2581"/>
      <c r="D4" s="2581"/>
      <c r="E4" s="2581"/>
      <c r="F4" s="2581"/>
      <c r="G4" s="2581"/>
      <c r="H4" s="2582"/>
    </row>
    <row r="5" spans="2:27" ht="12.75" thickBot="1">
      <c r="B5" s="1864" t="s">
        <v>2343</v>
      </c>
      <c r="C5" s="1865"/>
      <c r="D5" s="1865"/>
      <c r="E5" s="1865"/>
      <c r="F5" s="1865"/>
      <c r="G5" s="1865"/>
      <c r="H5" s="1866"/>
    </row>
    <row r="6" spans="2:27" ht="11.25" customHeight="1" thickBot="1">
      <c r="B6" s="1867"/>
      <c r="C6" s="1868"/>
      <c r="D6" s="1868"/>
      <c r="E6" s="1868"/>
      <c r="F6" s="1868"/>
      <c r="G6" s="1868"/>
      <c r="H6" s="1869"/>
      <c r="N6" s="2167"/>
      <c r="P6" s="2163"/>
      <c r="Q6" s="2168" t="s">
        <v>2530</v>
      </c>
      <c r="R6" s="2163"/>
      <c r="T6" s="2163"/>
      <c r="U6" s="2163" t="s">
        <v>2531</v>
      </c>
      <c r="V6" s="2163"/>
      <c r="X6" s="1974"/>
      <c r="Y6" s="2163" t="s">
        <v>2532</v>
      </c>
    </row>
    <row r="7" spans="2:27" ht="15.75" thickBot="1">
      <c r="B7" s="1870" t="s">
        <v>2456</v>
      </c>
      <c r="C7" s="1871"/>
      <c r="D7" s="1871"/>
      <c r="E7" s="1871"/>
      <c r="F7" s="1871"/>
      <c r="G7" s="1871"/>
      <c r="H7" s="1872"/>
      <c r="K7" s="2172" t="s">
        <v>2426</v>
      </c>
      <c r="L7" s="1970" t="s">
        <v>2427</v>
      </c>
      <c r="M7" s="1971" t="s">
        <v>2432</v>
      </c>
      <c r="N7" s="2169"/>
      <c r="O7" s="2169"/>
      <c r="Q7" s="2172" t="s">
        <v>2426</v>
      </c>
      <c r="R7" s="1970" t="s">
        <v>2427</v>
      </c>
      <c r="S7" s="1971" t="s">
        <v>2533</v>
      </c>
      <c r="T7" s="1974"/>
      <c r="U7" s="2172" t="s">
        <v>2426</v>
      </c>
      <c r="V7" s="1970" t="s">
        <v>2427</v>
      </c>
      <c r="W7" s="1971" t="s">
        <v>2533</v>
      </c>
      <c r="X7" s="1974"/>
      <c r="Y7" s="2172" t="s">
        <v>2426</v>
      </c>
      <c r="Z7" s="1970" t="s">
        <v>2427</v>
      </c>
      <c r="AA7" s="1971" t="s">
        <v>2533</v>
      </c>
    </row>
    <row r="8" spans="2:27" ht="15.75" thickBot="1">
      <c r="B8" s="1873" t="s">
        <v>2458</v>
      </c>
      <c r="C8" s="1871"/>
      <c r="D8" s="1871"/>
      <c r="E8" s="1871"/>
      <c r="F8" s="1871"/>
      <c r="G8" s="1871"/>
      <c r="H8" s="1872"/>
      <c r="K8" s="1972" t="s">
        <v>2348</v>
      </c>
      <c r="L8" s="1973">
        <f>IF('Prescriptive Path'!$D$8="V6.1",'Funding Overview'!R8,IF('Prescriptive Path'!$D$8="V6.2",'Funding Overview'!V8,'Funding Overview'!Z8))</f>
        <v>0</v>
      </c>
      <c r="M8" s="1973">
        <f>IF('Prescriptive Path'!$D$8="V6.1",'Funding Overview'!S8,IF('Prescriptive Path'!$D$8="V6.2",'Funding Overview'!W8,'Funding Overview'!AA8))</f>
        <v>0</v>
      </c>
      <c r="N8" s="2170"/>
      <c r="O8" s="2170"/>
      <c r="Q8" s="1972" t="s">
        <v>2348</v>
      </c>
      <c r="R8" s="2164">
        <v>0</v>
      </c>
      <c r="S8" s="2165">
        <v>0</v>
      </c>
      <c r="T8" s="1974"/>
      <c r="U8" s="1972" t="s">
        <v>2348</v>
      </c>
      <c r="V8" s="2164">
        <v>0</v>
      </c>
      <c r="W8" s="2165">
        <v>0</v>
      </c>
      <c r="X8" s="1974"/>
      <c r="Y8" s="1972" t="s">
        <v>2348</v>
      </c>
      <c r="Z8" s="2164">
        <v>0</v>
      </c>
      <c r="AA8" s="2165">
        <v>0</v>
      </c>
    </row>
    <row r="9" spans="2:27" ht="23.25" customHeight="1" thickBot="1">
      <c r="B9" s="2595" t="s">
        <v>2459</v>
      </c>
      <c r="C9" s="2596"/>
      <c r="D9" s="2596"/>
      <c r="E9" s="2596"/>
      <c r="F9" s="2596"/>
      <c r="G9" s="2596"/>
      <c r="H9" s="2597"/>
      <c r="K9" s="1972" t="s">
        <v>2350</v>
      </c>
      <c r="L9" s="1973">
        <f>IF('Prescriptive Path'!$D$8="V6.1",'Funding Overview'!R9,IF('Prescriptive Path'!$D$8="V6.2",'Funding Overview'!V9,'Funding Overview'!Z9))</f>
        <v>350</v>
      </c>
      <c r="M9" s="1973">
        <f>IF('Prescriptive Path'!$D$8="V6.1",'Funding Overview'!S9,IF('Prescriptive Path'!$D$8="V6.2",'Funding Overview'!W9,'Funding Overview'!AA9))</f>
        <v>125</v>
      </c>
      <c r="N9" s="2170"/>
      <c r="O9" s="2170"/>
      <c r="Q9" s="1972" t="s">
        <v>2350</v>
      </c>
      <c r="R9" s="2179">
        <v>500</v>
      </c>
      <c r="S9" s="2180">
        <v>315</v>
      </c>
      <c r="T9" s="1974"/>
      <c r="U9" s="1972" t="s">
        <v>2350</v>
      </c>
      <c r="V9" s="2179">
        <v>450</v>
      </c>
      <c r="W9" s="2180">
        <v>225</v>
      </c>
      <c r="X9" s="1974"/>
      <c r="Y9" s="1972" t="s">
        <v>2350</v>
      </c>
      <c r="Z9" s="2179">
        <v>350</v>
      </c>
      <c r="AA9" s="2180">
        <v>125</v>
      </c>
    </row>
    <row r="10" spans="2:27" ht="15.75" thickBot="1">
      <c r="B10" s="1870" t="s">
        <v>2457</v>
      </c>
      <c r="C10" s="1871"/>
      <c r="D10" s="1871"/>
      <c r="E10" s="1871"/>
      <c r="F10" s="1871"/>
      <c r="G10" s="1871"/>
      <c r="H10" s="1872"/>
      <c r="K10" s="1972" t="s">
        <v>2352</v>
      </c>
      <c r="L10" s="1973">
        <f>IF('Prescriptive Path'!$D$8="V6.1",'Funding Overview'!R10,IF('Prescriptive Path'!$D$8="V6.2",'Funding Overview'!V10,'Funding Overview'!Z10))</f>
        <v>350</v>
      </c>
      <c r="M10" s="1973">
        <f>IF('Prescriptive Path'!$D$8="V6.1",'Funding Overview'!S10,IF('Prescriptive Path'!$D$8="V6.2",'Funding Overview'!W10,'Funding Overview'!AA10))</f>
        <v>175</v>
      </c>
      <c r="N10" s="2170"/>
      <c r="O10" s="2170"/>
      <c r="Q10" s="1972" t="s">
        <v>2352</v>
      </c>
      <c r="R10" s="2179">
        <v>500</v>
      </c>
      <c r="S10" s="2180">
        <v>385</v>
      </c>
      <c r="T10" s="1974"/>
      <c r="U10" s="1972" t="s">
        <v>2352</v>
      </c>
      <c r="V10" s="2179">
        <v>450</v>
      </c>
      <c r="W10" s="2180">
        <v>275</v>
      </c>
      <c r="X10" s="1974"/>
      <c r="Y10" s="1972" t="s">
        <v>2352</v>
      </c>
      <c r="Z10" s="2179">
        <v>350</v>
      </c>
      <c r="AA10" s="2180">
        <v>175</v>
      </c>
    </row>
    <row r="11" spans="2:27" ht="15.75" thickBot="1">
      <c r="B11" s="1870" t="s">
        <v>2460</v>
      </c>
      <c r="C11" s="1871"/>
      <c r="D11" s="1871"/>
      <c r="E11" s="1871"/>
      <c r="F11" s="1871"/>
      <c r="G11" s="1871"/>
      <c r="H11" s="1872"/>
      <c r="K11" s="1972" t="s">
        <v>2428</v>
      </c>
      <c r="L11" s="1973">
        <f>IF('Prescriptive Path'!$D$8="V6.1",'Funding Overview'!R11,IF('Prescriptive Path'!$D$8="V6.2",'Funding Overview'!V11,'Funding Overview'!Z11))</f>
        <v>700</v>
      </c>
      <c r="M11" s="1973">
        <f>IF('Prescriptive Path'!$D$8="V6.1",'Funding Overview'!S11,IF('Prescriptive Path'!$D$8="V6.2",'Funding Overview'!W11,'Funding Overview'!AA11))</f>
        <v>300</v>
      </c>
      <c r="N11" s="2170"/>
      <c r="O11" s="2170"/>
      <c r="Q11" s="1972" t="s">
        <v>2428</v>
      </c>
      <c r="R11" s="2179">
        <v>1000</v>
      </c>
      <c r="S11" s="2180">
        <v>700</v>
      </c>
      <c r="T11" s="1974"/>
      <c r="U11" s="1972" t="s">
        <v>2428</v>
      </c>
      <c r="V11" s="2179">
        <v>900</v>
      </c>
      <c r="W11" s="2180">
        <v>500</v>
      </c>
      <c r="X11" s="1974"/>
      <c r="Y11" s="1972" t="s">
        <v>2428</v>
      </c>
      <c r="Z11" s="2179">
        <v>700</v>
      </c>
      <c r="AA11" s="2180">
        <v>300</v>
      </c>
    </row>
    <row r="12" spans="2:27" ht="15.75" thickBot="1">
      <c r="B12" s="1873" t="s">
        <v>2461</v>
      </c>
      <c r="C12" s="1871"/>
      <c r="D12" s="1871"/>
      <c r="E12" s="1871"/>
      <c r="F12" s="1871"/>
      <c r="G12" s="1871"/>
      <c r="H12" s="1872"/>
      <c r="K12" s="1974"/>
      <c r="L12" s="1974"/>
      <c r="M12" s="1974"/>
      <c r="N12" s="2171"/>
      <c r="O12" s="2171"/>
      <c r="Q12" s="1974"/>
      <c r="R12" s="1974"/>
      <c r="S12" s="1974"/>
      <c r="T12" s="1974"/>
      <c r="U12" s="1974"/>
      <c r="V12" s="1974"/>
      <c r="W12" s="1974"/>
      <c r="X12" s="1974"/>
      <c r="Y12" s="1974"/>
      <c r="Z12" s="1974"/>
      <c r="AA12" s="1974"/>
    </row>
    <row r="13" spans="2:27" ht="15.75" thickBot="1">
      <c r="B13" s="1873" t="s">
        <v>2462</v>
      </c>
      <c r="C13" s="1874"/>
      <c r="D13" s="1871"/>
      <c r="E13" s="1871"/>
      <c r="F13" s="1871"/>
      <c r="G13" s="1871"/>
      <c r="H13" s="1872"/>
      <c r="K13" s="2172" t="s">
        <v>2429</v>
      </c>
      <c r="L13" s="1970" t="s">
        <v>2427</v>
      </c>
      <c r="M13" s="1971" t="s">
        <v>2432</v>
      </c>
      <c r="N13" s="2169"/>
      <c r="O13" s="2169"/>
      <c r="Q13" s="2172" t="s">
        <v>2429</v>
      </c>
      <c r="R13" s="1970" t="s">
        <v>2427</v>
      </c>
      <c r="S13" s="1971" t="s">
        <v>2533</v>
      </c>
      <c r="T13" s="1974"/>
      <c r="U13" s="2172" t="s">
        <v>2429</v>
      </c>
      <c r="V13" s="1970" t="s">
        <v>2427</v>
      </c>
      <c r="W13" s="1971" t="s">
        <v>2533</v>
      </c>
      <c r="X13" s="1974"/>
      <c r="Y13" s="2172" t="s">
        <v>2429</v>
      </c>
      <c r="Z13" s="1970" t="s">
        <v>2427</v>
      </c>
      <c r="AA13" s="1971" t="s">
        <v>2533</v>
      </c>
    </row>
    <row r="14" spans="2:27" ht="15.75" thickBot="1">
      <c r="B14" s="1873" t="s">
        <v>2463</v>
      </c>
      <c r="C14" s="1874"/>
      <c r="D14" s="1871"/>
      <c r="E14" s="1871"/>
      <c r="F14" s="1871"/>
      <c r="G14" s="1871"/>
      <c r="H14" s="1872"/>
      <c r="K14" s="1972" t="s">
        <v>2348</v>
      </c>
      <c r="L14" s="1973">
        <f>IF('Prescriptive Path'!$D$8="V6.1",'Funding Overview'!R14,IF('Prescriptive Path'!$D$8="V6.2",'Funding Overview'!V14,'Funding Overview'!Z14))</f>
        <v>0</v>
      </c>
      <c r="M14" s="1973">
        <f>IF('Prescriptive Path'!$D$8="V6.1",'Funding Overview'!S14,IF('Prescriptive Path'!$D$8="V6.2",'Funding Overview'!W14,'Funding Overview'!AA14))</f>
        <v>0</v>
      </c>
      <c r="N14" s="2166"/>
      <c r="O14" s="2166"/>
      <c r="Q14" s="1972" t="s">
        <v>2348</v>
      </c>
      <c r="R14" s="2164">
        <v>0</v>
      </c>
      <c r="S14" s="2165">
        <v>0</v>
      </c>
      <c r="T14" s="1974"/>
      <c r="U14" s="1972" t="s">
        <v>2348</v>
      </c>
      <c r="V14" s="2164">
        <v>0</v>
      </c>
      <c r="W14" s="2165">
        <v>0</v>
      </c>
      <c r="X14" s="1974"/>
      <c r="Y14" s="1972" t="s">
        <v>2348</v>
      </c>
      <c r="Z14" s="2164">
        <v>0</v>
      </c>
      <c r="AA14" s="2165">
        <v>0</v>
      </c>
    </row>
    <row r="15" spans="2:27" ht="15.75" thickBot="1">
      <c r="B15" s="1870"/>
      <c r="C15" s="1871"/>
      <c r="D15" s="1871"/>
      <c r="E15" s="1871"/>
      <c r="F15" s="1871"/>
      <c r="G15" s="1875"/>
      <c r="H15" s="1876"/>
      <c r="K15" s="1972" t="s">
        <v>2350</v>
      </c>
      <c r="L15" s="1973">
        <f>IF('Prescriptive Path'!$D$8="V6.1",'Funding Overview'!R15,IF('Prescriptive Path'!$D$8="V6.2",'Funding Overview'!V15,'Funding Overview'!Z15))</f>
        <v>350</v>
      </c>
      <c r="M15" s="1973">
        <f>IF('Prescriptive Path'!$D$8="V6.1",'Funding Overview'!S15,IF('Prescriptive Path'!$D$8="V6.2",'Funding Overview'!W15,'Funding Overview'!AA15))</f>
        <v>125</v>
      </c>
      <c r="N15" s="2166"/>
      <c r="O15" s="2166"/>
      <c r="Q15" s="1972" t="s">
        <v>2350</v>
      </c>
      <c r="R15" s="2179">
        <v>500</v>
      </c>
      <c r="S15" s="2180">
        <v>315</v>
      </c>
      <c r="T15" s="1974"/>
      <c r="U15" s="1972" t="s">
        <v>2350</v>
      </c>
      <c r="V15" s="2179">
        <v>450</v>
      </c>
      <c r="W15" s="2180">
        <v>225</v>
      </c>
      <c r="X15" s="1974"/>
      <c r="Y15" s="1972" t="s">
        <v>2350</v>
      </c>
      <c r="Z15" s="2179">
        <v>350</v>
      </c>
      <c r="AA15" s="2180">
        <v>125</v>
      </c>
    </row>
    <row r="16" spans="2:27" ht="15.75" thickBot="1">
      <c r="B16" s="2583" t="s">
        <v>2344</v>
      </c>
      <c r="C16" s="2584"/>
      <c r="D16" s="1871"/>
      <c r="E16" s="1877" t="s">
        <v>2345</v>
      </c>
      <c r="F16" s="1874"/>
      <c r="G16" s="2585" t="s">
        <v>2346</v>
      </c>
      <c r="H16" s="2586"/>
      <c r="K16" s="1972" t="s">
        <v>2352</v>
      </c>
      <c r="L16" s="1973">
        <f>IF('Prescriptive Path'!$D$8="V6.1",'Funding Overview'!R16,IF('Prescriptive Path'!$D$8="V6.2",'Funding Overview'!V16,'Funding Overview'!Z16))</f>
        <v>350</v>
      </c>
      <c r="M16" s="1973">
        <f>IF('Prescriptive Path'!$D$8="V6.1",'Funding Overview'!S16,IF('Prescriptive Path'!$D$8="V6.2",'Funding Overview'!W16,'Funding Overview'!AA16))</f>
        <v>175</v>
      </c>
      <c r="N16" s="2166"/>
      <c r="O16" s="2166"/>
      <c r="Q16" s="1972" t="s">
        <v>2352</v>
      </c>
      <c r="R16" s="2179">
        <v>500</v>
      </c>
      <c r="S16" s="2180">
        <v>385</v>
      </c>
      <c r="T16" s="1974"/>
      <c r="U16" s="1972" t="s">
        <v>2352</v>
      </c>
      <c r="V16" s="2179">
        <v>450</v>
      </c>
      <c r="W16" s="2180">
        <v>275</v>
      </c>
      <c r="X16" s="1974"/>
      <c r="Y16" s="1972" t="s">
        <v>2352</v>
      </c>
      <c r="Z16" s="2179">
        <v>350</v>
      </c>
      <c r="AA16" s="2180">
        <v>175</v>
      </c>
    </row>
    <row r="17" spans="2:27" ht="15.75" thickBot="1">
      <c r="B17" s="1878" t="s">
        <v>2347</v>
      </c>
      <c r="C17" s="1879">
        <f>MIN(SUM(Savings!AK2:AK78),H20)</f>
        <v>0</v>
      </c>
      <c r="D17" s="1871"/>
      <c r="E17" s="1880" t="e">
        <f>C102/C103</f>
        <v>#DIV/0!</v>
      </c>
      <c r="F17" s="1874"/>
      <c r="G17" s="1881" t="s">
        <v>2348</v>
      </c>
      <c r="H17" s="1882" t="str">
        <f>IF('Prescriptive Path'!$D$7="","",IF('Prescriptive Path'!$I$4&lt;50,IF('Prescriptive Path'!$D$7="Affordable",L8*'Prescriptive Path'!$I$4,M8*'Prescriptive Path'!$I$4),IF('Prescriptive Path'!$D$7="Affordable",L14*'Prescriptive Path'!$I$4,M14*'Prescriptive Path'!$I$4)))</f>
        <v/>
      </c>
      <c r="K17" s="1972" t="s">
        <v>2428</v>
      </c>
      <c r="L17" s="1973">
        <f>IF('Prescriptive Path'!$D$8="V6.1",'Funding Overview'!R17,IF('Prescriptive Path'!$D$8="V6.2",'Funding Overview'!V17,'Funding Overview'!Z17))</f>
        <v>700</v>
      </c>
      <c r="M17" s="1973">
        <f>IF('Prescriptive Path'!$D$8="V6.1",'Funding Overview'!S17,IF('Prescriptive Path'!$D$8="V6.2",'Funding Overview'!W17,'Funding Overview'!AA17))</f>
        <v>300</v>
      </c>
      <c r="N17" s="2166"/>
      <c r="O17" s="2166"/>
      <c r="Q17" s="1972" t="s">
        <v>2428</v>
      </c>
      <c r="R17" s="2179">
        <v>1000</v>
      </c>
      <c r="S17" s="2180">
        <v>700</v>
      </c>
      <c r="T17" s="1974"/>
      <c r="U17" s="1972" t="s">
        <v>2428</v>
      </c>
      <c r="V17" s="2179">
        <v>900</v>
      </c>
      <c r="W17" s="2180">
        <v>500</v>
      </c>
      <c r="X17" s="1974"/>
      <c r="Y17" s="1972" t="s">
        <v>2428</v>
      </c>
      <c r="Z17" s="2179">
        <v>700</v>
      </c>
      <c r="AA17" s="2180">
        <v>300</v>
      </c>
    </row>
    <row r="18" spans="2:27">
      <c r="B18" s="1883" t="s">
        <v>2349</v>
      </c>
      <c r="C18" s="1884">
        <f>C17</f>
        <v>0</v>
      </c>
      <c r="D18" s="1871"/>
      <c r="E18" s="1871"/>
      <c r="F18" s="1874"/>
      <c r="G18" s="1881" t="s">
        <v>2350</v>
      </c>
      <c r="H18" s="1882" t="str">
        <f>IF('Prescriptive Path'!$D$7="","",IF('Prescriptive Path'!$I$4&lt;50,IF('Prescriptive Path'!$D$7="Affordable",L9*'Prescriptive Path'!$I$4,M9*'Prescriptive Path'!$I$4),IF('Prescriptive Path'!$D$7="Affordable",L15*'Prescriptive Path'!$I$4,M15*'Prescriptive Path'!$I$4)))</f>
        <v/>
      </c>
    </row>
    <row r="19" spans="2:27">
      <c r="B19" s="1885" t="s">
        <v>2351</v>
      </c>
      <c r="C19" s="1879">
        <f>IF(SUM(C40:C42)&gt;0,H20-C24,0)</f>
        <v>0</v>
      </c>
      <c r="D19" s="1871"/>
      <c r="E19" s="1875"/>
      <c r="F19" s="1886"/>
      <c r="G19" s="1881" t="s">
        <v>2352</v>
      </c>
      <c r="H19" s="1882" t="str">
        <f>IF('Prescriptive Path'!$D$7="","",IF('Prescriptive Path'!$I$4&lt;50,IF('Prescriptive Path'!$D$7="Affordable",L10*'Prescriptive Path'!$I$4,M10*'Prescriptive Path'!$I$4),IF('Prescriptive Path'!$D$7="Affordable",L16*'Prescriptive Path'!$I$4,M16*'Prescriptive Path'!$I$4)))</f>
        <v/>
      </c>
    </row>
    <row r="20" spans="2:27">
      <c r="B20" s="1885" t="s">
        <v>2353</v>
      </c>
      <c r="C20" s="1879">
        <f>Savings!J79</f>
        <v>0</v>
      </c>
      <c r="D20" s="1871"/>
      <c r="E20" s="1875"/>
      <c r="F20" s="1887"/>
      <c r="G20" s="2587" t="s">
        <v>2354</v>
      </c>
      <c r="H20" s="2589">
        <f>SUM(H17:H19)</f>
        <v>0</v>
      </c>
    </row>
    <row r="21" spans="2:27" ht="12.75" thickBot="1">
      <c r="B21" s="1888" t="s">
        <v>2355</v>
      </c>
      <c r="C21" s="1889" t="str">
        <f>IF(C18=H20,"100%",IFERROR(C18/C20,0%))</f>
        <v>100%</v>
      </c>
      <c r="D21" s="1890"/>
      <c r="E21" s="1875"/>
      <c r="G21" s="2588"/>
      <c r="H21" s="2590"/>
    </row>
    <row r="22" spans="2:27" ht="24">
      <c r="B22" s="1891" t="s">
        <v>2356</v>
      </c>
      <c r="C22" s="1879">
        <f>MIN(C20*0.5-C18,H20-C18)</f>
        <v>0</v>
      </c>
      <c r="D22" s="1892"/>
      <c r="E22" s="1893" t="s">
        <v>2357</v>
      </c>
      <c r="F22" s="1886"/>
      <c r="H22" s="1894"/>
    </row>
    <row r="23" spans="2:27">
      <c r="B23" s="1895" t="s">
        <v>2358</v>
      </c>
      <c r="C23" s="1884">
        <v>0</v>
      </c>
      <c r="E23" s="1896" t="str">
        <f>IF(C17=0,"",IF(C21&lt;50%,"Yes","No"))</f>
        <v/>
      </c>
      <c r="F23" s="1897"/>
      <c r="H23" s="1894"/>
    </row>
    <row r="24" spans="2:27">
      <c r="B24" s="1898" t="s">
        <v>2359</v>
      </c>
      <c r="C24" s="1879">
        <f>C18+C23</f>
        <v>0</v>
      </c>
      <c r="E24" s="1875"/>
      <c r="F24" s="1875"/>
      <c r="H24" s="1894"/>
    </row>
    <row r="25" spans="2:27" ht="24">
      <c r="B25" s="1898" t="s">
        <v>2360</v>
      </c>
      <c r="C25" s="2004" t="str">
        <f>IF(C18=H20,"",IFERROR(C24/C20,0))</f>
        <v/>
      </c>
      <c r="E25" s="1875"/>
      <c r="F25" s="1875"/>
      <c r="H25" s="1894"/>
    </row>
    <row r="26" spans="2:27" ht="12.75" thickBot="1">
      <c r="B26" s="1899"/>
      <c r="C26" s="1900"/>
      <c r="D26" s="1901"/>
      <c r="E26" s="1900"/>
      <c r="F26" s="1900"/>
      <c r="G26" s="1900"/>
      <c r="H26" s="1902"/>
    </row>
    <row r="27" spans="2:27" ht="12.75" thickBot="1">
      <c r="B27" s="2005" t="s">
        <v>2361</v>
      </c>
      <c r="C27" s="1903"/>
      <c r="D27" s="1903"/>
      <c r="E27" s="1903"/>
      <c r="F27" s="1903"/>
      <c r="G27" s="1903"/>
      <c r="H27" s="1904"/>
    </row>
    <row r="28" spans="2:27">
      <c r="B28" s="1867" t="s">
        <v>2362</v>
      </c>
      <c r="C28" s="1868"/>
      <c r="D28" s="1868"/>
      <c r="E28" s="1868"/>
      <c r="F28" s="1868"/>
      <c r="G28" s="1868"/>
      <c r="H28" s="1869"/>
    </row>
    <row r="29" spans="2:27">
      <c r="B29" s="1870" t="s">
        <v>2444</v>
      </c>
      <c r="C29" s="1871"/>
      <c r="D29" s="1871"/>
      <c r="E29" s="1871"/>
      <c r="F29" s="1871"/>
      <c r="G29" s="1905" t="s">
        <v>2363</v>
      </c>
      <c r="H29" s="1906" t="s">
        <v>2364</v>
      </c>
      <c r="Q29" s="2181" t="s">
        <v>2364</v>
      </c>
    </row>
    <row r="30" spans="2:27">
      <c r="B30" s="1870"/>
      <c r="C30" s="1871"/>
      <c r="D30" s="1871"/>
      <c r="E30" s="1871"/>
      <c r="F30" s="1871"/>
      <c r="G30" s="1871"/>
      <c r="H30" s="1872"/>
      <c r="Q30" s="2181" t="s">
        <v>2370</v>
      </c>
    </row>
    <row r="31" spans="2:27">
      <c r="B31" s="2591" t="s">
        <v>2365</v>
      </c>
      <c r="C31" s="1907" t="s">
        <v>2366</v>
      </c>
      <c r="D31" s="1908" t="s">
        <v>2367</v>
      </c>
      <c r="E31" s="2593" t="s">
        <v>2368</v>
      </c>
      <c r="F31" s="2594"/>
      <c r="G31" s="2593" t="s">
        <v>2369</v>
      </c>
      <c r="H31" s="2598"/>
      <c r="Q31" s="2181" t="s">
        <v>2372</v>
      </c>
    </row>
    <row r="32" spans="2:27">
      <c r="B32" s="2592"/>
      <c r="C32" s="1909" t="s">
        <v>2370</v>
      </c>
      <c r="D32" s="1910" t="s">
        <v>2371</v>
      </c>
      <c r="E32" s="2599" t="s">
        <v>2370</v>
      </c>
      <c r="F32" s="2600"/>
      <c r="G32" s="2601" t="s">
        <v>2372</v>
      </c>
      <c r="H32" s="2602"/>
    </row>
    <row r="33" spans="2:8">
      <c r="B33" s="1885" t="s">
        <v>2373</v>
      </c>
      <c r="C33" s="2011">
        <f>SUMIF(Savings!$AL$2:$AL$78,B33,Savings!$AK$2:$AK$78)</f>
        <v>0</v>
      </c>
      <c r="D33" s="2009">
        <f>SUMIF(Savings!$AL$2:$AL$78,B33,Savings!$AB$2:$AB$78)</f>
        <v>0</v>
      </c>
      <c r="E33" s="1911">
        <f>IF(C33&gt;0,C33/SUM($C$33:$C$36),0)*$C$24</f>
        <v>0</v>
      </c>
      <c r="F33" s="1912">
        <f>IF(C33&gt;0,C33/SUM($C$33:$C$36),0)</f>
        <v>0</v>
      </c>
      <c r="G33" s="1913">
        <f>IF(D33&gt;0,D33/SUM($D$33:$D$36),0)*$C$24</f>
        <v>0</v>
      </c>
      <c r="H33" s="1914">
        <f>IF(D33&gt;0,D33/SUM($D$33:$D$36),0)</f>
        <v>0</v>
      </c>
    </row>
    <row r="34" spans="2:8">
      <c r="B34" s="1885" t="s">
        <v>2374</v>
      </c>
      <c r="C34" s="2011">
        <f>SUMIF(Savings!$AL$2:$AL$78,B34,Savings!$AK$2:$AK$78)</f>
        <v>0</v>
      </c>
      <c r="D34" s="2009">
        <f>SUMIF(Savings!$AL$2:$AL$78,B34,Savings!$AB$2:$AB$78)</f>
        <v>0</v>
      </c>
      <c r="E34" s="1911">
        <f>IF(C34&gt;0,C34/SUM($C$33:$C$36),0)*$C$24</f>
        <v>0</v>
      </c>
      <c r="F34" s="1912">
        <f>IF(C34&gt;0,C34/SUM($C$33:$C$36),0)</f>
        <v>0</v>
      </c>
      <c r="G34" s="1913">
        <f>IF(D34&gt;0,D34/SUM($D$33:$D$36),0)*$C$24</f>
        <v>0</v>
      </c>
      <c r="H34" s="1914">
        <f>IF(D34&gt;0,D34/SUM($D$33:$D$36),0)</f>
        <v>0</v>
      </c>
    </row>
    <row r="35" spans="2:8">
      <c r="B35" s="1885" t="s">
        <v>2375</v>
      </c>
      <c r="C35" s="2011">
        <f>SUMIF(Savings!$AL$2:$AL$78,B35,Savings!$AK$2:$AK$78)</f>
        <v>0</v>
      </c>
      <c r="D35" s="2009">
        <f>SUMIF(Savings!$AL$2:$AL$78,B35,Savings!$AB$2:$AB$78)</f>
        <v>0</v>
      </c>
      <c r="E35" s="1911">
        <f>IF(C35&gt;0,C35/SUM($C$33:$C$36),0)*$C$24</f>
        <v>0</v>
      </c>
      <c r="F35" s="1912">
        <f>IF(C35&gt;0,C35/SUM($C$33:$C$36),0)</f>
        <v>0</v>
      </c>
      <c r="G35" s="1913">
        <f>IF(D35&gt;0,D35/SUM($D$33:$D$36),0)*$C$24</f>
        <v>0</v>
      </c>
      <c r="H35" s="1914">
        <f>IF(D35&gt;0,D35/SUM($D$33:$D$36),0)</f>
        <v>0</v>
      </c>
    </row>
    <row r="36" spans="2:8">
      <c r="B36" s="1885" t="s">
        <v>2376</v>
      </c>
      <c r="C36" s="2011">
        <f>SUMIF(Savings!$AL$2:$AL$78,B36,Savings!$AK$2:$AK$78)</f>
        <v>0</v>
      </c>
      <c r="D36" s="2009">
        <f>SUMIF(Savings!$AL$2:$AL$78,B36,Savings!$AB$2:$AB$78)</f>
        <v>0</v>
      </c>
      <c r="E36" s="1911">
        <f>IF(C36&gt;0,C36/SUM($C$33:$C$36),0)*$C$24</f>
        <v>0</v>
      </c>
      <c r="F36" s="1912">
        <f>IF(C36&gt;0,C36/SUM($C$33:$C$36),0)</f>
        <v>0</v>
      </c>
      <c r="G36" s="1913">
        <f>IF(D36&gt;0,D36/SUM($D$33:$D$36),0)*$C$24</f>
        <v>0</v>
      </c>
      <c r="H36" s="1914">
        <f>IF(D36&gt;0,D36/SUM($D$33:$D$36),0)</f>
        <v>0</v>
      </c>
    </row>
    <row r="37" spans="2:8">
      <c r="B37" s="1915"/>
      <c r="C37" s="1916"/>
      <c r="D37" s="1916"/>
      <c r="E37" s="1917"/>
      <c r="F37" s="1917"/>
      <c r="G37" s="1917"/>
      <c r="H37" s="1918"/>
    </row>
    <row r="38" spans="2:8">
      <c r="B38" s="2591" t="s">
        <v>2377</v>
      </c>
      <c r="C38" s="1907" t="s">
        <v>2366</v>
      </c>
      <c r="D38" s="1908" t="s">
        <v>2367</v>
      </c>
      <c r="E38" s="2593" t="s">
        <v>2378</v>
      </c>
      <c r="F38" s="2594"/>
      <c r="G38" s="2603" t="s">
        <v>2379</v>
      </c>
      <c r="H38" s="1919"/>
    </row>
    <row r="39" spans="2:8">
      <c r="B39" s="2592"/>
      <c r="C39" s="1909" t="s">
        <v>2370</v>
      </c>
      <c r="D39" s="1910" t="s">
        <v>2371</v>
      </c>
      <c r="E39" s="1920" t="s">
        <v>2380</v>
      </c>
      <c r="F39" s="1920" t="s">
        <v>1963</v>
      </c>
      <c r="G39" s="2604"/>
      <c r="H39" s="1919"/>
    </row>
    <row r="40" spans="2:8">
      <c r="B40" s="1885" t="s">
        <v>2381</v>
      </c>
      <c r="C40" s="2011">
        <v>0</v>
      </c>
      <c r="D40" s="2010">
        <v>0</v>
      </c>
      <c r="E40" s="1912">
        <v>0</v>
      </c>
      <c r="F40" s="1912">
        <v>0</v>
      </c>
      <c r="G40" s="1921">
        <v>0</v>
      </c>
      <c r="H40" s="1919"/>
    </row>
    <row r="41" spans="2:8">
      <c r="B41" s="1885" t="s">
        <v>2382</v>
      </c>
      <c r="C41" s="2011">
        <v>0</v>
      </c>
      <c r="D41" s="2010">
        <v>0</v>
      </c>
      <c r="E41" s="1912">
        <v>0</v>
      </c>
      <c r="F41" s="1912">
        <v>0</v>
      </c>
      <c r="G41" s="1921">
        <v>0</v>
      </c>
      <c r="H41" s="1876"/>
    </row>
    <row r="42" spans="2:8">
      <c r="B42" s="1885" t="s">
        <v>2383</v>
      </c>
      <c r="C42" s="2011">
        <v>0</v>
      </c>
      <c r="D42" s="2010">
        <v>0</v>
      </c>
      <c r="E42" s="1912">
        <v>0</v>
      </c>
      <c r="F42" s="1912">
        <v>0</v>
      </c>
      <c r="G42" s="1921">
        <v>0</v>
      </c>
      <c r="H42" s="1876"/>
    </row>
    <row r="43" spans="2:8">
      <c r="B43" s="1885" t="s">
        <v>2384</v>
      </c>
      <c r="C43" s="2011">
        <v>0</v>
      </c>
      <c r="D43" s="2010">
        <v>0</v>
      </c>
      <c r="E43" s="1912">
        <v>0</v>
      </c>
      <c r="F43" s="1912">
        <v>0</v>
      </c>
      <c r="G43" s="1875"/>
      <c r="H43" s="1876"/>
    </row>
    <row r="44" spans="2:8">
      <c r="B44" s="1885" t="s">
        <v>2385</v>
      </c>
      <c r="C44" s="2011">
        <v>0</v>
      </c>
      <c r="D44" s="2010">
        <v>0</v>
      </c>
      <c r="E44" s="1912">
        <v>0</v>
      </c>
      <c r="F44" s="1912">
        <v>0</v>
      </c>
      <c r="G44" s="1875"/>
      <c r="H44" s="1876"/>
    </row>
    <row r="45" spans="2:8">
      <c r="B45" s="1885" t="s">
        <v>2386</v>
      </c>
      <c r="C45" s="2011">
        <v>0</v>
      </c>
      <c r="D45" s="2010">
        <v>0</v>
      </c>
      <c r="E45" s="1912">
        <v>0</v>
      </c>
      <c r="F45" s="1912">
        <v>0</v>
      </c>
      <c r="G45" s="1875"/>
      <c r="H45" s="1876"/>
    </row>
    <row r="46" spans="2:8" ht="12.75" thickBot="1">
      <c r="B46" s="1899"/>
      <c r="C46" s="1900"/>
      <c r="D46" s="1900"/>
      <c r="E46" s="1900"/>
      <c r="F46" s="1900"/>
      <c r="G46" s="1900"/>
      <c r="H46" s="1902"/>
    </row>
    <row r="47" spans="2:8" ht="12.75" thickBot="1">
      <c r="B47" s="2006" t="s">
        <v>2387</v>
      </c>
      <c r="C47" s="1922"/>
      <c r="D47" s="1922"/>
      <c r="E47" s="1922"/>
      <c r="F47" s="1922"/>
      <c r="G47" s="1922"/>
      <c r="H47" s="1923"/>
    </row>
    <row r="48" spans="2:8">
      <c r="B48" s="1924" t="s">
        <v>2388</v>
      </c>
      <c r="C48" s="1925"/>
      <c r="D48" s="1925"/>
      <c r="E48" s="1926"/>
      <c r="F48" s="1926"/>
      <c r="G48" s="1925"/>
      <c r="H48" s="1927"/>
    </row>
    <row r="49" spans="2:8">
      <c r="B49" s="1928"/>
      <c r="C49" s="1875"/>
      <c r="D49" s="1929"/>
      <c r="E49" s="1929"/>
      <c r="F49" s="1929"/>
      <c r="G49" s="1875"/>
      <c r="H49" s="1876"/>
    </row>
    <row r="50" spans="2:8">
      <c r="B50" s="1928"/>
      <c r="C50" s="1930" t="s">
        <v>2389</v>
      </c>
      <c r="D50" s="1930" t="s">
        <v>2390</v>
      </c>
      <c r="E50" s="1931"/>
      <c r="F50" s="1931"/>
      <c r="G50" s="1929"/>
      <c r="H50" s="1932"/>
    </row>
    <row r="51" spans="2:8">
      <c r="B51" s="1933" t="s">
        <v>2391</v>
      </c>
      <c r="C51" s="1934">
        <f>IFERROR(C112*1.3/D112,0)</f>
        <v>0</v>
      </c>
      <c r="D51" s="1934">
        <f>IF('Prescriptive Path'!$D$7="Affordable",C107,IF('Prescriptive Path'!$D$7="Market-Rate",C106,0))</f>
        <v>0</v>
      </c>
      <c r="E51" s="2008"/>
      <c r="F51" s="1931"/>
      <c r="G51" s="1929"/>
      <c r="H51" s="1932"/>
    </row>
    <row r="52" spans="2:8">
      <c r="B52" s="1935" t="s">
        <v>2392</v>
      </c>
      <c r="C52" s="1934">
        <f>IFERROR(C113*1.3/D113,0)</f>
        <v>0</v>
      </c>
      <c r="D52" s="1934">
        <f>IF('Prescriptive Path'!$D$7="Affordable",C109,IF('Prescriptive Path'!$D$7="Market-Rate",C108,0))</f>
        <v>0</v>
      </c>
      <c r="E52" s="1931"/>
      <c r="F52" s="1931"/>
      <c r="G52" s="1931"/>
      <c r="H52" s="1936"/>
    </row>
    <row r="53" spans="2:8" ht="12.75" thickBot="1">
      <c r="B53" s="1937"/>
      <c r="C53" s="1938"/>
      <c r="D53" s="1938"/>
      <c r="E53" s="1938"/>
      <c r="F53" s="1938"/>
      <c r="G53" s="1938"/>
      <c r="H53" s="1939"/>
    </row>
    <row r="54" spans="2:8" ht="12.75" thickBot="1">
      <c r="B54" s="2007" t="s">
        <v>2434</v>
      </c>
      <c r="C54" s="1940"/>
      <c r="D54" s="1940"/>
      <c r="E54" s="1940"/>
      <c r="F54" s="1940"/>
      <c r="G54" s="1940"/>
      <c r="H54" s="1941"/>
    </row>
    <row r="55" spans="2:8">
      <c r="B55" s="1942" t="s">
        <v>2435</v>
      </c>
      <c r="C55" s="1944"/>
      <c r="D55" s="1944"/>
      <c r="E55" s="1944"/>
      <c r="F55" s="1944"/>
      <c r="G55" s="1944"/>
      <c r="H55" s="1945"/>
    </row>
    <row r="56" spans="2:8">
      <c r="B56" s="2012" t="s">
        <v>2443</v>
      </c>
      <c r="H56" s="1894"/>
    </row>
    <row r="57" spans="2:8">
      <c r="B57" s="2012" t="s">
        <v>2436</v>
      </c>
      <c r="H57" s="1894"/>
    </row>
    <row r="58" spans="2:8">
      <c r="B58" s="1950"/>
      <c r="H58" s="1894"/>
    </row>
    <row r="59" spans="2:8" ht="12" customHeight="1">
      <c r="B59" s="2558" t="s">
        <v>2395</v>
      </c>
      <c r="C59" s="2560" t="s">
        <v>2438</v>
      </c>
      <c r="D59" s="2560" t="s">
        <v>2439</v>
      </c>
      <c r="H59" s="1894"/>
    </row>
    <row r="60" spans="2:8" ht="24" customHeight="1">
      <c r="B60" s="2559"/>
      <c r="C60" s="2561"/>
      <c r="D60" s="2561" t="s">
        <v>2410</v>
      </c>
      <c r="H60" s="1894"/>
    </row>
    <row r="61" spans="2:8">
      <c r="B61" s="1952" t="s">
        <v>2397</v>
      </c>
      <c r="C61" s="1963">
        <f>C35+C36+C68</f>
        <v>0</v>
      </c>
      <c r="D61" s="1967">
        <f>IF(H29="Measure Cost",E35+E36,G35+G36)</f>
        <v>0</v>
      </c>
      <c r="E61" s="1968" t="str">
        <f>IF(D61&gt;C61,"Gas incentive cap is exceeded by incentives using the split chosen.","")</f>
        <v/>
      </c>
      <c r="H61" s="1894"/>
    </row>
    <row r="62" spans="2:8">
      <c r="B62" s="1952" t="s">
        <v>2399</v>
      </c>
      <c r="C62" s="1963">
        <f>C33+C34+C69</f>
        <v>0</v>
      </c>
      <c r="D62" s="1963">
        <f>IF(H29="Measure Cost",E33+E34,G33+G34)</f>
        <v>0</v>
      </c>
      <c r="E62" s="1968" t="str">
        <f>IF(D62&gt;C62,"Electric incentive cap is exceeded by incentives using the split chosen.","")</f>
        <v/>
      </c>
      <c r="H62" s="1894"/>
    </row>
    <row r="63" spans="2:8">
      <c r="B63" s="1952" t="s">
        <v>2401</v>
      </c>
      <c r="C63" s="1963">
        <v>0</v>
      </c>
      <c r="D63" s="1963">
        <f>IF(H29="Measure Cost",E90,F90)</f>
        <v>0</v>
      </c>
      <c r="H63" s="1894"/>
    </row>
    <row r="64" spans="2:8">
      <c r="B64" s="1950"/>
      <c r="C64" s="1969"/>
      <c r="D64" s="1969"/>
      <c r="H64" s="1894"/>
    </row>
    <row r="65" spans="1:8">
      <c r="A65" s="1894"/>
      <c r="B65" s="1954" t="s">
        <v>2411</v>
      </c>
      <c r="C65" s="2565"/>
      <c r="D65" s="2565"/>
      <c r="H65" s="1894"/>
    </row>
    <row r="66" spans="1:8">
      <c r="B66" s="1954" t="s">
        <v>2411</v>
      </c>
      <c r="C66" s="2566" t="s">
        <v>2455</v>
      </c>
      <c r="D66" s="2566"/>
      <c r="H66" s="1894"/>
    </row>
    <row r="67" spans="1:8">
      <c r="B67" s="1928"/>
      <c r="C67" s="1969"/>
      <c r="D67" s="1969"/>
      <c r="H67" s="1894"/>
    </row>
    <row r="68" spans="1:8">
      <c r="B68" s="1954" t="s">
        <v>2412</v>
      </c>
      <c r="C68" s="1963">
        <f>IF(H29="Measure cost", C23-C69,IF(C65="Split",C23-C69,IF(C65="Gas/Fuel Incentive Cap",C23,0)))</f>
        <v>0</v>
      </c>
      <c r="D68" s="1969"/>
      <c r="H68" s="1894"/>
    </row>
    <row r="69" spans="1:8">
      <c r="B69" s="1954" t="s">
        <v>2413</v>
      </c>
      <c r="C69" s="1963">
        <f>IF(H29="Measure cost", D62-C33-C34,IF(C65="Split",D62-C33-C34,IF(C65="Electric Incentive Cap",C23,0)))</f>
        <v>0</v>
      </c>
      <c r="D69" s="1969"/>
      <c r="H69" s="1894"/>
    </row>
    <row r="70" spans="1:8">
      <c r="B70" s="1950"/>
      <c r="C70" s="1969"/>
      <c r="D70" s="1969"/>
      <c r="H70" s="1894"/>
    </row>
    <row r="71" spans="1:8" ht="12.75" thickBot="1">
      <c r="B71" s="1965"/>
      <c r="C71" s="1901"/>
      <c r="D71" s="1901"/>
      <c r="E71" s="1901"/>
      <c r="F71" s="1901"/>
      <c r="G71" s="1901"/>
      <c r="H71" s="1966"/>
    </row>
    <row r="72" spans="1:8" ht="12.75" thickBot="1">
      <c r="B72" s="2007" t="s">
        <v>2433</v>
      </c>
      <c r="C72" s="1940"/>
      <c r="D72" s="1940"/>
      <c r="E72" s="1940"/>
      <c r="F72" s="1940"/>
      <c r="G72" s="1940"/>
      <c r="H72" s="1941"/>
    </row>
    <row r="73" spans="1:8">
      <c r="B73" s="1942" t="s">
        <v>2442</v>
      </c>
      <c r="C73" s="1943"/>
      <c r="D73" s="1944"/>
      <c r="E73" s="1944"/>
      <c r="F73" s="1944"/>
      <c r="G73" s="1944"/>
      <c r="H73" s="1945"/>
    </row>
    <row r="74" spans="1:8" ht="12.75" customHeight="1">
      <c r="B74" s="1946" t="s">
        <v>2441</v>
      </c>
      <c r="C74" s="1947"/>
      <c r="D74" s="1947"/>
      <c r="E74" s="1947"/>
      <c r="F74" s="1947"/>
      <c r="G74" s="1947"/>
      <c r="H74" s="1948"/>
    </row>
    <row r="75" spans="1:8" ht="12.75" customHeight="1">
      <c r="B75" s="1949" t="s">
        <v>2437</v>
      </c>
      <c r="C75" s="1947"/>
      <c r="D75" s="1947"/>
      <c r="E75" s="1947"/>
      <c r="F75" s="1947"/>
      <c r="G75" s="1947"/>
      <c r="H75" s="1948"/>
    </row>
    <row r="76" spans="1:8">
      <c r="B76" s="1950"/>
      <c r="C76" s="1951"/>
      <c r="H76" s="1894"/>
    </row>
    <row r="77" spans="1:8">
      <c r="B77" s="1952" t="s">
        <v>2393</v>
      </c>
      <c r="C77" s="1953" t="str">
        <f>IF('Prescriptive Path'!D3="","",'Prescriptive Path'!D3)</f>
        <v/>
      </c>
      <c r="H77" s="1894"/>
    </row>
    <row r="78" spans="1:8">
      <c r="B78" s="1954" t="s">
        <v>2394</v>
      </c>
      <c r="C78" s="1955">
        <f>C24+C19</f>
        <v>0</v>
      </c>
      <c r="H78" s="1894"/>
    </row>
    <row r="79" spans="1:8">
      <c r="B79" s="1950"/>
      <c r="H79" s="1894"/>
    </row>
    <row r="80" spans="1:8">
      <c r="B80" s="2558" t="s">
        <v>2395</v>
      </c>
      <c r="C80" s="2560" t="s">
        <v>2396</v>
      </c>
      <c r="H80" s="1894"/>
    </row>
    <row r="81" spans="2:8">
      <c r="B81" s="2559"/>
      <c r="C81" s="2561"/>
      <c r="H81" s="1894"/>
    </row>
    <row r="82" spans="2:8">
      <c r="B82" s="1952" t="s">
        <v>2397</v>
      </c>
      <c r="C82" s="1956">
        <f>C61</f>
        <v>0</v>
      </c>
      <c r="E82" s="1957" t="s">
        <v>2398</v>
      </c>
      <c r="F82" s="1958">
        <f>H35+H36</f>
        <v>0</v>
      </c>
      <c r="H82" s="1894"/>
    </row>
    <row r="83" spans="2:8">
      <c r="B83" s="1952" t="s">
        <v>2399</v>
      </c>
      <c r="C83" s="1959">
        <f>C62</f>
        <v>0</v>
      </c>
      <c r="E83" s="1957" t="s">
        <v>2400</v>
      </c>
      <c r="F83" s="1958">
        <f>H33+H34</f>
        <v>0</v>
      </c>
      <c r="H83" s="1894"/>
    </row>
    <row r="84" spans="2:8">
      <c r="B84" s="1952" t="s">
        <v>2401</v>
      </c>
      <c r="C84" s="1959">
        <f>C63</f>
        <v>0</v>
      </c>
      <c r="H84" s="1894"/>
    </row>
    <row r="85" spans="2:8">
      <c r="B85" s="1952" t="s">
        <v>2468</v>
      </c>
      <c r="C85" s="2051">
        <f>Savings!P79</f>
        <v>0</v>
      </c>
      <c r="E85" s="2563" t="str">
        <f>IF(H29="&lt;Select one&gt;","Complete cell H29",H29)</f>
        <v>Complete cell H29</v>
      </c>
      <c r="F85" s="2564"/>
      <c r="H85" s="1894"/>
    </row>
    <row r="86" spans="2:8">
      <c r="B86" s="1950"/>
      <c r="C86" s="1875"/>
      <c r="D86" s="2562" t="s">
        <v>2402</v>
      </c>
      <c r="E86" s="2562" t="s">
        <v>2403</v>
      </c>
      <c r="F86" s="2562" t="s">
        <v>2404</v>
      </c>
      <c r="H86" s="1894"/>
    </row>
    <row r="87" spans="2:8">
      <c r="B87" s="1928"/>
      <c r="C87" s="1875"/>
      <c r="D87" s="2562"/>
      <c r="E87" s="2562" t="s">
        <v>2403</v>
      </c>
      <c r="F87" s="2562" t="s">
        <v>2404</v>
      </c>
      <c r="G87" s="1960"/>
      <c r="H87" s="1894"/>
    </row>
    <row r="88" spans="2:8">
      <c r="B88" s="1961" t="s">
        <v>2405</v>
      </c>
      <c r="C88" s="1962" t="s">
        <v>2406</v>
      </c>
      <c r="D88" s="2570">
        <f>IF(C78=0,0,IF(C78&lt;H17,C78,H17))</f>
        <v>0</v>
      </c>
      <c r="E88" s="1963" t="e">
        <f>($D$88-$C$84)*C82/($C$82+$C$83)</f>
        <v>#DIV/0!</v>
      </c>
      <c r="F88" s="1963">
        <f>($D$88-$C$84)*F82</f>
        <v>0</v>
      </c>
      <c r="H88" s="1894"/>
    </row>
    <row r="89" spans="2:8">
      <c r="B89" s="1928"/>
      <c r="C89" s="1962" t="s">
        <v>1889</v>
      </c>
      <c r="D89" s="2570"/>
      <c r="E89" s="1963" t="e">
        <f>($D$88-$C$84)*C83/($C$82+$C$83)</f>
        <v>#DIV/0!</v>
      </c>
      <c r="F89" s="1963">
        <f>($D$88-$C$84)*F83</f>
        <v>0</v>
      </c>
      <c r="H89" s="1894"/>
    </row>
    <row r="90" spans="2:8">
      <c r="B90" s="1928"/>
      <c r="C90" s="1962" t="s">
        <v>2401</v>
      </c>
      <c r="D90" s="2570"/>
      <c r="E90" s="1963">
        <f>C84</f>
        <v>0</v>
      </c>
      <c r="F90" s="1963">
        <f>C84</f>
        <v>0</v>
      </c>
      <c r="H90" s="1894"/>
    </row>
    <row r="91" spans="2:8">
      <c r="B91" s="1961" t="s">
        <v>2407</v>
      </c>
      <c r="C91" s="1962" t="s">
        <v>2406</v>
      </c>
      <c r="D91" s="2571">
        <f>IF(C78=0,0,IF(C78&lt;H17,0,IF(C78&lt;(H17+H18),C78-H17,H18)))</f>
        <v>0</v>
      </c>
      <c r="E91" s="2013" t="e">
        <f>D91*C82/(C82+C83)</f>
        <v>#DIV/0!</v>
      </c>
      <c r="F91" s="1963">
        <f>$D$91*F82</f>
        <v>0</v>
      </c>
      <c r="H91" s="1894"/>
    </row>
    <row r="92" spans="2:8">
      <c r="B92" s="1928"/>
      <c r="C92" s="1962" t="s">
        <v>1889</v>
      </c>
      <c r="D92" s="2572"/>
      <c r="E92" s="2013" t="e">
        <f>D91*C83/(C82+C83)</f>
        <v>#DIV/0!</v>
      </c>
      <c r="F92" s="1963">
        <f>$D$91*F83</f>
        <v>0</v>
      </c>
      <c r="H92" s="1894"/>
    </row>
    <row r="93" spans="2:8">
      <c r="B93" s="1961" t="s">
        <v>2408</v>
      </c>
      <c r="C93" s="1962" t="s">
        <v>2406</v>
      </c>
      <c r="D93" s="2571">
        <f>IF(C78=0,0,IF(C78&lt;(H17+H18),0,IF(C78&lt;(H17+H18+H19),C78-H17-H18,H19)))</f>
        <v>0</v>
      </c>
      <c r="E93" s="2013" t="e">
        <f>D93*C82/(C82+C83)</f>
        <v>#DIV/0!</v>
      </c>
      <c r="F93" s="1963">
        <f>D93*F82</f>
        <v>0</v>
      </c>
      <c r="H93" s="1894"/>
    </row>
    <row r="94" spans="2:8">
      <c r="B94" s="1928"/>
      <c r="C94" s="1962" t="s">
        <v>1889</v>
      </c>
      <c r="D94" s="2572"/>
      <c r="E94" s="2013" t="e">
        <f>D93*C83/(C82+C83)</f>
        <v>#DIV/0!</v>
      </c>
      <c r="F94" s="1963">
        <f>D93*F83</f>
        <v>0</v>
      </c>
      <c r="H94" s="1894"/>
    </row>
    <row r="95" spans="2:8">
      <c r="B95" s="1961" t="s">
        <v>2409</v>
      </c>
      <c r="C95" s="1962" t="s">
        <v>2406</v>
      </c>
      <c r="D95" s="2573">
        <v>0</v>
      </c>
      <c r="E95" s="1964" t="e">
        <f>D95*C82/(C82+C83)</f>
        <v>#DIV/0!</v>
      </c>
      <c r="F95" s="1963">
        <f>D95*F82</f>
        <v>0</v>
      </c>
      <c r="H95" s="1894"/>
    </row>
    <row r="96" spans="2:8">
      <c r="B96" s="1950"/>
      <c r="C96" s="1957" t="s">
        <v>1889</v>
      </c>
      <c r="D96" s="2573"/>
      <c r="E96" s="1964" t="e">
        <f>D95*C83/(C82+C83)</f>
        <v>#DIV/0!</v>
      </c>
      <c r="F96" s="1963">
        <f>D95*F83</f>
        <v>0</v>
      </c>
      <c r="H96" s="1894"/>
    </row>
    <row r="97" spans="2:8" ht="12.75" thickBot="1">
      <c r="B97" s="1965"/>
      <c r="C97" s="1901"/>
      <c r="D97" s="1901"/>
      <c r="E97" s="1901"/>
      <c r="F97" s="1901"/>
      <c r="G97" s="1901"/>
      <c r="H97" s="1966"/>
    </row>
    <row r="98" spans="2:8" ht="6" customHeight="1" thickBot="1">
      <c r="B98" s="2031"/>
      <c r="C98" s="2032"/>
      <c r="D98" s="2032"/>
      <c r="E98" s="2032"/>
      <c r="F98" s="2032"/>
      <c r="G98" s="2032"/>
      <c r="H98" s="2033"/>
    </row>
    <row r="99" spans="2:8" ht="12.75" thickBot="1">
      <c r="B99" s="2567" t="s">
        <v>2414</v>
      </c>
      <c r="C99" s="2568"/>
      <c r="D99" s="2568"/>
      <c r="E99" s="2568"/>
      <c r="F99" s="2568"/>
      <c r="G99" s="2568"/>
      <c r="H99" s="2569"/>
    </row>
    <row r="100" spans="2:8" ht="6.75" customHeight="1" thickBot="1">
      <c r="B100" s="2034"/>
      <c r="C100" s="2035"/>
      <c r="D100" s="2035"/>
      <c r="E100" s="2035"/>
      <c r="F100" s="2035"/>
      <c r="G100" s="2035"/>
      <c r="H100" s="2036"/>
    </row>
    <row r="101" spans="2:8">
      <c r="B101" s="2018"/>
      <c r="C101" s="2019"/>
      <c r="D101" s="2019"/>
      <c r="E101" s="2019"/>
      <c r="F101" s="2019"/>
      <c r="G101" s="2019"/>
      <c r="H101" s="2020"/>
    </row>
    <row r="102" spans="2:8">
      <c r="B102" s="2021" t="s">
        <v>2415</v>
      </c>
      <c r="C102" s="2037">
        <f>SUM(Savings!$AI$2:$AI$78)</f>
        <v>0</v>
      </c>
      <c r="D102" s="2038"/>
      <c r="E102" s="2016"/>
      <c r="F102" s="2016"/>
      <c r="G102" s="2014"/>
      <c r="H102" s="2022"/>
    </row>
    <row r="103" spans="2:8">
      <c r="B103" s="2021" t="s">
        <v>2416</v>
      </c>
      <c r="C103" s="2037">
        <f>SUM(Savings!$AK$2:$AK$78)+0.3*MIN(C24,H20)-SUM(Savings!$W$2:$W$78)</f>
        <v>0</v>
      </c>
      <c r="D103" s="2038"/>
      <c r="E103" s="2015"/>
      <c r="F103" s="2015"/>
      <c r="G103" s="2014"/>
      <c r="H103" s="2022"/>
    </row>
    <row r="104" spans="2:8">
      <c r="B104" s="2023"/>
      <c r="C104" s="2038"/>
      <c r="D104" s="2038"/>
      <c r="E104" s="2015"/>
      <c r="F104" s="2015"/>
      <c r="G104" s="2016"/>
      <c r="H104" s="2024"/>
    </row>
    <row r="105" spans="2:8">
      <c r="B105" s="2025" t="s">
        <v>2417</v>
      </c>
      <c r="C105" s="2038"/>
      <c r="D105" s="2038"/>
      <c r="E105" s="2015"/>
      <c r="F105" s="2015"/>
      <c r="G105" s="2015"/>
      <c r="H105" s="2026"/>
    </row>
    <row r="106" spans="2:8">
      <c r="B106" s="2039" t="s">
        <v>2418</v>
      </c>
      <c r="C106" s="2040">
        <v>182</v>
      </c>
      <c r="D106" s="2038" t="s">
        <v>2419</v>
      </c>
      <c r="E106" s="2015"/>
      <c r="F106" s="2015"/>
      <c r="G106" s="2015"/>
      <c r="H106" s="2026"/>
    </row>
    <row r="107" spans="2:8">
      <c r="B107" s="2039" t="s">
        <v>2420</v>
      </c>
      <c r="C107" s="2040">
        <v>276</v>
      </c>
      <c r="D107" s="2038" t="s">
        <v>2419</v>
      </c>
      <c r="E107" s="2015"/>
      <c r="F107" s="2015"/>
      <c r="G107" s="2015"/>
      <c r="H107" s="2026"/>
    </row>
    <row r="108" spans="2:8">
      <c r="B108" s="2039" t="s">
        <v>2421</v>
      </c>
      <c r="C108" s="2040">
        <v>56</v>
      </c>
      <c r="D108" s="2041" t="s">
        <v>2422</v>
      </c>
      <c r="E108" s="2015"/>
      <c r="F108" s="2015"/>
      <c r="G108" s="2015"/>
      <c r="H108" s="2026"/>
    </row>
    <row r="109" spans="2:8">
      <c r="B109" s="2039" t="s">
        <v>2423</v>
      </c>
      <c r="C109" s="2040">
        <v>89</v>
      </c>
      <c r="D109" s="2041" t="s">
        <v>2422</v>
      </c>
      <c r="E109" s="2017"/>
      <c r="F109" s="2017"/>
      <c r="G109" s="2015"/>
      <c r="H109" s="2026"/>
    </row>
    <row r="110" spans="2:8">
      <c r="B110" s="2042"/>
      <c r="C110" s="2041"/>
      <c r="D110" s="2041"/>
      <c r="E110" s="2017"/>
      <c r="F110" s="2017"/>
      <c r="G110" s="2015"/>
      <c r="H110" s="2026"/>
    </row>
    <row r="111" spans="2:8">
      <c r="B111" s="2042"/>
      <c r="C111" s="2043" t="s">
        <v>2424</v>
      </c>
      <c r="D111" s="2043" t="s">
        <v>2425</v>
      </c>
      <c r="E111" s="2017"/>
      <c r="F111" s="2017"/>
      <c r="G111" s="2017"/>
      <c r="H111" s="2027"/>
    </row>
    <row r="112" spans="2:8">
      <c r="B112" s="2039" t="s">
        <v>2464</v>
      </c>
      <c r="C112" s="2044">
        <f>IF(H29="Measure Cost",E33+E34,IF(H29="Measure Savings",G33+G34,0))</f>
        <v>0</v>
      </c>
      <c r="D112" s="2045">
        <f>(Savings!$C$79+Savings!$D$79)/1000</f>
        <v>0</v>
      </c>
      <c r="E112" s="2017"/>
      <c r="F112" s="2017"/>
      <c r="G112" s="2017"/>
      <c r="H112" s="2027"/>
    </row>
    <row r="113" spans="2:8">
      <c r="B113" s="2046" t="s">
        <v>2465</v>
      </c>
      <c r="C113" s="2044">
        <f>IF(H29="Measure Cost",E35+E36,IF(H29="Measure Savings",G35+G36,0))</f>
        <v>0</v>
      </c>
      <c r="D113" s="2045">
        <f>(Savings!$E$79+Savings!$F$79)/10</f>
        <v>0</v>
      </c>
      <c r="E113" s="2017"/>
      <c r="F113" s="2017"/>
      <c r="G113" s="2017"/>
      <c r="H113" s="2027"/>
    </row>
    <row r="114" spans="2:8" ht="12.75" thickBot="1">
      <c r="B114" s="2028"/>
      <c r="C114" s="2029"/>
      <c r="D114" s="2029"/>
      <c r="E114" s="2029"/>
      <c r="F114" s="2029"/>
      <c r="G114" s="2029"/>
      <c r="H114" s="2030"/>
    </row>
  </sheetData>
  <mergeCells count="30">
    <mergeCell ref="B38:B39"/>
    <mergeCell ref="E38:F38"/>
    <mergeCell ref="B9:H9"/>
    <mergeCell ref="B31:B32"/>
    <mergeCell ref="E31:F31"/>
    <mergeCell ref="G31:H31"/>
    <mergeCell ref="E32:F32"/>
    <mergeCell ref="G32:H32"/>
    <mergeCell ref="G38:G39"/>
    <mergeCell ref="B2:H4"/>
    <mergeCell ref="B16:C16"/>
    <mergeCell ref="G16:H16"/>
    <mergeCell ref="G20:G21"/>
    <mergeCell ref="H20:H21"/>
    <mergeCell ref="B99:H99"/>
    <mergeCell ref="D88:D90"/>
    <mergeCell ref="D91:D92"/>
    <mergeCell ref="D93:D94"/>
    <mergeCell ref="D95:D96"/>
    <mergeCell ref="B59:B60"/>
    <mergeCell ref="C59:C60"/>
    <mergeCell ref="D59:D60"/>
    <mergeCell ref="D86:D87"/>
    <mergeCell ref="E86:E87"/>
    <mergeCell ref="E85:F85"/>
    <mergeCell ref="B80:B81"/>
    <mergeCell ref="C80:C81"/>
    <mergeCell ref="C65:D65"/>
    <mergeCell ref="F86:F87"/>
    <mergeCell ref="C66:D66"/>
  </mergeCells>
  <conditionalFormatting sqref="E85:F85">
    <cfRule type="expression" dxfId="37" priority="3">
      <formula>$E$85="Complete cell H29"</formula>
    </cfRule>
  </conditionalFormatting>
  <conditionalFormatting sqref="B65:D65">
    <cfRule type="expression" dxfId="36" priority="2">
      <formula>$H$29="Measure cost"</formula>
    </cfRule>
  </conditionalFormatting>
  <conditionalFormatting sqref="B66:D66">
    <cfRule type="expression" dxfId="35" priority="1">
      <formula>$H$29="Measure savings"</formula>
    </cfRule>
  </conditionalFormatting>
  <dataValidations count="3">
    <dataValidation type="list" allowBlank="1" showInputMessage="1" sqref="C65:D65">
      <formula1>"Gas/Fuel Incentive Cap, Electric Incentive Cap,Split"</formula1>
    </dataValidation>
    <dataValidation type="list" allowBlank="1" showInputMessage="1" showErrorMessage="1" sqref="H29">
      <formula1>SplitType</formula1>
    </dataValidation>
    <dataValidation allowBlank="1" showInputMessage="1" sqref="C66:D66"/>
  </dataValidations>
  <pageMargins left="0.7" right="0.7" top="0.75" bottom="0.75" header="0.3" footer="0.3"/>
  <pageSetup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FF00"/>
  </sheetPr>
  <dimension ref="A1:V86"/>
  <sheetViews>
    <sheetView showGridLines="0" zoomScale="90" zoomScaleNormal="90" zoomScaleSheetLayoutView="100" workbookViewId="0">
      <selection activeCell="B4" sqref="B4"/>
    </sheetView>
  </sheetViews>
  <sheetFormatPr defaultRowHeight="15"/>
  <cols>
    <col min="1" max="1" width="9.140625" style="787"/>
    <col min="2" max="3" width="9.140625" style="783"/>
    <col min="4" max="4" width="10" style="783" customWidth="1"/>
    <col min="5" max="5" width="9.140625" style="783" customWidth="1"/>
    <col min="6" max="16384" width="9.140625" style="783"/>
  </cols>
  <sheetData>
    <row r="1" spans="1:22">
      <c r="A1" s="781"/>
      <c r="B1" s="782" t="s">
        <v>548</v>
      </c>
    </row>
    <row r="2" spans="1:22">
      <c r="A2" s="781"/>
    </row>
    <row r="3" spans="1:22">
      <c r="A3" s="1407"/>
      <c r="B3" s="1401"/>
      <c r="C3" s="1401"/>
      <c r="D3" s="1401"/>
      <c r="E3" s="1401"/>
      <c r="F3" s="1401"/>
      <c r="G3" s="1401"/>
      <c r="H3" s="1401"/>
      <c r="I3" s="1401"/>
      <c r="J3" s="1401"/>
      <c r="K3" s="1401"/>
      <c r="L3" s="1401"/>
      <c r="M3" s="1401"/>
      <c r="N3" s="1401"/>
    </row>
    <row r="4" spans="1:22" ht="20.25">
      <c r="A4" s="1407"/>
      <c r="B4" s="1823" t="s">
        <v>1998</v>
      </c>
      <c r="C4" s="1824"/>
      <c r="D4" s="1824"/>
      <c r="E4" s="1824"/>
      <c r="F4" s="1824"/>
      <c r="G4" s="1824"/>
      <c r="H4" s="1824"/>
      <c r="I4" s="1401"/>
      <c r="J4" s="1401"/>
      <c r="K4" s="1401"/>
      <c r="L4" s="1401"/>
      <c r="M4" s="1401"/>
      <c r="N4" s="1401"/>
    </row>
    <row r="5" spans="1:22">
      <c r="A5" s="1407"/>
      <c r="B5" s="1401"/>
      <c r="C5" s="1401"/>
      <c r="D5" s="1401"/>
      <c r="E5" s="1401"/>
      <c r="F5" s="1401"/>
      <c r="G5" s="1401"/>
      <c r="H5" s="1401"/>
      <c r="I5" s="1401"/>
      <c r="J5" s="1401"/>
      <c r="K5" s="1401"/>
      <c r="L5" s="1401"/>
      <c r="M5" s="1401"/>
      <c r="N5" s="1401"/>
    </row>
    <row r="6" spans="1:22">
      <c r="A6" s="1407"/>
      <c r="B6" s="1425" t="s">
        <v>1997</v>
      </c>
      <c r="C6" s="1401"/>
      <c r="D6" s="1401"/>
      <c r="E6" s="1424"/>
      <c r="F6" s="1401"/>
      <c r="G6" s="1401"/>
      <c r="H6" s="1401"/>
      <c r="I6" s="1401"/>
      <c r="J6" s="1401"/>
      <c r="K6" s="1401"/>
      <c r="L6" s="1401"/>
      <c r="M6" s="1401"/>
      <c r="N6" s="1401"/>
    </row>
    <row r="7" spans="1:22">
      <c r="A7" s="1407"/>
      <c r="B7" s="1424" t="s">
        <v>550</v>
      </c>
      <c r="C7" s="1401"/>
      <c r="D7" s="1401"/>
      <c r="E7" s="1424"/>
      <c r="F7" s="1401"/>
      <c r="G7" s="1401"/>
      <c r="H7" s="1401"/>
      <c r="I7" s="1401"/>
      <c r="J7" s="1401"/>
      <c r="K7" s="1401"/>
      <c r="L7" s="1401"/>
      <c r="M7" s="1401"/>
      <c r="N7" s="1401"/>
    </row>
    <row r="8" spans="1:22">
      <c r="A8" s="1407"/>
      <c r="B8" s="1401"/>
      <c r="C8" s="1401"/>
      <c r="D8" s="1401"/>
      <c r="E8" s="1424"/>
      <c r="F8" s="1401"/>
      <c r="G8" s="1401"/>
      <c r="H8" s="1401"/>
      <c r="I8" s="1401"/>
      <c r="J8" s="1401"/>
      <c r="K8" s="1401"/>
      <c r="L8" s="1401"/>
      <c r="M8" s="1401"/>
      <c r="N8" s="1401"/>
    </row>
    <row r="9" spans="1:22">
      <c r="A9" s="1407">
        <v>1</v>
      </c>
      <c r="B9" s="1408" t="s">
        <v>551</v>
      </c>
      <c r="C9" s="1423"/>
      <c r="D9" s="1401"/>
      <c r="E9" s="1401"/>
      <c r="F9" s="1401"/>
      <c r="G9" s="1401"/>
      <c r="H9" s="1401"/>
      <c r="I9" s="1401"/>
      <c r="J9" s="1401"/>
      <c r="K9" s="1401"/>
      <c r="L9" s="1401"/>
      <c r="M9" s="1401"/>
      <c r="N9" s="1401"/>
    </row>
    <row r="10" spans="1:22">
      <c r="A10" s="1407"/>
      <c r="B10" s="1401"/>
      <c r="C10" s="1401"/>
      <c r="D10" s="1401"/>
      <c r="E10" s="1401"/>
      <c r="F10" s="1401"/>
      <c r="G10" s="1401"/>
      <c r="H10" s="1401"/>
      <c r="I10" s="1401"/>
      <c r="J10" s="1401"/>
      <c r="K10" s="1401"/>
      <c r="L10" s="1401"/>
      <c r="M10" s="1401"/>
      <c r="N10" s="1401"/>
    </row>
    <row r="11" spans="1:22">
      <c r="A11" s="1407">
        <v>1.1000000000000001</v>
      </c>
      <c r="B11" s="1408" t="s">
        <v>552</v>
      </c>
      <c r="C11" s="1423"/>
      <c r="D11" s="1401"/>
      <c r="E11" s="1401"/>
      <c r="F11" s="1401"/>
      <c r="G11" s="1401"/>
      <c r="H11" s="1401"/>
      <c r="I11" s="1401"/>
      <c r="J11" s="1401"/>
      <c r="K11" s="1401"/>
      <c r="L11" s="1401"/>
      <c r="M11" s="1401"/>
      <c r="N11" s="1401"/>
    </row>
    <row r="12" spans="1:22">
      <c r="A12" s="1407"/>
      <c r="B12" s="1401"/>
      <c r="C12" s="1401"/>
      <c r="D12" s="1401"/>
      <c r="E12" s="1401"/>
      <c r="F12" s="1401"/>
      <c r="G12" s="1401"/>
      <c r="H12" s="1401"/>
      <c r="I12" s="1401"/>
      <c r="J12" s="1401"/>
      <c r="K12" s="1401"/>
      <c r="L12" s="1401"/>
      <c r="M12" s="1401"/>
      <c r="N12" s="1401"/>
    </row>
    <row r="13" spans="1:22" ht="15.75" customHeight="1">
      <c r="A13" s="1407"/>
      <c r="B13" s="1422"/>
      <c r="C13" s="2606" t="s">
        <v>1996</v>
      </c>
      <c r="D13" s="2606"/>
      <c r="E13" s="2606"/>
      <c r="F13" s="2606"/>
      <c r="G13" s="2606"/>
      <c r="H13" s="2606"/>
      <c r="I13" s="2606"/>
      <c r="J13" s="2606"/>
      <c r="K13" s="2606"/>
      <c r="L13" s="2606"/>
      <c r="M13" s="2606"/>
      <c r="N13" s="2606"/>
      <c r="O13" s="1421"/>
      <c r="P13" s="1421"/>
      <c r="Q13" s="1421"/>
      <c r="R13" s="1421"/>
      <c r="S13" s="1421"/>
      <c r="T13" s="1421"/>
      <c r="U13" s="1421"/>
      <c r="V13" s="1421"/>
    </row>
    <row r="14" spans="1:22">
      <c r="A14" s="1407"/>
      <c r="B14" s="1411"/>
      <c r="C14" s="2606"/>
      <c r="D14" s="2606"/>
      <c r="E14" s="2606"/>
      <c r="F14" s="2606"/>
      <c r="G14" s="2606"/>
      <c r="H14" s="2606"/>
      <c r="I14" s="2606"/>
      <c r="J14" s="2606"/>
      <c r="K14" s="2606"/>
      <c r="L14" s="2606"/>
      <c r="M14" s="2606"/>
      <c r="N14" s="2606"/>
      <c r="O14" s="1421"/>
      <c r="P14" s="1421"/>
      <c r="Q14" s="1421"/>
      <c r="R14" s="1421"/>
      <c r="S14" s="1421"/>
      <c r="T14" s="1421"/>
      <c r="U14" s="1421"/>
      <c r="V14" s="1421"/>
    </row>
    <row r="15" spans="1:22">
      <c r="A15" s="1407"/>
      <c r="B15" s="1419"/>
      <c r="C15" s="1411"/>
      <c r="D15" s="1401"/>
      <c r="E15" s="1401"/>
      <c r="F15" s="1401"/>
      <c r="G15" s="1401"/>
      <c r="H15" s="1401"/>
      <c r="I15" s="1401"/>
      <c r="J15" s="1401"/>
      <c r="K15" s="1401"/>
      <c r="L15" s="1401"/>
      <c r="M15" s="1401"/>
      <c r="N15" s="1401"/>
    </row>
    <row r="16" spans="1:22" ht="15.75" customHeight="1">
      <c r="A16" s="1407"/>
      <c r="B16" s="1420"/>
      <c r="C16" s="2606" t="s">
        <v>1995</v>
      </c>
      <c r="D16" s="2606"/>
      <c r="E16" s="2606"/>
      <c r="F16" s="2606"/>
      <c r="G16" s="2606"/>
      <c r="H16" s="2606"/>
      <c r="I16" s="2606"/>
      <c r="J16" s="2606"/>
      <c r="K16" s="2606"/>
      <c r="L16" s="2606"/>
      <c r="M16" s="2606"/>
      <c r="N16" s="2606"/>
    </row>
    <row r="17" spans="1:14">
      <c r="A17" s="1407"/>
      <c r="B17" s="1411"/>
      <c r="C17" s="2606"/>
      <c r="D17" s="2606"/>
      <c r="E17" s="2606"/>
      <c r="F17" s="2606"/>
      <c r="G17" s="2606"/>
      <c r="H17" s="2606"/>
      <c r="I17" s="2606"/>
      <c r="J17" s="2606"/>
      <c r="K17" s="2606"/>
      <c r="L17" s="2606"/>
      <c r="M17" s="2606"/>
      <c r="N17" s="2606"/>
    </row>
    <row r="18" spans="1:14">
      <c r="A18" s="1407"/>
      <c r="B18" s="1419"/>
      <c r="C18" s="1411"/>
      <c r="D18" s="1401"/>
      <c r="E18" s="1401"/>
      <c r="F18" s="1401"/>
      <c r="G18" s="1401"/>
      <c r="H18" s="1401"/>
      <c r="I18" s="1401"/>
      <c r="J18" s="1401"/>
      <c r="K18" s="1401"/>
      <c r="L18" s="1401"/>
      <c r="M18" s="1401"/>
      <c r="N18" s="1401"/>
    </row>
    <row r="19" spans="1:14" ht="15" customHeight="1">
      <c r="A19" s="1407"/>
      <c r="B19" s="1418"/>
      <c r="C19" s="1411" t="s">
        <v>553</v>
      </c>
      <c r="D19" s="1401"/>
      <c r="E19" s="1401"/>
      <c r="F19" s="1401"/>
      <c r="G19" s="1401"/>
      <c r="H19" s="1401"/>
      <c r="I19" s="1401"/>
      <c r="J19" s="1401"/>
      <c r="K19" s="1401"/>
      <c r="L19" s="1401"/>
      <c r="M19" s="1401"/>
      <c r="N19" s="1401"/>
    </row>
    <row r="20" spans="1:14">
      <c r="A20" s="1407"/>
      <c r="B20" s="1417"/>
      <c r="C20" s="1411"/>
      <c r="D20" s="1401"/>
      <c r="E20" s="1401"/>
      <c r="F20" s="1401"/>
      <c r="G20" s="1401"/>
      <c r="H20" s="1401"/>
      <c r="I20" s="1401"/>
      <c r="J20" s="1401"/>
      <c r="K20" s="1401"/>
      <c r="L20" s="1401"/>
      <c r="M20" s="1401"/>
      <c r="N20" s="1401"/>
    </row>
    <row r="21" spans="1:14">
      <c r="A21" s="1407"/>
      <c r="B21" s="1416"/>
      <c r="C21" s="1411" t="s">
        <v>554</v>
      </c>
      <c r="D21" s="1401"/>
      <c r="E21" s="1401"/>
      <c r="F21" s="1401"/>
      <c r="G21" s="1401"/>
      <c r="H21" s="1401"/>
      <c r="I21" s="1401"/>
      <c r="J21" s="1401"/>
      <c r="K21" s="1401"/>
      <c r="L21" s="1401"/>
      <c r="M21" s="1401"/>
      <c r="N21" s="1401"/>
    </row>
    <row r="22" spans="1:14">
      <c r="A22" s="1407"/>
      <c r="B22" s="1401"/>
      <c r="C22" s="1401"/>
      <c r="D22" s="1401"/>
      <c r="E22" s="1401"/>
      <c r="F22" s="1401"/>
      <c r="G22" s="1401"/>
      <c r="H22" s="1401"/>
      <c r="I22" s="1401"/>
      <c r="J22" s="1401"/>
      <c r="K22" s="1401"/>
      <c r="L22" s="1401"/>
      <c r="M22" s="1401"/>
      <c r="N22" s="1401"/>
    </row>
    <row r="23" spans="1:14">
      <c r="A23" s="1407"/>
      <c r="B23" s="1401"/>
      <c r="C23" s="1401"/>
      <c r="D23" s="1401"/>
      <c r="E23" s="1401"/>
      <c r="F23" s="1401"/>
      <c r="G23" s="1401"/>
      <c r="H23" s="1401"/>
      <c r="I23" s="1401"/>
      <c r="J23" s="1401"/>
      <c r="K23" s="1401"/>
      <c r="L23" s="1401"/>
      <c r="M23" s="1401"/>
      <c r="N23" s="1401"/>
    </row>
    <row r="24" spans="1:14">
      <c r="A24" s="1407">
        <v>1.2</v>
      </c>
      <c r="B24" s="1408" t="s">
        <v>1994</v>
      </c>
      <c r="C24" s="1401"/>
      <c r="D24" s="1401"/>
      <c r="E24" s="1401"/>
      <c r="F24" s="1401"/>
      <c r="G24" s="1401"/>
      <c r="H24" s="1401"/>
      <c r="I24" s="1401"/>
      <c r="J24" s="1401"/>
      <c r="K24" s="1401"/>
      <c r="L24" s="1401"/>
      <c r="M24" s="1401"/>
      <c r="N24" s="1401"/>
    </row>
    <row r="25" spans="1:14">
      <c r="A25" s="1407"/>
      <c r="B25" s="1408"/>
      <c r="C25" s="1401"/>
      <c r="D25" s="1401"/>
      <c r="E25" s="1401"/>
      <c r="F25" s="1401"/>
      <c r="G25" s="1401"/>
      <c r="H25" s="1401"/>
      <c r="I25" s="1401"/>
      <c r="J25" s="1401"/>
      <c r="K25" s="1401"/>
      <c r="L25" s="1401"/>
      <c r="M25" s="1401"/>
      <c r="N25" s="1401"/>
    </row>
    <row r="26" spans="1:14">
      <c r="A26" s="1407"/>
      <c r="B26" s="1415"/>
      <c r="C26" s="1409" t="s">
        <v>1993</v>
      </c>
      <c r="D26" s="1401"/>
      <c r="E26" s="1401"/>
      <c r="F26" s="1401"/>
      <c r="G26" s="1401"/>
      <c r="H26" s="1401"/>
      <c r="I26" s="1401"/>
      <c r="J26" s="1401"/>
      <c r="K26" s="1401"/>
      <c r="L26" s="1401"/>
      <c r="M26" s="1401"/>
      <c r="N26" s="1401"/>
    </row>
    <row r="27" spans="1:14">
      <c r="A27" s="1407"/>
      <c r="B27" s="1408"/>
      <c r="C27" s="1411"/>
      <c r="D27" s="1401"/>
      <c r="E27" s="1401"/>
      <c r="F27" s="1401"/>
      <c r="G27" s="1401"/>
      <c r="H27" s="1401"/>
      <c r="I27" s="1401"/>
      <c r="J27" s="1401"/>
      <c r="K27" s="1401"/>
      <c r="L27" s="1401"/>
      <c r="M27" s="1401"/>
      <c r="N27" s="1401"/>
    </row>
    <row r="28" spans="1:14">
      <c r="A28" s="1407"/>
      <c r="B28" s="1414"/>
      <c r="C28" s="1409" t="s">
        <v>555</v>
      </c>
      <c r="D28" s="1401"/>
      <c r="E28" s="1401"/>
      <c r="F28" s="1401"/>
      <c r="G28" s="1401"/>
      <c r="H28" s="1401"/>
      <c r="I28" s="1401"/>
      <c r="J28" s="1401"/>
      <c r="K28" s="1401"/>
      <c r="L28" s="1401"/>
      <c r="M28" s="1401"/>
      <c r="N28" s="1401"/>
    </row>
    <row r="29" spans="1:14">
      <c r="A29" s="1407"/>
      <c r="B29" s="1408"/>
      <c r="C29" s="1401"/>
      <c r="D29" s="1401"/>
      <c r="E29" s="1401"/>
      <c r="F29" s="1401"/>
      <c r="G29" s="1401"/>
      <c r="H29" s="1401"/>
      <c r="I29" s="1401"/>
      <c r="J29" s="1401"/>
      <c r="K29" s="1401"/>
      <c r="L29" s="1401"/>
      <c r="M29" s="1401"/>
      <c r="N29" s="1401"/>
    </row>
    <row r="30" spans="1:14">
      <c r="A30" s="1407"/>
      <c r="B30" s="1413"/>
      <c r="C30" s="1409" t="s">
        <v>1992</v>
      </c>
      <c r="D30" s="1401"/>
      <c r="E30" s="1401"/>
      <c r="F30" s="1401"/>
      <c r="G30" s="1401"/>
      <c r="H30" s="1401"/>
      <c r="I30" s="1401"/>
      <c r="J30" s="1401"/>
      <c r="K30" s="1401"/>
      <c r="L30" s="1401"/>
      <c r="M30" s="1401"/>
      <c r="N30" s="1401"/>
    </row>
    <row r="31" spans="1:14">
      <c r="A31" s="1407"/>
      <c r="B31" s="1408"/>
      <c r="C31" s="1411"/>
      <c r="D31" s="1401"/>
      <c r="E31" s="1401"/>
      <c r="F31" s="1401"/>
      <c r="G31" s="1401"/>
      <c r="H31" s="1401"/>
      <c r="I31" s="1401"/>
      <c r="J31" s="1401"/>
      <c r="K31" s="1401"/>
      <c r="L31" s="1401"/>
      <c r="M31" s="1401"/>
      <c r="N31" s="1401"/>
    </row>
    <row r="32" spans="1:14">
      <c r="A32" s="1407"/>
      <c r="B32" s="1412"/>
      <c r="C32" s="1409" t="s">
        <v>1991</v>
      </c>
      <c r="D32" s="1401"/>
      <c r="E32" s="1401"/>
      <c r="F32" s="1401"/>
      <c r="G32" s="1401"/>
      <c r="H32" s="1401"/>
      <c r="I32" s="1401"/>
      <c r="J32" s="1401"/>
      <c r="K32" s="1401"/>
      <c r="L32" s="1401"/>
      <c r="M32" s="1401"/>
      <c r="N32" s="1401"/>
    </row>
    <row r="33" spans="1:14">
      <c r="A33" s="1407"/>
      <c r="B33" s="1408"/>
      <c r="C33" s="1411"/>
      <c r="D33" s="1401"/>
      <c r="E33" s="1401"/>
      <c r="F33" s="1401"/>
      <c r="G33" s="1401"/>
      <c r="H33" s="1401"/>
      <c r="I33" s="1401"/>
      <c r="J33" s="1401"/>
      <c r="K33" s="1401"/>
      <c r="L33" s="1401"/>
      <c r="M33" s="1401"/>
      <c r="N33" s="1401"/>
    </row>
    <row r="34" spans="1:14">
      <c r="A34" s="1407"/>
      <c r="B34" s="1410"/>
      <c r="C34" s="1409" t="s">
        <v>1990</v>
      </c>
      <c r="D34" s="1401"/>
      <c r="E34" s="1401"/>
      <c r="F34" s="1401"/>
      <c r="G34" s="1401"/>
      <c r="H34" s="1401"/>
      <c r="I34" s="1401"/>
      <c r="J34" s="1401"/>
      <c r="K34" s="1401"/>
      <c r="L34" s="1401"/>
      <c r="M34" s="1401"/>
      <c r="N34" s="1401"/>
    </row>
    <row r="35" spans="1:14">
      <c r="A35" s="1407"/>
      <c r="B35" s="1408"/>
      <c r="C35" s="1401"/>
      <c r="D35" s="1401"/>
      <c r="E35" s="1401"/>
      <c r="F35" s="1401"/>
      <c r="G35" s="1401"/>
      <c r="H35" s="1401"/>
      <c r="I35" s="1401"/>
      <c r="J35" s="1401"/>
      <c r="K35" s="1401"/>
      <c r="L35" s="1401"/>
      <c r="M35" s="1401"/>
      <c r="N35" s="1401"/>
    </row>
    <row r="36" spans="1:14">
      <c r="A36" s="1407"/>
      <c r="B36" s="1408"/>
      <c r="C36" s="1401"/>
      <c r="D36" s="1401"/>
      <c r="E36" s="1401"/>
      <c r="F36" s="1401"/>
      <c r="G36" s="1401"/>
      <c r="H36" s="1401"/>
      <c r="I36" s="1401"/>
      <c r="J36" s="1401"/>
      <c r="K36" s="1401"/>
      <c r="L36" s="1401"/>
      <c r="M36" s="1401"/>
      <c r="N36" s="1401"/>
    </row>
    <row r="37" spans="1:14">
      <c r="A37" s="1407">
        <v>2</v>
      </c>
      <c r="B37" s="1408" t="s">
        <v>556</v>
      </c>
      <c r="C37" s="1401"/>
      <c r="D37" s="1401"/>
      <c r="E37" s="1401"/>
      <c r="F37" s="1401"/>
      <c r="G37" s="1401"/>
      <c r="H37" s="1401"/>
      <c r="I37" s="1401"/>
      <c r="J37" s="1401"/>
      <c r="K37" s="1401"/>
      <c r="L37" s="1401"/>
      <c r="M37" s="1401"/>
      <c r="N37" s="1401"/>
    </row>
    <row r="38" spans="1:14">
      <c r="A38" s="1407"/>
      <c r="B38" s="1408"/>
      <c r="C38" s="1401"/>
      <c r="D38" s="1401"/>
      <c r="E38" s="1401"/>
      <c r="F38" s="1401"/>
      <c r="G38" s="1401"/>
      <c r="H38" s="1401"/>
      <c r="I38" s="1401"/>
      <c r="J38" s="1401"/>
      <c r="K38" s="1401"/>
      <c r="L38" s="1401"/>
      <c r="M38" s="1401"/>
      <c r="N38" s="1401"/>
    </row>
    <row r="39" spans="1:14" ht="42" customHeight="1">
      <c r="A39" s="1404">
        <f>A37+0.1</f>
        <v>2.1</v>
      </c>
      <c r="B39" s="2605" t="s">
        <v>1989</v>
      </c>
      <c r="C39" s="2605"/>
      <c r="D39" s="2605"/>
      <c r="E39" s="2605"/>
      <c r="F39" s="2605"/>
      <c r="G39" s="2605"/>
      <c r="H39" s="2605"/>
      <c r="I39" s="2605"/>
      <c r="J39" s="2605"/>
      <c r="K39" s="2605"/>
      <c r="L39" s="2605"/>
      <c r="M39" s="2605"/>
      <c r="N39" s="2605"/>
    </row>
    <row r="40" spans="1:14" ht="54.95" customHeight="1">
      <c r="A40" s="1404">
        <f t="shared" ref="A40:A45" si="0">A39+0.1</f>
        <v>2.2000000000000002</v>
      </c>
      <c r="B40" s="2605" t="s">
        <v>1988</v>
      </c>
      <c r="C40" s="2605"/>
      <c r="D40" s="2605"/>
      <c r="E40" s="2605"/>
      <c r="F40" s="2605"/>
      <c r="G40" s="2605"/>
      <c r="H40" s="2605"/>
      <c r="I40" s="2605"/>
      <c r="J40" s="2605"/>
      <c r="K40" s="2605"/>
      <c r="L40" s="2605"/>
      <c r="M40" s="2605"/>
      <c r="N40" s="2605"/>
    </row>
    <row r="41" spans="1:14" ht="79.5" customHeight="1">
      <c r="A41" s="1404">
        <f t="shared" si="0"/>
        <v>2.3000000000000003</v>
      </c>
      <c r="B41" s="2605" t="s">
        <v>1987</v>
      </c>
      <c r="C41" s="2605"/>
      <c r="D41" s="2605"/>
      <c r="E41" s="2605"/>
      <c r="F41" s="2605"/>
      <c r="G41" s="2605"/>
      <c r="H41" s="2605"/>
      <c r="I41" s="2605"/>
      <c r="J41" s="2605"/>
      <c r="K41" s="2605"/>
      <c r="L41" s="2605"/>
      <c r="M41" s="2605"/>
      <c r="N41" s="2605"/>
    </row>
    <row r="42" spans="1:14" ht="42" customHeight="1">
      <c r="A42" s="1404">
        <f t="shared" si="0"/>
        <v>2.4000000000000004</v>
      </c>
      <c r="B42" s="2605" t="s">
        <v>1986</v>
      </c>
      <c r="C42" s="2605"/>
      <c r="D42" s="2605"/>
      <c r="E42" s="2605"/>
      <c r="F42" s="2605"/>
      <c r="G42" s="2605"/>
      <c r="H42" s="2605"/>
      <c r="I42" s="2605"/>
      <c r="J42" s="2605"/>
      <c r="K42" s="2605"/>
      <c r="L42" s="2605"/>
      <c r="M42" s="2605"/>
      <c r="N42" s="2605"/>
    </row>
    <row r="43" spans="1:14" ht="54.95" customHeight="1">
      <c r="A43" s="1404">
        <f t="shared" si="0"/>
        <v>2.5000000000000004</v>
      </c>
      <c r="B43" s="2605" t="s">
        <v>557</v>
      </c>
      <c r="C43" s="2605"/>
      <c r="D43" s="2605"/>
      <c r="E43" s="2605"/>
      <c r="F43" s="2605"/>
      <c r="G43" s="2605"/>
      <c r="H43" s="2605"/>
      <c r="I43" s="2605"/>
      <c r="J43" s="2605"/>
      <c r="K43" s="2605"/>
      <c r="L43" s="2605"/>
      <c r="M43" s="2605"/>
      <c r="N43" s="2605"/>
    </row>
    <row r="44" spans="1:14" ht="42" customHeight="1">
      <c r="A44" s="1404">
        <f t="shared" si="0"/>
        <v>2.6000000000000005</v>
      </c>
      <c r="B44" s="2605" t="s">
        <v>1985</v>
      </c>
      <c r="C44" s="2605"/>
      <c r="D44" s="2605"/>
      <c r="E44" s="2605"/>
      <c r="F44" s="2605"/>
      <c r="G44" s="2605"/>
      <c r="H44" s="2605"/>
      <c r="I44" s="2605"/>
      <c r="J44" s="2605"/>
      <c r="K44" s="2605"/>
      <c r="L44" s="2605"/>
      <c r="M44" s="2605"/>
      <c r="N44" s="2605"/>
    </row>
    <row r="45" spans="1:14" ht="67.5" customHeight="1">
      <c r="A45" s="1404">
        <f t="shared" si="0"/>
        <v>2.7000000000000006</v>
      </c>
      <c r="B45" s="2605" t="s">
        <v>1984</v>
      </c>
      <c r="C45" s="2605"/>
      <c r="D45" s="2605"/>
      <c r="E45" s="2605"/>
      <c r="F45" s="2605"/>
      <c r="G45" s="2605"/>
      <c r="H45" s="2605"/>
      <c r="I45" s="2605"/>
      <c r="J45" s="2605"/>
      <c r="K45" s="2605"/>
      <c r="L45" s="2605"/>
      <c r="M45" s="2605"/>
      <c r="N45" s="2605"/>
    </row>
    <row r="46" spans="1:14">
      <c r="A46" s="1404"/>
      <c r="B46" s="1402"/>
      <c r="C46" s="1402"/>
      <c r="D46" s="1402"/>
      <c r="E46" s="1402"/>
      <c r="F46" s="1402"/>
      <c r="G46" s="1402"/>
      <c r="H46" s="1402"/>
      <c r="I46" s="1402"/>
      <c r="J46" s="1401"/>
      <c r="K46" s="1401"/>
      <c r="L46" s="1401"/>
      <c r="M46" s="1401"/>
      <c r="N46" s="1401"/>
    </row>
    <row r="47" spans="1:14">
      <c r="A47" s="1404"/>
      <c r="B47" s="1402"/>
      <c r="C47" s="1402"/>
      <c r="D47" s="1402"/>
      <c r="E47" s="1402"/>
      <c r="F47" s="1402"/>
      <c r="G47" s="1402"/>
      <c r="H47" s="1402"/>
      <c r="I47" s="1402"/>
      <c r="J47" s="1401"/>
      <c r="K47" s="1401"/>
      <c r="L47" s="1401"/>
      <c r="M47" s="1401"/>
      <c r="N47" s="1401"/>
    </row>
    <row r="48" spans="1:14">
      <c r="A48" s="1407">
        <v>3</v>
      </c>
      <c r="B48" s="1408" t="s">
        <v>558</v>
      </c>
      <c r="C48" s="1401"/>
      <c r="D48" s="1401"/>
      <c r="E48" s="1401"/>
      <c r="F48" s="1401"/>
      <c r="G48" s="1401"/>
      <c r="H48" s="1401"/>
      <c r="I48" s="1401"/>
      <c r="J48" s="1401"/>
      <c r="K48" s="1401"/>
      <c r="L48" s="1401"/>
      <c r="M48" s="1401"/>
      <c r="N48" s="1401"/>
    </row>
    <row r="49" spans="1:14">
      <c r="A49" s="1407"/>
      <c r="B49" s="1408"/>
      <c r="C49" s="1401"/>
      <c r="D49" s="1401"/>
      <c r="E49" s="1401"/>
      <c r="F49" s="1401"/>
      <c r="G49" s="1401"/>
      <c r="H49" s="1401"/>
      <c r="I49" s="1401"/>
      <c r="J49" s="1401"/>
      <c r="K49" s="1401"/>
      <c r="L49" s="1401"/>
      <c r="M49" s="1401"/>
      <c r="N49" s="1401"/>
    </row>
    <row r="50" spans="1:14" ht="30" customHeight="1">
      <c r="A50" s="1404">
        <v>3.1</v>
      </c>
      <c r="B50" s="2605" t="s">
        <v>1983</v>
      </c>
      <c r="C50" s="2605"/>
      <c r="D50" s="2605"/>
      <c r="E50" s="2605"/>
      <c r="F50" s="2605"/>
      <c r="G50" s="2605"/>
      <c r="H50" s="2605"/>
      <c r="I50" s="2605"/>
      <c r="J50" s="2605"/>
      <c r="K50" s="2605"/>
      <c r="L50" s="2605"/>
      <c r="M50" s="2605"/>
      <c r="N50" s="2605"/>
    </row>
    <row r="51" spans="1:14">
      <c r="A51" s="1407"/>
      <c r="B51" s="1406"/>
      <c r="C51" s="1401"/>
      <c r="D51" s="1401"/>
      <c r="E51" s="1401"/>
      <c r="F51" s="1401"/>
      <c r="G51" s="1401"/>
      <c r="H51" s="1401"/>
      <c r="I51" s="1401"/>
      <c r="J51" s="1401"/>
      <c r="K51" s="1401"/>
      <c r="L51" s="1401"/>
      <c r="M51" s="1401"/>
      <c r="N51" s="1401"/>
    </row>
    <row r="52" spans="1:14">
      <c r="A52" s="1407"/>
      <c r="B52" s="1406"/>
      <c r="C52" s="1401"/>
      <c r="D52" s="1401"/>
      <c r="E52" s="1401"/>
      <c r="F52" s="1401"/>
      <c r="G52" s="1401"/>
      <c r="H52" s="1401"/>
      <c r="I52" s="1401"/>
      <c r="J52" s="1401"/>
      <c r="K52" s="1401"/>
      <c r="L52" s="1401"/>
      <c r="M52" s="1401"/>
      <c r="N52" s="1401"/>
    </row>
    <row r="53" spans="1:14">
      <c r="A53" s="1404">
        <v>4</v>
      </c>
      <c r="B53" s="1403" t="s">
        <v>559</v>
      </c>
      <c r="C53" s="1402"/>
      <c r="D53" s="1402"/>
      <c r="E53" s="1402"/>
      <c r="F53" s="1402"/>
      <c r="G53" s="1402"/>
      <c r="H53" s="1402"/>
      <c r="I53" s="1402"/>
      <c r="J53" s="1401"/>
      <c r="K53" s="1401"/>
      <c r="L53" s="1401"/>
      <c r="M53" s="1401"/>
      <c r="N53" s="1401"/>
    </row>
    <row r="54" spans="1:14">
      <c r="A54" s="1404"/>
      <c r="B54" s="1403"/>
      <c r="C54" s="1402"/>
      <c r="D54" s="1402"/>
      <c r="E54" s="1402"/>
      <c r="F54" s="1402"/>
      <c r="G54" s="1402"/>
      <c r="H54" s="1402"/>
      <c r="I54" s="1402"/>
      <c r="J54" s="1401"/>
      <c r="K54" s="1401"/>
      <c r="L54" s="1401"/>
      <c r="M54" s="1401"/>
      <c r="N54" s="1401"/>
    </row>
    <row r="55" spans="1:14" ht="45" customHeight="1">
      <c r="A55" s="1404">
        <f>A53+0.1</f>
        <v>4.0999999999999996</v>
      </c>
      <c r="B55" s="2605" t="s">
        <v>560</v>
      </c>
      <c r="C55" s="2605"/>
      <c r="D55" s="2605"/>
      <c r="E55" s="2605"/>
      <c r="F55" s="2605"/>
      <c r="G55" s="2605"/>
      <c r="H55" s="2605"/>
      <c r="I55" s="2605"/>
      <c r="J55" s="2605"/>
      <c r="K55" s="2605"/>
      <c r="L55" s="2605"/>
      <c r="M55" s="2605"/>
      <c r="N55" s="2605"/>
    </row>
    <row r="56" spans="1:14" ht="54.95" customHeight="1">
      <c r="A56" s="1404">
        <f>A55+0.1</f>
        <v>4.1999999999999993</v>
      </c>
      <c r="B56" s="2605" t="s">
        <v>561</v>
      </c>
      <c r="C56" s="2605"/>
      <c r="D56" s="2605"/>
      <c r="E56" s="2605"/>
      <c r="F56" s="2605"/>
      <c r="G56" s="2605"/>
      <c r="H56" s="2605"/>
      <c r="I56" s="2605"/>
      <c r="J56" s="2605"/>
      <c r="K56" s="2605"/>
      <c r="L56" s="2605"/>
      <c r="M56" s="2605"/>
      <c r="N56" s="2605"/>
    </row>
    <row r="57" spans="1:14" ht="69.95" customHeight="1">
      <c r="A57" s="1404">
        <f>A56+0.1</f>
        <v>4.2999999999999989</v>
      </c>
      <c r="B57" s="2605" t="s">
        <v>562</v>
      </c>
      <c r="C57" s="2605"/>
      <c r="D57" s="2605"/>
      <c r="E57" s="2605"/>
      <c r="F57" s="2605"/>
      <c r="G57" s="2605"/>
      <c r="H57" s="2605"/>
      <c r="I57" s="2605"/>
      <c r="J57" s="2605"/>
      <c r="K57" s="2605"/>
      <c r="L57" s="2605"/>
      <c r="M57" s="2605"/>
      <c r="N57" s="2605"/>
    </row>
    <row r="58" spans="1:14" ht="45" customHeight="1">
      <c r="A58" s="1404">
        <f>A57+0.1</f>
        <v>4.3999999999999986</v>
      </c>
      <c r="B58" s="2605" t="s">
        <v>563</v>
      </c>
      <c r="C58" s="2605"/>
      <c r="D58" s="2605"/>
      <c r="E58" s="2605"/>
      <c r="F58" s="2605"/>
      <c r="G58" s="2605"/>
      <c r="H58" s="2605"/>
      <c r="I58" s="2605"/>
      <c r="J58" s="2605"/>
      <c r="K58" s="2605"/>
      <c r="L58" s="2605"/>
      <c r="M58" s="2605"/>
      <c r="N58" s="2605"/>
    </row>
    <row r="59" spans="1:14" ht="69.95" customHeight="1">
      <c r="A59" s="1404">
        <f>A58+0.1</f>
        <v>4.4999999999999982</v>
      </c>
      <c r="B59" s="2605" t="s">
        <v>1982</v>
      </c>
      <c r="C59" s="2605"/>
      <c r="D59" s="2605"/>
      <c r="E59" s="2605"/>
      <c r="F59" s="2605"/>
      <c r="G59" s="2605"/>
      <c r="H59" s="2605"/>
      <c r="I59" s="2605"/>
      <c r="J59" s="2605"/>
      <c r="K59" s="2605"/>
      <c r="L59" s="2605"/>
      <c r="M59" s="2605"/>
      <c r="N59" s="2605"/>
    </row>
    <row r="60" spans="1:14" ht="15.75" customHeight="1">
      <c r="A60" s="1404"/>
      <c r="B60" s="1405" t="s">
        <v>564</v>
      </c>
      <c r="C60" s="1398"/>
      <c r="D60" s="1398"/>
      <c r="E60" s="1398"/>
      <c r="F60" s="1398"/>
      <c r="G60" s="1398"/>
      <c r="H60" s="1398"/>
      <c r="I60" s="1398"/>
      <c r="J60" s="1398"/>
      <c r="K60" s="1398"/>
      <c r="L60" s="1398"/>
      <c r="M60" s="1398"/>
      <c r="N60" s="1398"/>
    </row>
    <row r="61" spans="1:14" ht="15.75" customHeight="1">
      <c r="A61" s="1404"/>
      <c r="B61" s="1405" t="s">
        <v>565</v>
      </c>
      <c r="C61" s="1398"/>
      <c r="D61" s="1398"/>
      <c r="E61" s="1398"/>
      <c r="F61" s="1398"/>
      <c r="G61" s="1398"/>
      <c r="H61" s="1398"/>
      <c r="I61" s="1398"/>
      <c r="J61" s="1398"/>
      <c r="K61" s="1398"/>
      <c r="L61" s="1398"/>
      <c r="M61" s="1398"/>
      <c r="N61" s="1398"/>
    </row>
    <row r="62" spans="1:14" ht="15.75" customHeight="1">
      <c r="A62" s="1404"/>
      <c r="B62" s="1405" t="s">
        <v>566</v>
      </c>
      <c r="C62" s="1398"/>
      <c r="D62" s="1398"/>
      <c r="E62" s="1398"/>
      <c r="F62" s="1398"/>
      <c r="G62" s="1398"/>
      <c r="H62" s="1398"/>
      <c r="I62" s="1398"/>
      <c r="J62" s="1398"/>
      <c r="K62" s="1398"/>
      <c r="L62" s="1398"/>
      <c r="M62" s="1398"/>
      <c r="N62" s="1398"/>
    </row>
    <row r="63" spans="1:14" ht="30" customHeight="1">
      <c r="A63" s="1404">
        <v>4.5999999999999996</v>
      </c>
      <c r="B63" s="2605" t="s">
        <v>1981</v>
      </c>
      <c r="C63" s="2605"/>
      <c r="D63" s="2605"/>
      <c r="E63" s="2605"/>
      <c r="F63" s="2605"/>
      <c r="G63" s="2605"/>
      <c r="H63" s="2605"/>
      <c r="I63" s="2605"/>
      <c r="J63" s="2605"/>
      <c r="K63" s="2605"/>
      <c r="L63" s="2605"/>
      <c r="M63" s="2605"/>
      <c r="N63" s="2605"/>
    </row>
    <row r="64" spans="1:14" ht="13.5" customHeight="1">
      <c r="A64" s="1404"/>
      <c r="B64" s="1398"/>
      <c r="C64" s="1398"/>
      <c r="D64" s="1398"/>
      <c r="E64" s="1398"/>
      <c r="F64" s="1398"/>
      <c r="G64" s="1398"/>
      <c r="H64" s="1398"/>
      <c r="I64" s="1398"/>
      <c r="J64" s="1398"/>
      <c r="K64" s="1398"/>
      <c r="L64" s="1398"/>
      <c r="M64" s="1398"/>
      <c r="N64" s="1398"/>
    </row>
    <row r="65" spans="1:14">
      <c r="A65" s="1404">
        <v>5</v>
      </c>
      <c r="B65" s="1403" t="s">
        <v>567</v>
      </c>
      <c r="C65" s="1402"/>
      <c r="D65" s="1402"/>
      <c r="E65" s="1402"/>
      <c r="F65" s="1402"/>
      <c r="G65" s="1402"/>
      <c r="H65" s="1402"/>
      <c r="I65" s="1402"/>
      <c r="J65" s="1401"/>
      <c r="K65" s="1401"/>
      <c r="L65" s="1401"/>
      <c r="M65" s="1401"/>
      <c r="N65" s="1401"/>
    </row>
    <row r="66" spans="1:14" ht="15" customHeight="1">
      <c r="A66" s="1400">
        <v>5.0999999999999996</v>
      </c>
      <c r="B66" s="1399" t="s">
        <v>568</v>
      </c>
      <c r="C66" s="1398"/>
      <c r="D66" s="1398"/>
      <c r="E66" s="2607" t="s">
        <v>569</v>
      </c>
      <c r="F66" s="2607"/>
      <c r="G66" s="2607"/>
      <c r="H66" s="1398"/>
      <c r="I66" s="1398"/>
      <c r="J66" s="1398"/>
      <c r="K66" s="1398"/>
      <c r="L66" s="1398"/>
      <c r="M66" s="1398"/>
      <c r="N66" s="1398"/>
    </row>
    <row r="67" spans="1:14" ht="13.5" customHeight="1">
      <c r="A67" s="784"/>
      <c r="B67" s="1396"/>
      <c r="C67" s="1396"/>
      <c r="D67" s="1396"/>
      <c r="E67" s="1396"/>
      <c r="F67" s="1396"/>
      <c r="G67" s="1396"/>
      <c r="H67" s="1396"/>
      <c r="I67" s="1396"/>
      <c r="J67" s="1396"/>
      <c r="K67" s="1396"/>
      <c r="L67" s="1396"/>
      <c r="M67" s="1396"/>
      <c r="N67" s="1396"/>
    </row>
    <row r="68" spans="1:14" ht="13.5" customHeight="1">
      <c r="A68" s="784"/>
      <c r="B68" s="1396"/>
      <c r="C68" s="1396"/>
      <c r="D68" s="1396"/>
      <c r="E68" s="1396"/>
      <c r="F68" s="1396"/>
      <c r="G68" s="1396"/>
      <c r="H68" s="1396"/>
      <c r="I68" s="1396"/>
      <c r="J68" s="1396"/>
      <c r="K68" s="1396"/>
      <c r="L68" s="1396"/>
      <c r="M68" s="1396"/>
      <c r="N68" s="1396"/>
    </row>
    <row r="69" spans="1:14" ht="13.5" customHeight="1">
      <c r="A69" s="784"/>
      <c r="B69" s="1396"/>
      <c r="C69" s="1396"/>
      <c r="D69" s="1396"/>
      <c r="E69" s="1396"/>
      <c r="F69" s="1396"/>
      <c r="G69" s="1396"/>
      <c r="H69" s="1396"/>
      <c r="I69" s="1396"/>
      <c r="J69" s="1396"/>
      <c r="K69" s="1396"/>
      <c r="L69" s="1396"/>
      <c r="M69" s="1396"/>
      <c r="N69" s="1396"/>
    </row>
    <row r="70" spans="1:14" ht="13.5" customHeight="1">
      <c r="A70" s="784"/>
      <c r="B70" s="1396"/>
      <c r="C70" s="1396"/>
      <c r="D70" s="1396"/>
      <c r="E70" s="1396"/>
      <c r="F70" s="1396"/>
      <c r="G70" s="1396"/>
      <c r="H70" s="1396"/>
      <c r="I70" s="1396"/>
      <c r="J70" s="1396"/>
      <c r="K70" s="1396"/>
      <c r="L70" s="1396"/>
      <c r="M70" s="1396"/>
      <c r="N70" s="1396"/>
    </row>
    <row r="71" spans="1:14" ht="13.5" customHeight="1">
      <c r="A71" s="784"/>
      <c r="B71" s="1396"/>
      <c r="C71" s="1396"/>
      <c r="D71" s="1396"/>
      <c r="E71" s="1396"/>
      <c r="F71" s="1396"/>
      <c r="G71" s="1396"/>
      <c r="H71" s="1396"/>
      <c r="I71" s="1396"/>
      <c r="J71" s="1396"/>
      <c r="K71" s="1396"/>
      <c r="L71" s="1396"/>
      <c r="M71" s="1396"/>
      <c r="N71" s="1396"/>
    </row>
    <row r="72" spans="1:14" ht="13.5" customHeight="1">
      <c r="A72" s="784"/>
      <c r="B72" s="1396"/>
      <c r="C72" s="1396"/>
      <c r="D72" s="1396"/>
      <c r="E72" s="1396"/>
      <c r="F72" s="1396"/>
      <c r="G72" s="1396"/>
      <c r="H72" s="1396"/>
      <c r="I72" s="1396"/>
      <c r="J72" s="1396"/>
      <c r="K72" s="1396"/>
      <c r="L72" s="1396"/>
      <c r="M72" s="1396"/>
      <c r="N72" s="1396"/>
    </row>
    <row r="73" spans="1:14" ht="13.5" customHeight="1">
      <c r="A73" s="784"/>
      <c r="B73" s="1396"/>
      <c r="C73" s="1396"/>
      <c r="D73" s="1396"/>
      <c r="E73" s="1396"/>
      <c r="F73" s="1396"/>
      <c r="G73" s="1396"/>
      <c r="H73" s="1396"/>
      <c r="I73" s="1396"/>
      <c r="J73" s="1396"/>
      <c r="K73" s="1396"/>
      <c r="L73" s="1396"/>
      <c r="M73" s="1396"/>
      <c r="N73" s="1396"/>
    </row>
    <row r="74" spans="1:14" ht="13.5" customHeight="1">
      <c r="A74" s="784"/>
      <c r="B74" s="1397"/>
      <c r="C74" s="1396"/>
      <c r="D74" s="1396"/>
      <c r="E74" s="1396"/>
      <c r="F74" s="1396"/>
      <c r="G74" s="1396"/>
      <c r="H74" s="1396"/>
      <c r="I74" s="1396"/>
    </row>
    <row r="75" spans="1:14" ht="13.5" customHeight="1">
      <c r="A75" s="784"/>
      <c r="B75" s="785"/>
      <c r="C75" s="1396"/>
      <c r="D75" s="1396"/>
      <c r="E75" s="1396"/>
      <c r="F75" s="1396"/>
      <c r="G75" s="1396"/>
      <c r="H75" s="1396"/>
      <c r="I75" s="1396"/>
    </row>
    <row r="76" spans="1:14" ht="13.5" customHeight="1">
      <c r="A76" s="784"/>
      <c r="B76" s="785"/>
      <c r="C76" s="1396"/>
      <c r="D76" s="1396"/>
      <c r="E76" s="1396"/>
      <c r="F76" s="1396"/>
      <c r="G76" s="1396"/>
      <c r="H76" s="1396"/>
      <c r="I76" s="1396"/>
    </row>
    <row r="77" spans="1:14" ht="13.5" customHeight="1">
      <c r="A77" s="786"/>
      <c r="C77" s="1396"/>
      <c r="D77" s="1396"/>
      <c r="E77" s="1396"/>
      <c r="F77" s="1396"/>
      <c r="G77" s="1396"/>
      <c r="H77" s="1396"/>
      <c r="I77" s="1396"/>
    </row>
    <row r="78" spans="1:14" ht="13.5" customHeight="1">
      <c r="A78" s="784"/>
      <c r="B78" s="785"/>
      <c r="C78" s="1396"/>
      <c r="D78" s="1396"/>
      <c r="E78" s="1396"/>
      <c r="F78" s="1396"/>
      <c r="G78" s="1396"/>
      <c r="H78" s="1396"/>
      <c r="I78" s="1396"/>
    </row>
    <row r="79" spans="1:14" ht="13.5" customHeight="1">
      <c r="A79" s="786"/>
      <c r="C79" s="1396"/>
      <c r="D79" s="1396"/>
      <c r="E79" s="1396"/>
      <c r="F79" s="1396"/>
      <c r="G79" s="1396"/>
      <c r="H79" s="1396"/>
      <c r="I79" s="1396"/>
    </row>
    <row r="80" spans="1:14" ht="13.5" customHeight="1">
      <c r="A80" s="784"/>
      <c r="B80" s="785"/>
      <c r="C80" s="1396"/>
      <c r="D80" s="1396"/>
      <c r="E80" s="1396"/>
      <c r="F80" s="1396"/>
      <c r="G80" s="1396"/>
      <c r="H80" s="1396"/>
      <c r="I80" s="1396"/>
    </row>
    <row r="81" spans="1:9" ht="13.5" customHeight="1">
      <c r="A81" s="784"/>
      <c r="C81" s="1396"/>
      <c r="D81" s="1396"/>
      <c r="E81" s="1396"/>
      <c r="F81" s="1396"/>
      <c r="G81" s="1396"/>
      <c r="H81" s="1396"/>
      <c r="I81" s="1396"/>
    </row>
    <row r="82" spans="1:9" ht="13.5" customHeight="1">
      <c r="A82" s="784"/>
      <c r="C82" s="1396"/>
      <c r="D82" s="1396"/>
      <c r="E82" s="1396"/>
      <c r="F82" s="1396"/>
      <c r="G82" s="1396"/>
      <c r="H82" s="1396"/>
      <c r="I82" s="1396"/>
    </row>
    <row r="83" spans="1:9" ht="13.5" customHeight="1">
      <c r="A83" s="784"/>
      <c r="C83" s="1396"/>
      <c r="D83" s="1396"/>
      <c r="E83" s="1396"/>
      <c r="F83" s="1396"/>
      <c r="G83" s="1396"/>
      <c r="H83" s="1396"/>
      <c r="I83" s="1396"/>
    </row>
    <row r="84" spans="1:9" ht="13.5" customHeight="1">
      <c r="A84" s="784"/>
      <c r="C84" s="1396"/>
      <c r="D84" s="1396"/>
      <c r="E84" s="1396"/>
      <c r="F84" s="1396"/>
      <c r="G84" s="1396"/>
      <c r="H84" s="1396"/>
      <c r="I84" s="1396"/>
    </row>
    <row r="85" spans="1:9" ht="13.5" customHeight="1">
      <c r="A85" s="784"/>
      <c r="B85" s="1396"/>
      <c r="C85" s="1396"/>
      <c r="D85" s="1396"/>
      <c r="E85" s="1396"/>
      <c r="F85" s="1396"/>
      <c r="G85" s="1396"/>
      <c r="H85" s="1396"/>
      <c r="I85" s="1396"/>
    </row>
    <row r="86" spans="1:9" ht="13.5" customHeight="1"/>
  </sheetData>
  <mergeCells count="17">
    <mergeCell ref="E66:G66"/>
    <mergeCell ref="B43:N43"/>
    <mergeCell ref="B44:N44"/>
    <mergeCell ref="B45:N45"/>
    <mergeCell ref="B58:N58"/>
    <mergeCell ref="B59:N59"/>
    <mergeCell ref="B63:N63"/>
    <mergeCell ref="B50:N50"/>
    <mergeCell ref="B55:N55"/>
    <mergeCell ref="B56:N56"/>
    <mergeCell ref="B57:N57"/>
    <mergeCell ref="B40:N40"/>
    <mergeCell ref="B41:N41"/>
    <mergeCell ref="B42:N42"/>
    <mergeCell ref="C16:N17"/>
    <mergeCell ref="C13:N14"/>
    <mergeCell ref="B39:N39"/>
  </mergeCells>
  <hyperlinks>
    <hyperlink ref="E66" r:id="rId1"/>
    <hyperlink ref="B7" r:id="rId2"/>
    <hyperlink ref="E66:G66" r:id="rId3" display="pgleeson@trcsolutions.com"/>
  </hyperlinks>
  <pageMargins left="0.7" right="0.7" top="0.75" bottom="0.75" header="0.3" footer="0.3"/>
  <pageSetup scale="66" orientation="portrait" r:id="rId4"/>
  <headerFooter>
    <oddFooter>Page &amp;P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FF00"/>
  </sheetPr>
  <dimension ref="A1:P170"/>
  <sheetViews>
    <sheetView showGridLines="0" zoomScale="90" zoomScaleNormal="90" zoomScaleSheetLayoutView="100" workbookViewId="0">
      <selection activeCell="B45" sqref="B45"/>
    </sheetView>
  </sheetViews>
  <sheetFormatPr defaultColWidth="8.85546875" defaultRowHeight="12.75"/>
  <cols>
    <col min="1" max="1" width="9.140625" style="1324" customWidth="1"/>
    <col min="2" max="2" width="34.7109375" style="1324" customWidth="1"/>
    <col min="3" max="7" width="27.85546875" style="1324" customWidth="1"/>
    <col min="8" max="15" width="8.85546875" style="1324"/>
    <col min="16" max="16" width="8.85546875" style="1324" hidden="1" customWidth="1"/>
    <col min="17" max="16384" width="8.85546875" style="1324"/>
  </cols>
  <sheetData>
    <row r="1" spans="1:7">
      <c r="A1" s="1430"/>
      <c r="B1" s="1431"/>
      <c r="C1" s="1431"/>
    </row>
    <row r="2" spans="1:7">
      <c r="A2" s="1430"/>
      <c r="B2" s="1431"/>
      <c r="C2" s="1431"/>
    </row>
    <row r="3" spans="1:7">
      <c r="A3" s="1430"/>
      <c r="B3" s="1065" t="s">
        <v>368</v>
      </c>
      <c r="C3" s="1070">
        <f>'Prescriptive Path'!D3</f>
        <v>0</v>
      </c>
    </row>
    <row r="4" spans="1:7">
      <c r="A4" s="1430"/>
      <c r="B4" s="1065" t="s">
        <v>570</v>
      </c>
      <c r="C4" s="1070" t="s">
        <v>571</v>
      </c>
    </row>
    <row r="5" spans="1:7">
      <c r="A5" s="1430"/>
      <c r="B5" s="1065" t="s">
        <v>572</v>
      </c>
      <c r="C5" s="1063"/>
      <c r="D5" s="1426"/>
    </row>
    <row r="6" spans="1:7">
      <c r="A6" s="1430"/>
      <c r="B6" s="1065" t="s">
        <v>573</v>
      </c>
      <c r="C6" s="1064"/>
    </row>
    <row r="7" spans="1:7">
      <c r="A7" s="1430"/>
      <c r="B7" s="1065" t="s">
        <v>587</v>
      </c>
      <c r="C7" s="1071">
        <f>'Prescriptive Path'!K1</f>
        <v>5</v>
      </c>
    </row>
    <row r="9" spans="1:7" ht="37.5" hidden="1" customHeight="1">
      <c r="B9" s="1066" t="s">
        <v>2001</v>
      </c>
      <c r="C9" s="1064" t="s">
        <v>362</v>
      </c>
    </row>
    <row r="10" spans="1:7" hidden="1"/>
    <row r="11" spans="1:7" ht="37.5" hidden="1" customHeight="1">
      <c r="B11" s="1066" t="s">
        <v>574</v>
      </c>
      <c r="C11" s="1064" t="s">
        <v>362</v>
      </c>
    </row>
    <row r="13" spans="1:7" s="1429" customFormat="1">
      <c r="B13" s="1067" t="s">
        <v>575</v>
      </c>
      <c r="C13" s="1067" t="s">
        <v>576</v>
      </c>
      <c r="D13" s="1067" t="s">
        <v>577</v>
      </c>
      <c r="E13" s="1067" t="s">
        <v>578</v>
      </c>
      <c r="F13" s="1067" t="s">
        <v>579</v>
      </c>
      <c r="G13" s="1067" t="s">
        <v>580</v>
      </c>
    </row>
    <row r="14" spans="1:7" s="1429" customFormat="1">
      <c r="B14" s="2608" t="s">
        <v>581</v>
      </c>
      <c r="C14" s="788"/>
      <c r="D14" s="788"/>
      <c r="E14" s="789"/>
      <c r="F14" s="788"/>
      <c r="G14" s="788"/>
    </row>
    <row r="15" spans="1:7" s="1429" customFormat="1">
      <c r="B15" s="2608"/>
      <c r="C15" s="788"/>
      <c r="D15" s="788"/>
      <c r="E15" s="788"/>
      <c r="F15" s="788"/>
      <c r="G15" s="788"/>
    </row>
    <row r="16" spans="1:7" s="1429" customFormat="1">
      <c r="B16" s="2608"/>
      <c r="C16" s="788"/>
      <c r="D16" s="788"/>
      <c r="E16" s="788"/>
      <c r="F16" s="788"/>
      <c r="G16" s="788"/>
    </row>
    <row r="17" spans="2:16" s="1429" customFormat="1">
      <c r="B17" s="2608" t="s">
        <v>582</v>
      </c>
      <c r="C17" s="788"/>
      <c r="D17" s="788"/>
      <c r="E17" s="788"/>
      <c r="F17" s="788"/>
      <c r="G17" s="788"/>
    </row>
    <row r="18" spans="2:16" s="1429" customFormat="1">
      <c r="B18" s="2608"/>
      <c r="C18" s="788"/>
      <c r="D18" s="788"/>
      <c r="E18" s="788"/>
      <c r="F18" s="788"/>
      <c r="G18" s="788"/>
    </row>
    <row r="19" spans="2:16" s="1429" customFormat="1">
      <c r="B19" s="2608"/>
      <c r="C19" s="788"/>
      <c r="D19" s="788"/>
      <c r="E19" s="788"/>
      <c r="F19" s="788"/>
      <c r="G19" s="788"/>
    </row>
    <row r="20" spans="2:16" s="1429" customFormat="1">
      <c r="B20" s="2608" t="s">
        <v>583</v>
      </c>
      <c r="C20" s="788"/>
      <c r="D20" s="788"/>
      <c r="E20" s="788"/>
      <c r="F20" s="788"/>
      <c r="G20" s="788"/>
    </row>
    <row r="21" spans="2:16" s="1429" customFormat="1">
      <c r="B21" s="2608"/>
      <c r="C21" s="788"/>
      <c r="D21" s="788"/>
      <c r="E21" s="788"/>
      <c r="F21" s="788"/>
      <c r="G21" s="788"/>
    </row>
    <row r="22" spans="2:16" s="1429" customFormat="1">
      <c r="B22" s="2608"/>
      <c r="C22" s="788"/>
      <c r="D22" s="788"/>
      <c r="E22" s="788"/>
      <c r="F22" s="788"/>
      <c r="G22" s="788"/>
    </row>
    <row r="23" spans="2:16" s="1429" customFormat="1">
      <c r="B23" s="2608" t="s">
        <v>584</v>
      </c>
      <c r="C23" s="788"/>
      <c r="D23" s="788"/>
      <c r="E23" s="788"/>
      <c r="F23" s="788"/>
      <c r="G23" s="788"/>
    </row>
    <row r="24" spans="2:16" s="1429" customFormat="1">
      <c r="B24" s="2608"/>
      <c r="C24" s="788"/>
      <c r="D24" s="788"/>
      <c r="E24" s="788"/>
      <c r="F24" s="788"/>
      <c r="G24" s="788"/>
    </row>
    <row r="25" spans="2:16" s="1429" customFormat="1">
      <c r="B25" s="2608"/>
      <c r="C25" s="788"/>
      <c r="D25" s="788"/>
      <c r="E25" s="788"/>
      <c r="F25" s="788"/>
      <c r="G25" s="788"/>
    </row>
    <row r="26" spans="2:16" s="1429" customFormat="1">
      <c r="B26" s="2608" t="s">
        <v>585</v>
      </c>
      <c r="C26" s="788"/>
      <c r="D26" s="788"/>
      <c r="E26" s="788"/>
      <c r="F26" s="788"/>
      <c r="G26" s="788"/>
    </row>
    <row r="27" spans="2:16" s="1429" customFormat="1">
      <c r="B27" s="2608"/>
      <c r="C27" s="788"/>
      <c r="D27" s="788"/>
      <c r="E27" s="788"/>
      <c r="F27" s="788"/>
      <c r="G27" s="788"/>
    </row>
    <row r="28" spans="2:16" s="1429" customFormat="1">
      <c r="B28" s="2608"/>
      <c r="C28" s="788"/>
      <c r="D28" s="788"/>
      <c r="E28" s="788"/>
      <c r="F28" s="788"/>
      <c r="G28" s="788"/>
    </row>
    <row r="30" spans="2:16" ht="13.5" customHeight="1"/>
    <row r="31" spans="2:16">
      <c r="P31" s="1428" t="s">
        <v>2000</v>
      </c>
    </row>
    <row r="32" spans="2:16">
      <c r="P32" s="1426" t="s">
        <v>571</v>
      </c>
    </row>
    <row r="33" spans="2:16">
      <c r="P33" s="1426" t="s">
        <v>1999</v>
      </c>
    </row>
    <row r="34" spans="2:16">
      <c r="B34" s="1065" t="s">
        <v>586</v>
      </c>
      <c r="C34" s="788"/>
    </row>
    <row r="35" spans="2:16">
      <c r="P35" s="1324" t="s">
        <v>587</v>
      </c>
    </row>
    <row r="36" spans="2:16">
      <c r="C36" s="790" t="s">
        <v>588</v>
      </c>
      <c r="D36" s="790" t="s">
        <v>589</v>
      </c>
      <c r="P36" s="1324">
        <v>1</v>
      </c>
    </row>
    <row r="37" spans="2:16">
      <c r="B37" s="1065" t="s">
        <v>590</v>
      </c>
      <c r="C37" s="788"/>
      <c r="D37" s="788"/>
      <c r="P37" s="1324">
        <v>2</v>
      </c>
    </row>
    <row r="38" spans="2:16">
      <c r="B38" s="1065" t="s">
        <v>591</v>
      </c>
      <c r="C38" s="788"/>
      <c r="D38" s="788"/>
      <c r="P38" s="1324">
        <v>3</v>
      </c>
    </row>
    <row r="39" spans="2:16">
      <c r="B39" s="1065" t="s">
        <v>592</v>
      </c>
      <c r="C39" s="788"/>
      <c r="D39" s="788"/>
      <c r="E39" s="1426" t="s">
        <v>0</v>
      </c>
      <c r="P39" s="1324">
        <v>4</v>
      </c>
    </row>
    <row r="40" spans="2:16">
      <c r="B40" s="1065" t="s">
        <v>593</v>
      </c>
      <c r="C40" s="788"/>
      <c r="D40" s="788"/>
      <c r="P40" s="1324">
        <v>5</v>
      </c>
    </row>
    <row r="41" spans="2:16">
      <c r="B41" s="1065" t="s">
        <v>594</v>
      </c>
      <c r="C41" s="788"/>
      <c r="D41" s="788"/>
      <c r="P41" s="1324">
        <v>6</v>
      </c>
    </row>
    <row r="42" spans="2:16">
      <c r="P42" s="1324">
        <v>7</v>
      </c>
    </row>
    <row r="43" spans="2:16">
      <c r="C43" s="790" t="s">
        <v>595</v>
      </c>
      <c r="P43" s="1324">
        <v>8</v>
      </c>
    </row>
    <row r="44" spans="2:16">
      <c r="B44" s="791" t="s">
        <v>596</v>
      </c>
      <c r="C44" s="791" t="s">
        <v>597</v>
      </c>
    </row>
    <row r="45" spans="2:16">
      <c r="B45" s="792" t="s">
        <v>598</v>
      </c>
      <c r="C45" s="1012">
        <f>'Prescriptive Path'!H89</f>
        <v>0</v>
      </c>
    </row>
    <row r="46" spans="2:16">
      <c r="B46" s="792" t="s">
        <v>599</v>
      </c>
      <c r="C46" s="788"/>
    </row>
    <row r="47" spans="2:16">
      <c r="B47" s="792" t="s">
        <v>600</v>
      </c>
      <c r="C47" s="788"/>
    </row>
    <row r="48" spans="2:16">
      <c r="B48" s="792" t="s">
        <v>93</v>
      </c>
      <c r="C48" s="1012">
        <f>'Prescriptive Path'!H86</f>
        <v>0</v>
      </c>
    </row>
    <row r="49" spans="2:4">
      <c r="B49" s="792" t="s">
        <v>601</v>
      </c>
      <c r="C49" s="1012">
        <f>'Prescriptive Path'!H85</f>
        <v>0</v>
      </c>
    </row>
    <row r="50" spans="2:4">
      <c r="B50" s="792" t="s">
        <v>602</v>
      </c>
      <c r="C50" s="1012">
        <f>'Prescriptive Path'!H84</f>
        <v>0</v>
      </c>
    </row>
    <row r="51" spans="2:4">
      <c r="B51" s="792" t="s">
        <v>603</v>
      </c>
      <c r="C51" s="788"/>
    </row>
    <row r="52" spans="2:4">
      <c r="B52" s="792" t="s">
        <v>98</v>
      </c>
      <c r="C52" s="788"/>
    </row>
    <row r="53" spans="2:4">
      <c r="B53" s="792" t="s">
        <v>604</v>
      </c>
      <c r="C53" s="788"/>
    </row>
    <row r="54" spans="2:4">
      <c r="B54" s="792" t="s">
        <v>605</v>
      </c>
      <c r="C54" s="788"/>
    </row>
    <row r="55" spans="2:4">
      <c r="B55" s="792" t="s">
        <v>606</v>
      </c>
      <c r="C55" s="788"/>
    </row>
    <row r="56" spans="2:4">
      <c r="B56" s="792" t="s">
        <v>607</v>
      </c>
      <c r="C56" s="788"/>
    </row>
    <row r="57" spans="2:4">
      <c r="B57" s="792" t="s">
        <v>608</v>
      </c>
      <c r="C57" s="788"/>
    </row>
    <row r="58" spans="2:4">
      <c r="B58" s="1427"/>
      <c r="C58" s="1426"/>
      <c r="D58" s="1426"/>
    </row>
    <row r="59" spans="2:4">
      <c r="B59" s="793" t="s">
        <v>609</v>
      </c>
      <c r="C59" s="788"/>
    </row>
    <row r="170" spans="2:2" ht="18">
      <c r="B170" s="794"/>
    </row>
  </sheetData>
  <mergeCells count="5">
    <mergeCell ref="B26:B28"/>
    <mergeCell ref="B14:B16"/>
    <mergeCell ref="B17:B19"/>
    <mergeCell ref="B20:B22"/>
    <mergeCell ref="B23:B25"/>
  </mergeCells>
  <conditionalFormatting sqref="B31:G59">
    <cfRule type="expression" dxfId="34" priority="1" stopIfTrue="1">
      <formula>$C$4="Performance"</formula>
    </cfRule>
  </conditionalFormatting>
  <dataValidations count="7">
    <dataValidation type="list" allowBlank="1" showInputMessage="1" showErrorMessage="1" sqref="C59 IY59 SU59 ACQ59 AMM59 AWI59 BGE59 BQA59 BZW59 CJS59 CTO59 DDK59 DNG59 DXC59 EGY59 EQU59 FAQ59 FKM59 FUI59 GEE59 GOA59 GXW59 HHS59 HRO59 IBK59 ILG59 IVC59 JEY59 JOU59 JYQ59 KIM59 KSI59 LCE59 LMA59 LVW59 MFS59 MPO59 MZK59 NJG59 NTC59 OCY59 OMU59 OWQ59 PGM59 PQI59 QAE59 QKA59 QTW59 RDS59 RNO59 RXK59 SHG59 SRC59 TAY59 TKU59 TUQ59 UEM59 UOI59 UYE59 VIA59 VRW59 WBS59 WLO59 WVK59 C65595 IY65595 SU65595 ACQ65595 AMM65595 AWI65595 BGE65595 BQA65595 BZW65595 CJS65595 CTO65595 DDK65595 DNG65595 DXC65595 EGY65595 EQU65595 FAQ65595 FKM65595 FUI65595 GEE65595 GOA65595 GXW65595 HHS65595 HRO65595 IBK65595 ILG65595 IVC65595 JEY65595 JOU65595 JYQ65595 KIM65595 KSI65595 LCE65595 LMA65595 LVW65595 MFS65595 MPO65595 MZK65595 NJG65595 NTC65595 OCY65595 OMU65595 OWQ65595 PGM65595 PQI65595 QAE65595 QKA65595 QTW65595 RDS65595 RNO65595 RXK65595 SHG65595 SRC65595 TAY65595 TKU65595 TUQ65595 UEM65595 UOI65595 UYE65595 VIA65595 VRW65595 WBS65595 WLO65595 WVK65595 C131131 IY131131 SU131131 ACQ131131 AMM131131 AWI131131 BGE131131 BQA131131 BZW131131 CJS131131 CTO131131 DDK131131 DNG131131 DXC131131 EGY131131 EQU131131 FAQ131131 FKM131131 FUI131131 GEE131131 GOA131131 GXW131131 HHS131131 HRO131131 IBK131131 ILG131131 IVC131131 JEY131131 JOU131131 JYQ131131 KIM131131 KSI131131 LCE131131 LMA131131 LVW131131 MFS131131 MPO131131 MZK131131 NJG131131 NTC131131 OCY131131 OMU131131 OWQ131131 PGM131131 PQI131131 QAE131131 QKA131131 QTW131131 RDS131131 RNO131131 RXK131131 SHG131131 SRC131131 TAY131131 TKU131131 TUQ131131 UEM131131 UOI131131 UYE131131 VIA131131 VRW131131 WBS131131 WLO131131 WVK131131 C196667 IY196667 SU196667 ACQ196667 AMM196667 AWI196667 BGE196667 BQA196667 BZW196667 CJS196667 CTO196667 DDK196667 DNG196667 DXC196667 EGY196667 EQU196667 FAQ196667 FKM196667 FUI196667 GEE196667 GOA196667 GXW196667 HHS196667 HRO196667 IBK196667 ILG196667 IVC196667 JEY196667 JOU196667 JYQ196667 KIM196667 KSI196667 LCE196667 LMA196667 LVW196667 MFS196667 MPO196667 MZK196667 NJG196667 NTC196667 OCY196667 OMU196667 OWQ196667 PGM196667 PQI196667 QAE196667 QKA196667 QTW196667 RDS196667 RNO196667 RXK196667 SHG196667 SRC196667 TAY196667 TKU196667 TUQ196667 UEM196667 UOI196667 UYE196667 VIA196667 VRW196667 WBS196667 WLO196667 WVK196667 C262203 IY262203 SU262203 ACQ262203 AMM262203 AWI262203 BGE262203 BQA262203 BZW262203 CJS262203 CTO262203 DDK262203 DNG262203 DXC262203 EGY262203 EQU262203 FAQ262203 FKM262203 FUI262203 GEE262203 GOA262203 GXW262203 HHS262203 HRO262203 IBK262203 ILG262203 IVC262203 JEY262203 JOU262203 JYQ262203 KIM262203 KSI262203 LCE262203 LMA262203 LVW262203 MFS262203 MPO262203 MZK262203 NJG262203 NTC262203 OCY262203 OMU262203 OWQ262203 PGM262203 PQI262203 QAE262203 QKA262203 QTW262203 RDS262203 RNO262203 RXK262203 SHG262203 SRC262203 TAY262203 TKU262203 TUQ262203 UEM262203 UOI262203 UYE262203 VIA262203 VRW262203 WBS262203 WLO262203 WVK262203 C327739 IY327739 SU327739 ACQ327739 AMM327739 AWI327739 BGE327739 BQA327739 BZW327739 CJS327739 CTO327739 DDK327739 DNG327739 DXC327739 EGY327739 EQU327739 FAQ327739 FKM327739 FUI327739 GEE327739 GOA327739 GXW327739 HHS327739 HRO327739 IBK327739 ILG327739 IVC327739 JEY327739 JOU327739 JYQ327739 KIM327739 KSI327739 LCE327739 LMA327739 LVW327739 MFS327739 MPO327739 MZK327739 NJG327739 NTC327739 OCY327739 OMU327739 OWQ327739 PGM327739 PQI327739 QAE327739 QKA327739 QTW327739 RDS327739 RNO327739 RXK327739 SHG327739 SRC327739 TAY327739 TKU327739 TUQ327739 UEM327739 UOI327739 UYE327739 VIA327739 VRW327739 WBS327739 WLO327739 WVK327739 C393275 IY393275 SU393275 ACQ393275 AMM393275 AWI393275 BGE393275 BQA393275 BZW393275 CJS393275 CTO393275 DDK393275 DNG393275 DXC393275 EGY393275 EQU393275 FAQ393275 FKM393275 FUI393275 GEE393275 GOA393275 GXW393275 HHS393275 HRO393275 IBK393275 ILG393275 IVC393275 JEY393275 JOU393275 JYQ393275 KIM393275 KSI393275 LCE393275 LMA393275 LVW393275 MFS393275 MPO393275 MZK393275 NJG393275 NTC393275 OCY393275 OMU393275 OWQ393275 PGM393275 PQI393275 QAE393275 QKA393275 QTW393275 RDS393275 RNO393275 RXK393275 SHG393275 SRC393275 TAY393275 TKU393275 TUQ393275 UEM393275 UOI393275 UYE393275 VIA393275 VRW393275 WBS393275 WLO393275 WVK393275 C458811 IY458811 SU458811 ACQ458811 AMM458811 AWI458811 BGE458811 BQA458811 BZW458811 CJS458811 CTO458811 DDK458811 DNG458811 DXC458811 EGY458811 EQU458811 FAQ458811 FKM458811 FUI458811 GEE458811 GOA458811 GXW458811 HHS458811 HRO458811 IBK458811 ILG458811 IVC458811 JEY458811 JOU458811 JYQ458811 KIM458811 KSI458811 LCE458811 LMA458811 LVW458811 MFS458811 MPO458811 MZK458811 NJG458811 NTC458811 OCY458811 OMU458811 OWQ458811 PGM458811 PQI458811 QAE458811 QKA458811 QTW458811 RDS458811 RNO458811 RXK458811 SHG458811 SRC458811 TAY458811 TKU458811 TUQ458811 UEM458811 UOI458811 UYE458811 VIA458811 VRW458811 WBS458811 WLO458811 WVK458811 C524347 IY524347 SU524347 ACQ524347 AMM524347 AWI524347 BGE524347 BQA524347 BZW524347 CJS524347 CTO524347 DDK524347 DNG524347 DXC524347 EGY524347 EQU524347 FAQ524347 FKM524347 FUI524347 GEE524347 GOA524347 GXW524347 HHS524347 HRO524347 IBK524347 ILG524347 IVC524347 JEY524347 JOU524347 JYQ524347 KIM524347 KSI524347 LCE524347 LMA524347 LVW524347 MFS524347 MPO524347 MZK524347 NJG524347 NTC524347 OCY524347 OMU524347 OWQ524347 PGM524347 PQI524347 QAE524347 QKA524347 QTW524347 RDS524347 RNO524347 RXK524347 SHG524347 SRC524347 TAY524347 TKU524347 TUQ524347 UEM524347 UOI524347 UYE524347 VIA524347 VRW524347 WBS524347 WLO524347 WVK524347 C589883 IY589883 SU589883 ACQ589883 AMM589883 AWI589883 BGE589883 BQA589883 BZW589883 CJS589883 CTO589883 DDK589883 DNG589883 DXC589883 EGY589883 EQU589883 FAQ589883 FKM589883 FUI589883 GEE589883 GOA589883 GXW589883 HHS589883 HRO589883 IBK589883 ILG589883 IVC589883 JEY589883 JOU589883 JYQ589883 KIM589883 KSI589883 LCE589883 LMA589883 LVW589883 MFS589883 MPO589883 MZK589883 NJG589883 NTC589883 OCY589883 OMU589883 OWQ589883 PGM589883 PQI589883 QAE589883 QKA589883 QTW589883 RDS589883 RNO589883 RXK589883 SHG589883 SRC589883 TAY589883 TKU589883 TUQ589883 UEM589883 UOI589883 UYE589883 VIA589883 VRW589883 WBS589883 WLO589883 WVK589883 C655419 IY655419 SU655419 ACQ655419 AMM655419 AWI655419 BGE655419 BQA655419 BZW655419 CJS655419 CTO655419 DDK655419 DNG655419 DXC655419 EGY655419 EQU655419 FAQ655419 FKM655419 FUI655419 GEE655419 GOA655419 GXW655419 HHS655419 HRO655419 IBK655419 ILG655419 IVC655419 JEY655419 JOU655419 JYQ655419 KIM655419 KSI655419 LCE655419 LMA655419 LVW655419 MFS655419 MPO655419 MZK655419 NJG655419 NTC655419 OCY655419 OMU655419 OWQ655419 PGM655419 PQI655419 QAE655419 QKA655419 QTW655419 RDS655419 RNO655419 RXK655419 SHG655419 SRC655419 TAY655419 TKU655419 TUQ655419 UEM655419 UOI655419 UYE655419 VIA655419 VRW655419 WBS655419 WLO655419 WVK655419 C720955 IY720955 SU720955 ACQ720955 AMM720955 AWI720955 BGE720955 BQA720955 BZW720955 CJS720955 CTO720955 DDK720955 DNG720955 DXC720955 EGY720955 EQU720955 FAQ720955 FKM720955 FUI720955 GEE720955 GOA720955 GXW720955 HHS720955 HRO720955 IBK720955 ILG720955 IVC720955 JEY720955 JOU720955 JYQ720955 KIM720955 KSI720955 LCE720955 LMA720955 LVW720955 MFS720955 MPO720955 MZK720955 NJG720955 NTC720955 OCY720955 OMU720955 OWQ720955 PGM720955 PQI720955 QAE720955 QKA720955 QTW720955 RDS720955 RNO720955 RXK720955 SHG720955 SRC720955 TAY720955 TKU720955 TUQ720955 UEM720955 UOI720955 UYE720955 VIA720955 VRW720955 WBS720955 WLO720955 WVK720955 C786491 IY786491 SU786491 ACQ786491 AMM786491 AWI786491 BGE786491 BQA786491 BZW786491 CJS786491 CTO786491 DDK786491 DNG786491 DXC786491 EGY786491 EQU786491 FAQ786491 FKM786491 FUI786491 GEE786491 GOA786491 GXW786491 HHS786491 HRO786491 IBK786491 ILG786491 IVC786491 JEY786491 JOU786491 JYQ786491 KIM786491 KSI786491 LCE786491 LMA786491 LVW786491 MFS786491 MPO786491 MZK786491 NJG786491 NTC786491 OCY786491 OMU786491 OWQ786491 PGM786491 PQI786491 QAE786491 QKA786491 QTW786491 RDS786491 RNO786491 RXK786491 SHG786491 SRC786491 TAY786491 TKU786491 TUQ786491 UEM786491 UOI786491 UYE786491 VIA786491 VRW786491 WBS786491 WLO786491 WVK786491 C852027 IY852027 SU852027 ACQ852027 AMM852027 AWI852027 BGE852027 BQA852027 BZW852027 CJS852027 CTO852027 DDK852027 DNG852027 DXC852027 EGY852027 EQU852027 FAQ852027 FKM852027 FUI852027 GEE852027 GOA852027 GXW852027 HHS852027 HRO852027 IBK852027 ILG852027 IVC852027 JEY852027 JOU852027 JYQ852027 KIM852027 KSI852027 LCE852027 LMA852027 LVW852027 MFS852027 MPO852027 MZK852027 NJG852027 NTC852027 OCY852027 OMU852027 OWQ852027 PGM852027 PQI852027 QAE852027 QKA852027 QTW852027 RDS852027 RNO852027 RXK852027 SHG852027 SRC852027 TAY852027 TKU852027 TUQ852027 UEM852027 UOI852027 UYE852027 VIA852027 VRW852027 WBS852027 WLO852027 WVK852027 C917563 IY917563 SU917563 ACQ917563 AMM917563 AWI917563 BGE917563 BQA917563 BZW917563 CJS917563 CTO917563 DDK917563 DNG917563 DXC917563 EGY917563 EQU917563 FAQ917563 FKM917563 FUI917563 GEE917563 GOA917563 GXW917563 HHS917563 HRO917563 IBK917563 ILG917563 IVC917563 JEY917563 JOU917563 JYQ917563 KIM917563 KSI917563 LCE917563 LMA917563 LVW917563 MFS917563 MPO917563 MZK917563 NJG917563 NTC917563 OCY917563 OMU917563 OWQ917563 PGM917563 PQI917563 QAE917563 QKA917563 QTW917563 RDS917563 RNO917563 RXK917563 SHG917563 SRC917563 TAY917563 TKU917563 TUQ917563 UEM917563 UOI917563 UYE917563 VIA917563 VRW917563 WBS917563 WLO917563 WVK917563 C983099 IY983099 SU983099 ACQ983099 AMM983099 AWI983099 BGE983099 BQA983099 BZW983099 CJS983099 CTO983099 DDK983099 DNG983099 DXC983099 EGY983099 EQU983099 FAQ983099 FKM983099 FUI983099 GEE983099 GOA983099 GXW983099 HHS983099 HRO983099 IBK983099 ILG983099 IVC983099 JEY983099 JOU983099 JYQ983099 KIM983099 KSI983099 LCE983099 LMA983099 LVW983099 MFS983099 MPO983099 MZK983099 NJG983099 NTC983099 OCY983099 OMU983099 OWQ983099 PGM983099 PQI983099 QAE983099 QKA983099 QTW983099 RDS983099 RNO983099 RXK983099 SHG983099 SRC983099 TAY983099 TKU983099 TUQ983099 UEM983099 UOI983099 UYE983099 VIA983099 VRW983099 WBS983099 WLO983099 WVK983099">
      <formula1>"Underground, Above Ground, Covered, Parking Lot "</formula1>
    </dataValidation>
    <dataValidation type="list" allowBlank="1" showInputMessage="1" showErrorMessage="1" sqref="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C9 IY9 SU9 ACQ9 AMM9 AWI9 BGE9 BQA9 BZW9 CJS9 CTO9 DDK9 DNG9 DXC9 EGY9 EQU9 FAQ9 FKM9 FUI9 GEE9 GOA9 GXW9 HHS9 HRO9 IBK9 ILG9 IVC9 JEY9 JOU9 JYQ9 KIM9 KSI9 LCE9 LMA9 LVW9 MFS9 MPO9 MZK9 NJG9 NTC9 OCY9 OMU9 OWQ9 PGM9 PQI9 QAE9 QKA9 QTW9 RDS9 RNO9 RXK9 SHG9 SRC9 TAY9 TKU9 TUQ9 UEM9 UOI9 UYE9 VIA9 VRW9 WBS9 WLO9 WVK9 C65545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C131081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C196617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C262153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C327689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C393225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C458761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C524297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C589833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C655369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C720905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C786441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C851977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C917513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C983049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WVK983049">
      <formula1>"Yes,No"</formula1>
    </dataValidation>
    <dataValidation allowBlank="1" showInputMessage="1" showErrorMessage="1" promptTitle="Number of Studios" prompt="Enter the number of studios for each building - NOT the entire project - if more than one identical building." sqref="C37 IY37 SU37 ACQ37 AMM37 AWI37 BGE37 BQA37 BZW37 CJS37 CTO37 DDK37 DNG37 DXC37 EGY37 EQU37 FAQ37 FKM37 FUI37 GEE37 GOA37 GXW37 HHS37 HRO37 IBK37 ILG37 IVC37 JEY37 JOU37 JYQ37 KIM37 KSI37 LCE37 LMA37 LVW37 MFS37 MPO37 MZK37 NJG37 NTC37 OCY37 OMU37 OWQ37 PGM37 PQI37 QAE37 QKA37 QTW37 RDS37 RNO37 RXK37 SHG37 SRC37 TAY37 TKU37 TUQ37 UEM37 UOI37 UYE37 VIA37 VRW37 WBS37 WLO37 WVK37 C65573 IY65573 SU65573 ACQ65573 AMM65573 AWI65573 BGE65573 BQA65573 BZW65573 CJS65573 CTO65573 DDK65573 DNG65573 DXC65573 EGY65573 EQU65573 FAQ65573 FKM65573 FUI65573 GEE65573 GOA65573 GXW65573 HHS65573 HRO65573 IBK65573 ILG65573 IVC65573 JEY65573 JOU65573 JYQ65573 KIM65573 KSI65573 LCE65573 LMA65573 LVW65573 MFS65573 MPO65573 MZK65573 NJG65573 NTC65573 OCY65573 OMU65573 OWQ65573 PGM65573 PQI65573 QAE65573 QKA65573 QTW65573 RDS65573 RNO65573 RXK65573 SHG65573 SRC65573 TAY65573 TKU65573 TUQ65573 UEM65573 UOI65573 UYE65573 VIA65573 VRW65573 WBS65573 WLO65573 WVK65573 C131109 IY131109 SU131109 ACQ131109 AMM131109 AWI131109 BGE131109 BQA131109 BZW131109 CJS131109 CTO131109 DDK131109 DNG131109 DXC131109 EGY131109 EQU131109 FAQ131109 FKM131109 FUI131109 GEE131109 GOA131109 GXW131109 HHS131109 HRO131109 IBK131109 ILG131109 IVC131109 JEY131109 JOU131109 JYQ131109 KIM131109 KSI131109 LCE131109 LMA131109 LVW131109 MFS131109 MPO131109 MZK131109 NJG131109 NTC131109 OCY131109 OMU131109 OWQ131109 PGM131109 PQI131109 QAE131109 QKA131109 QTW131109 RDS131109 RNO131109 RXK131109 SHG131109 SRC131109 TAY131109 TKU131109 TUQ131109 UEM131109 UOI131109 UYE131109 VIA131109 VRW131109 WBS131109 WLO131109 WVK131109 C196645 IY196645 SU196645 ACQ196645 AMM196645 AWI196645 BGE196645 BQA196645 BZW196645 CJS196645 CTO196645 DDK196645 DNG196645 DXC196645 EGY196645 EQU196645 FAQ196645 FKM196645 FUI196645 GEE196645 GOA196645 GXW196645 HHS196645 HRO196645 IBK196645 ILG196645 IVC196645 JEY196645 JOU196645 JYQ196645 KIM196645 KSI196645 LCE196645 LMA196645 LVW196645 MFS196645 MPO196645 MZK196645 NJG196645 NTC196645 OCY196645 OMU196645 OWQ196645 PGM196645 PQI196645 QAE196645 QKA196645 QTW196645 RDS196645 RNO196645 RXK196645 SHG196645 SRC196645 TAY196645 TKU196645 TUQ196645 UEM196645 UOI196645 UYE196645 VIA196645 VRW196645 WBS196645 WLO196645 WVK196645 C262181 IY262181 SU262181 ACQ262181 AMM262181 AWI262181 BGE262181 BQA262181 BZW262181 CJS262181 CTO262181 DDK262181 DNG262181 DXC262181 EGY262181 EQU262181 FAQ262181 FKM262181 FUI262181 GEE262181 GOA262181 GXW262181 HHS262181 HRO262181 IBK262181 ILG262181 IVC262181 JEY262181 JOU262181 JYQ262181 KIM262181 KSI262181 LCE262181 LMA262181 LVW262181 MFS262181 MPO262181 MZK262181 NJG262181 NTC262181 OCY262181 OMU262181 OWQ262181 PGM262181 PQI262181 QAE262181 QKA262181 QTW262181 RDS262181 RNO262181 RXK262181 SHG262181 SRC262181 TAY262181 TKU262181 TUQ262181 UEM262181 UOI262181 UYE262181 VIA262181 VRW262181 WBS262181 WLO262181 WVK262181 C327717 IY327717 SU327717 ACQ327717 AMM327717 AWI327717 BGE327717 BQA327717 BZW327717 CJS327717 CTO327717 DDK327717 DNG327717 DXC327717 EGY327717 EQU327717 FAQ327717 FKM327717 FUI327717 GEE327717 GOA327717 GXW327717 HHS327717 HRO327717 IBK327717 ILG327717 IVC327717 JEY327717 JOU327717 JYQ327717 KIM327717 KSI327717 LCE327717 LMA327717 LVW327717 MFS327717 MPO327717 MZK327717 NJG327717 NTC327717 OCY327717 OMU327717 OWQ327717 PGM327717 PQI327717 QAE327717 QKA327717 QTW327717 RDS327717 RNO327717 RXK327717 SHG327717 SRC327717 TAY327717 TKU327717 TUQ327717 UEM327717 UOI327717 UYE327717 VIA327717 VRW327717 WBS327717 WLO327717 WVK327717 C393253 IY393253 SU393253 ACQ393253 AMM393253 AWI393253 BGE393253 BQA393253 BZW393253 CJS393253 CTO393253 DDK393253 DNG393253 DXC393253 EGY393253 EQU393253 FAQ393253 FKM393253 FUI393253 GEE393253 GOA393253 GXW393253 HHS393253 HRO393253 IBK393253 ILG393253 IVC393253 JEY393253 JOU393253 JYQ393253 KIM393253 KSI393253 LCE393253 LMA393253 LVW393253 MFS393253 MPO393253 MZK393253 NJG393253 NTC393253 OCY393253 OMU393253 OWQ393253 PGM393253 PQI393253 QAE393253 QKA393253 QTW393253 RDS393253 RNO393253 RXK393253 SHG393253 SRC393253 TAY393253 TKU393253 TUQ393253 UEM393253 UOI393253 UYE393253 VIA393253 VRW393253 WBS393253 WLO393253 WVK393253 C458789 IY458789 SU458789 ACQ458789 AMM458789 AWI458789 BGE458789 BQA458789 BZW458789 CJS458789 CTO458789 DDK458789 DNG458789 DXC458789 EGY458789 EQU458789 FAQ458789 FKM458789 FUI458789 GEE458789 GOA458789 GXW458789 HHS458789 HRO458789 IBK458789 ILG458789 IVC458789 JEY458789 JOU458789 JYQ458789 KIM458789 KSI458789 LCE458789 LMA458789 LVW458789 MFS458789 MPO458789 MZK458789 NJG458789 NTC458789 OCY458789 OMU458789 OWQ458789 PGM458789 PQI458789 QAE458789 QKA458789 QTW458789 RDS458789 RNO458789 RXK458789 SHG458789 SRC458789 TAY458789 TKU458789 TUQ458789 UEM458789 UOI458789 UYE458789 VIA458789 VRW458789 WBS458789 WLO458789 WVK458789 C524325 IY524325 SU524325 ACQ524325 AMM524325 AWI524325 BGE524325 BQA524325 BZW524325 CJS524325 CTO524325 DDK524325 DNG524325 DXC524325 EGY524325 EQU524325 FAQ524325 FKM524325 FUI524325 GEE524325 GOA524325 GXW524325 HHS524325 HRO524325 IBK524325 ILG524325 IVC524325 JEY524325 JOU524325 JYQ524325 KIM524325 KSI524325 LCE524325 LMA524325 LVW524325 MFS524325 MPO524325 MZK524325 NJG524325 NTC524325 OCY524325 OMU524325 OWQ524325 PGM524325 PQI524325 QAE524325 QKA524325 QTW524325 RDS524325 RNO524325 RXK524325 SHG524325 SRC524325 TAY524325 TKU524325 TUQ524325 UEM524325 UOI524325 UYE524325 VIA524325 VRW524325 WBS524325 WLO524325 WVK524325 C589861 IY589861 SU589861 ACQ589861 AMM589861 AWI589861 BGE589861 BQA589861 BZW589861 CJS589861 CTO589861 DDK589861 DNG589861 DXC589861 EGY589861 EQU589861 FAQ589861 FKM589861 FUI589861 GEE589861 GOA589861 GXW589861 HHS589861 HRO589861 IBK589861 ILG589861 IVC589861 JEY589861 JOU589861 JYQ589861 KIM589861 KSI589861 LCE589861 LMA589861 LVW589861 MFS589861 MPO589861 MZK589861 NJG589861 NTC589861 OCY589861 OMU589861 OWQ589861 PGM589861 PQI589861 QAE589861 QKA589861 QTW589861 RDS589861 RNO589861 RXK589861 SHG589861 SRC589861 TAY589861 TKU589861 TUQ589861 UEM589861 UOI589861 UYE589861 VIA589861 VRW589861 WBS589861 WLO589861 WVK589861 C655397 IY655397 SU655397 ACQ655397 AMM655397 AWI655397 BGE655397 BQA655397 BZW655397 CJS655397 CTO655397 DDK655397 DNG655397 DXC655397 EGY655397 EQU655397 FAQ655397 FKM655397 FUI655397 GEE655397 GOA655397 GXW655397 HHS655397 HRO655397 IBK655397 ILG655397 IVC655397 JEY655397 JOU655397 JYQ655397 KIM655397 KSI655397 LCE655397 LMA655397 LVW655397 MFS655397 MPO655397 MZK655397 NJG655397 NTC655397 OCY655397 OMU655397 OWQ655397 PGM655397 PQI655397 QAE655397 QKA655397 QTW655397 RDS655397 RNO655397 RXK655397 SHG655397 SRC655397 TAY655397 TKU655397 TUQ655397 UEM655397 UOI655397 UYE655397 VIA655397 VRW655397 WBS655397 WLO655397 WVK655397 C720933 IY720933 SU720933 ACQ720933 AMM720933 AWI720933 BGE720933 BQA720933 BZW720933 CJS720933 CTO720933 DDK720933 DNG720933 DXC720933 EGY720933 EQU720933 FAQ720933 FKM720933 FUI720933 GEE720933 GOA720933 GXW720933 HHS720933 HRO720933 IBK720933 ILG720933 IVC720933 JEY720933 JOU720933 JYQ720933 KIM720933 KSI720933 LCE720933 LMA720933 LVW720933 MFS720933 MPO720933 MZK720933 NJG720933 NTC720933 OCY720933 OMU720933 OWQ720933 PGM720933 PQI720933 QAE720933 QKA720933 QTW720933 RDS720933 RNO720933 RXK720933 SHG720933 SRC720933 TAY720933 TKU720933 TUQ720933 UEM720933 UOI720933 UYE720933 VIA720933 VRW720933 WBS720933 WLO720933 WVK720933 C786469 IY786469 SU786469 ACQ786469 AMM786469 AWI786469 BGE786469 BQA786469 BZW786469 CJS786469 CTO786469 DDK786469 DNG786469 DXC786469 EGY786469 EQU786469 FAQ786469 FKM786469 FUI786469 GEE786469 GOA786469 GXW786469 HHS786469 HRO786469 IBK786469 ILG786469 IVC786469 JEY786469 JOU786469 JYQ786469 KIM786469 KSI786469 LCE786469 LMA786469 LVW786469 MFS786469 MPO786469 MZK786469 NJG786469 NTC786469 OCY786469 OMU786469 OWQ786469 PGM786469 PQI786469 QAE786469 QKA786469 QTW786469 RDS786469 RNO786469 RXK786469 SHG786469 SRC786469 TAY786469 TKU786469 TUQ786469 UEM786469 UOI786469 UYE786469 VIA786469 VRW786469 WBS786469 WLO786469 WVK786469 C852005 IY852005 SU852005 ACQ852005 AMM852005 AWI852005 BGE852005 BQA852005 BZW852005 CJS852005 CTO852005 DDK852005 DNG852005 DXC852005 EGY852005 EQU852005 FAQ852005 FKM852005 FUI852005 GEE852005 GOA852005 GXW852005 HHS852005 HRO852005 IBK852005 ILG852005 IVC852005 JEY852005 JOU852005 JYQ852005 KIM852005 KSI852005 LCE852005 LMA852005 LVW852005 MFS852005 MPO852005 MZK852005 NJG852005 NTC852005 OCY852005 OMU852005 OWQ852005 PGM852005 PQI852005 QAE852005 QKA852005 QTW852005 RDS852005 RNO852005 RXK852005 SHG852005 SRC852005 TAY852005 TKU852005 TUQ852005 UEM852005 UOI852005 UYE852005 VIA852005 VRW852005 WBS852005 WLO852005 WVK852005 C917541 IY917541 SU917541 ACQ917541 AMM917541 AWI917541 BGE917541 BQA917541 BZW917541 CJS917541 CTO917541 DDK917541 DNG917541 DXC917541 EGY917541 EQU917541 FAQ917541 FKM917541 FUI917541 GEE917541 GOA917541 GXW917541 HHS917541 HRO917541 IBK917541 ILG917541 IVC917541 JEY917541 JOU917541 JYQ917541 KIM917541 KSI917541 LCE917541 LMA917541 LVW917541 MFS917541 MPO917541 MZK917541 NJG917541 NTC917541 OCY917541 OMU917541 OWQ917541 PGM917541 PQI917541 QAE917541 QKA917541 QTW917541 RDS917541 RNO917541 RXK917541 SHG917541 SRC917541 TAY917541 TKU917541 TUQ917541 UEM917541 UOI917541 UYE917541 VIA917541 VRW917541 WBS917541 WLO917541 WVK917541 C983077 IY983077 SU983077 ACQ983077 AMM983077 AWI983077 BGE983077 BQA983077 BZW983077 CJS983077 CTO983077 DDK983077 DNG983077 DXC983077 EGY983077 EQU983077 FAQ983077 FKM983077 FUI983077 GEE983077 GOA983077 GXW983077 HHS983077 HRO983077 IBK983077 ILG983077 IVC983077 JEY983077 JOU983077 JYQ983077 KIM983077 KSI983077 LCE983077 LMA983077 LVW983077 MFS983077 MPO983077 MZK983077 NJG983077 NTC983077 OCY983077 OMU983077 OWQ983077 PGM983077 PQI983077 QAE983077 QKA983077 QTW983077 RDS983077 RNO983077 RXK983077 SHG983077 SRC983077 TAY983077 TKU983077 TUQ983077 UEM983077 UOI983077 UYE983077 VIA983077 VRW983077 WBS983077 WLO983077 WVK983077"/>
    <dataValidation allowBlank="1" showInputMessage="1" showErrorMessage="1" promptTitle="Number of 1 - Bedrooms" prompt="Enter the number of one-bedroom units per building - NOT the entire project - if more than one identical building." sqref="C38 IY38 SU38 ACQ38 AMM38 AWI38 BGE38 BQA38 BZW38 CJS38 CTO38 DDK38 DNG38 DXC38 EGY38 EQU38 FAQ38 FKM38 FUI38 GEE38 GOA38 GXW38 HHS38 HRO38 IBK38 ILG38 IVC38 JEY38 JOU38 JYQ38 KIM38 KSI38 LCE38 LMA38 LVW38 MFS38 MPO38 MZK38 NJG38 NTC38 OCY38 OMU38 OWQ38 PGM38 PQI38 QAE38 QKA38 QTW38 RDS38 RNO38 RXK38 SHG38 SRC38 TAY38 TKU38 TUQ38 UEM38 UOI38 UYE38 VIA38 VRW38 WBS38 WLO38 WVK38 C65574 IY65574 SU65574 ACQ65574 AMM65574 AWI65574 BGE65574 BQA65574 BZW65574 CJS65574 CTO65574 DDK65574 DNG65574 DXC65574 EGY65574 EQU65574 FAQ65574 FKM65574 FUI65574 GEE65574 GOA65574 GXW65574 HHS65574 HRO65574 IBK65574 ILG65574 IVC65574 JEY65574 JOU65574 JYQ65574 KIM65574 KSI65574 LCE65574 LMA65574 LVW65574 MFS65574 MPO65574 MZK65574 NJG65574 NTC65574 OCY65574 OMU65574 OWQ65574 PGM65574 PQI65574 QAE65574 QKA65574 QTW65574 RDS65574 RNO65574 RXK65574 SHG65574 SRC65574 TAY65574 TKU65574 TUQ65574 UEM65574 UOI65574 UYE65574 VIA65574 VRW65574 WBS65574 WLO65574 WVK65574 C131110 IY131110 SU131110 ACQ131110 AMM131110 AWI131110 BGE131110 BQA131110 BZW131110 CJS131110 CTO131110 DDK131110 DNG131110 DXC131110 EGY131110 EQU131110 FAQ131110 FKM131110 FUI131110 GEE131110 GOA131110 GXW131110 HHS131110 HRO131110 IBK131110 ILG131110 IVC131110 JEY131110 JOU131110 JYQ131110 KIM131110 KSI131110 LCE131110 LMA131110 LVW131110 MFS131110 MPO131110 MZK131110 NJG131110 NTC131110 OCY131110 OMU131110 OWQ131110 PGM131110 PQI131110 QAE131110 QKA131110 QTW131110 RDS131110 RNO131110 RXK131110 SHG131110 SRC131110 TAY131110 TKU131110 TUQ131110 UEM131110 UOI131110 UYE131110 VIA131110 VRW131110 WBS131110 WLO131110 WVK131110 C196646 IY196646 SU196646 ACQ196646 AMM196646 AWI196646 BGE196646 BQA196646 BZW196646 CJS196646 CTO196646 DDK196646 DNG196646 DXC196646 EGY196646 EQU196646 FAQ196646 FKM196646 FUI196646 GEE196646 GOA196646 GXW196646 HHS196646 HRO196646 IBK196646 ILG196646 IVC196646 JEY196646 JOU196646 JYQ196646 KIM196646 KSI196646 LCE196646 LMA196646 LVW196646 MFS196646 MPO196646 MZK196646 NJG196646 NTC196646 OCY196646 OMU196646 OWQ196646 PGM196646 PQI196646 QAE196646 QKA196646 QTW196646 RDS196646 RNO196646 RXK196646 SHG196646 SRC196646 TAY196646 TKU196646 TUQ196646 UEM196646 UOI196646 UYE196646 VIA196646 VRW196646 WBS196646 WLO196646 WVK196646 C262182 IY262182 SU262182 ACQ262182 AMM262182 AWI262182 BGE262182 BQA262182 BZW262182 CJS262182 CTO262182 DDK262182 DNG262182 DXC262182 EGY262182 EQU262182 FAQ262182 FKM262182 FUI262182 GEE262182 GOA262182 GXW262182 HHS262182 HRO262182 IBK262182 ILG262182 IVC262182 JEY262182 JOU262182 JYQ262182 KIM262182 KSI262182 LCE262182 LMA262182 LVW262182 MFS262182 MPO262182 MZK262182 NJG262182 NTC262182 OCY262182 OMU262182 OWQ262182 PGM262182 PQI262182 QAE262182 QKA262182 QTW262182 RDS262182 RNO262182 RXK262182 SHG262182 SRC262182 TAY262182 TKU262182 TUQ262182 UEM262182 UOI262182 UYE262182 VIA262182 VRW262182 WBS262182 WLO262182 WVK262182 C327718 IY327718 SU327718 ACQ327718 AMM327718 AWI327718 BGE327718 BQA327718 BZW327718 CJS327718 CTO327718 DDK327718 DNG327718 DXC327718 EGY327718 EQU327718 FAQ327718 FKM327718 FUI327718 GEE327718 GOA327718 GXW327718 HHS327718 HRO327718 IBK327718 ILG327718 IVC327718 JEY327718 JOU327718 JYQ327718 KIM327718 KSI327718 LCE327718 LMA327718 LVW327718 MFS327718 MPO327718 MZK327718 NJG327718 NTC327718 OCY327718 OMU327718 OWQ327718 PGM327718 PQI327718 QAE327718 QKA327718 QTW327718 RDS327718 RNO327718 RXK327718 SHG327718 SRC327718 TAY327718 TKU327718 TUQ327718 UEM327718 UOI327718 UYE327718 VIA327718 VRW327718 WBS327718 WLO327718 WVK327718 C393254 IY393254 SU393254 ACQ393254 AMM393254 AWI393254 BGE393254 BQA393254 BZW393254 CJS393254 CTO393254 DDK393254 DNG393254 DXC393254 EGY393254 EQU393254 FAQ393254 FKM393254 FUI393254 GEE393254 GOA393254 GXW393254 HHS393254 HRO393254 IBK393254 ILG393254 IVC393254 JEY393254 JOU393254 JYQ393254 KIM393254 KSI393254 LCE393254 LMA393254 LVW393254 MFS393254 MPO393254 MZK393254 NJG393254 NTC393254 OCY393254 OMU393254 OWQ393254 PGM393254 PQI393254 QAE393254 QKA393254 QTW393254 RDS393254 RNO393254 RXK393254 SHG393254 SRC393254 TAY393254 TKU393254 TUQ393254 UEM393254 UOI393254 UYE393254 VIA393254 VRW393254 WBS393254 WLO393254 WVK393254 C458790 IY458790 SU458790 ACQ458790 AMM458790 AWI458790 BGE458790 BQA458790 BZW458790 CJS458790 CTO458790 DDK458790 DNG458790 DXC458790 EGY458790 EQU458790 FAQ458790 FKM458790 FUI458790 GEE458790 GOA458790 GXW458790 HHS458790 HRO458790 IBK458790 ILG458790 IVC458790 JEY458790 JOU458790 JYQ458790 KIM458790 KSI458790 LCE458790 LMA458790 LVW458790 MFS458790 MPO458790 MZK458790 NJG458790 NTC458790 OCY458790 OMU458790 OWQ458790 PGM458790 PQI458790 QAE458790 QKA458790 QTW458790 RDS458790 RNO458790 RXK458790 SHG458790 SRC458790 TAY458790 TKU458790 TUQ458790 UEM458790 UOI458790 UYE458790 VIA458790 VRW458790 WBS458790 WLO458790 WVK458790 C524326 IY524326 SU524326 ACQ524326 AMM524326 AWI524326 BGE524326 BQA524326 BZW524326 CJS524326 CTO524326 DDK524326 DNG524326 DXC524326 EGY524326 EQU524326 FAQ524326 FKM524326 FUI524326 GEE524326 GOA524326 GXW524326 HHS524326 HRO524326 IBK524326 ILG524326 IVC524326 JEY524326 JOU524326 JYQ524326 KIM524326 KSI524326 LCE524326 LMA524326 LVW524326 MFS524326 MPO524326 MZK524326 NJG524326 NTC524326 OCY524326 OMU524326 OWQ524326 PGM524326 PQI524326 QAE524326 QKA524326 QTW524326 RDS524326 RNO524326 RXK524326 SHG524326 SRC524326 TAY524326 TKU524326 TUQ524326 UEM524326 UOI524326 UYE524326 VIA524326 VRW524326 WBS524326 WLO524326 WVK524326 C589862 IY589862 SU589862 ACQ589862 AMM589862 AWI589862 BGE589862 BQA589862 BZW589862 CJS589862 CTO589862 DDK589862 DNG589862 DXC589862 EGY589862 EQU589862 FAQ589862 FKM589862 FUI589862 GEE589862 GOA589862 GXW589862 HHS589862 HRO589862 IBK589862 ILG589862 IVC589862 JEY589862 JOU589862 JYQ589862 KIM589862 KSI589862 LCE589862 LMA589862 LVW589862 MFS589862 MPO589862 MZK589862 NJG589862 NTC589862 OCY589862 OMU589862 OWQ589862 PGM589862 PQI589862 QAE589862 QKA589862 QTW589862 RDS589862 RNO589862 RXK589862 SHG589862 SRC589862 TAY589862 TKU589862 TUQ589862 UEM589862 UOI589862 UYE589862 VIA589862 VRW589862 WBS589862 WLO589862 WVK589862 C655398 IY655398 SU655398 ACQ655398 AMM655398 AWI655398 BGE655398 BQA655398 BZW655398 CJS655398 CTO655398 DDK655398 DNG655398 DXC655398 EGY655398 EQU655398 FAQ655398 FKM655398 FUI655398 GEE655398 GOA655398 GXW655398 HHS655398 HRO655398 IBK655398 ILG655398 IVC655398 JEY655398 JOU655398 JYQ655398 KIM655398 KSI655398 LCE655398 LMA655398 LVW655398 MFS655398 MPO655398 MZK655398 NJG655398 NTC655398 OCY655398 OMU655398 OWQ655398 PGM655398 PQI655398 QAE655398 QKA655398 QTW655398 RDS655398 RNO655398 RXK655398 SHG655398 SRC655398 TAY655398 TKU655398 TUQ655398 UEM655398 UOI655398 UYE655398 VIA655398 VRW655398 WBS655398 WLO655398 WVK655398 C720934 IY720934 SU720934 ACQ720934 AMM720934 AWI720934 BGE720934 BQA720934 BZW720934 CJS720934 CTO720934 DDK720934 DNG720934 DXC720934 EGY720934 EQU720934 FAQ720934 FKM720934 FUI720934 GEE720934 GOA720934 GXW720934 HHS720934 HRO720934 IBK720934 ILG720934 IVC720934 JEY720934 JOU720934 JYQ720934 KIM720934 KSI720934 LCE720934 LMA720934 LVW720934 MFS720934 MPO720934 MZK720934 NJG720934 NTC720934 OCY720934 OMU720934 OWQ720934 PGM720934 PQI720934 QAE720934 QKA720934 QTW720934 RDS720934 RNO720934 RXK720934 SHG720934 SRC720934 TAY720934 TKU720934 TUQ720934 UEM720934 UOI720934 UYE720934 VIA720934 VRW720934 WBS720934 WLO720934 WVK720934 C786470 IY786470 SU786470 ACQ786470 AMM786470 AWI786470 BGE786470 BQA786470 BZW786470 CJS786470 CTO786470 DDK786470 DNG786470 DXC786470 EGY786470 EQU786470 FAQ786470 FKM786470 FUI786470 GEE786470 GOA786470 GXW786470 HHS786470 HRO786470 IBK786470 ILG786470 IVC786470 JEY786470 JOU786470 JYQ786470 KIM786470 KSI786470 LCE786470 LMA786470 LVW786470 MFS786470 MPO786470 MZK786470 NJG786470 NTC786470 OCY786470 OMU786470 OWQ786470 PGM786470 PQI786470 QAE786470 QKA786470 QTW786470 RDS786470 RNO786470 RXK786470 SHG786470 SRC786470 TAY786470 TKU786470 TUQ786470 UEM786470 UOI786470 UYE786470 VIA786470 VRW786470 WBS786470 WLO786470 WVK786470 C852006 IY852006 SU852006 ACQ852006 AMM852006 AWI852006 BGE852006 BQA852006 BZW852006 CJS852006 CTO852006 DDK852006 DNG852006 DXC852006 EGY852006 EQU852006 FAQ852006 FKM852006 FUI852006 GEE852006 GOA852006 GXW852006 HHS852006 HRO852006 IBK852006 ILG852006 IVC852006 JEY852006 JOU852006 JYQ852006 KIM852006 KSI852006 LCE852006 LMA852006 LVW852006 MFS852006 MPO852006 MZK852006 NJG852006 NTC852006 OCY852006 OMU852006 OWQ852006 PGM852006 PQI852006 QAE852006 QKA852006 QTW852006 RDS852006 RNO852006 RXK852006 SHG852006 SRC852006 TAY852006 TKU852006 TUQ852006 UEM852006 UOI852006 UYE852006 VIA852006 VRW852006 WBS852006 WLO852006 WVK852006 C917542 IY917542 SU917542 ACQ917542 AMM917542 AWI917542 BGE917542 BQA917542 BZW917542 CJS917542 CTO917542 DDK917542 DNG917542 DXC917542 EGY917542 EQU917542 FAQ917542 FKM917542 FUI917542 GEE917542 GOA917542 GXW917542 HHS917542 HRO917542 IBK917542 ILG917542 IVC917542 JEY917542 JOU917542 JYQ917542 KIM917542 KSI917542 LCE917542 LMA917542 LVW917542 MFS917542 MPO917542 MZK917542 NJG917542 NTC917542 OCY917542 OMU917542 OWQ917542 PGM917542 PQI917542 QAE917542 QKA917542 QTW917542 RDS917542 RNO917542 RXK917542 SHG917542 SRC917542 TAY917542 TKU917542 TUQ917542 UEM917542 UOI917542 UYE917542 VIA917542 VRW917542 WBS917542 WLO917542 WVK917542 C983078 IY983078 SU983078 ACQ983078 AMM983078 AWI983078 BGE983078 BQA983078 BZW983078 CJS983078 CTO983078 DDK983078 DNG983078 DXC983078 EGY983078 EQU983078 FAQ983078 FKM983078 FUI983078 GEE983078 GOA983078 GXW983078 HHS983078 HRO983078 IBK983078 ILG983078 IVC983078 JEY983078 JOU983078 JYQ983078 KIM983078 KSI983078 LCE983078 LMA983078 LVW983078 MFS983078 MPO983078 MZK983078 NJG983078 NTC983078 OCY983078 OMU983078 OWQ983078 PGM983078 PQI983078 QAE983078 QKA983078 QTW983078 RDS983078 RNO983078 RXK983078 SHG983078 SRC983078 TAY983078 TKU983078 TUQ983078 UEM983078 UOI983078 UYE983078 VIA983078 VRW983078 WBS983078 WLO983078 WVK983078"/>
    <dataValidation allowBlank="1" showInputMessage="1" showErrorMessage="1" promptTitle="Number of 2 - Bedrooms" prompt="Enter the number of two-bedroom units per building - NOT the entire project - if more than one identical building." sqref="C39 IY39 SU39 ACQ39 AMM39 AWI39 BGE39 BQA39 BZW39 CJS39 CTO39 DDK39 DNG39 DXC39 EGY39 EQU39 FAQ39 FKM39 FUI39 GEE39 GOA39 GXW39 HHS39 HRO39 IBK39 ILG39 IVC39 JEY39 JOU39 JYQ39 KIM39 KSI39 LCE39 LMA39 LVW39 MFS39 MPO39 MZK39 NJG39 NTC39 OCY39 OMU39 OWQ39 PGM39 PQI39 QAE39 QKA39 QTW39 RDS39 RNO39 RXK39 SHG39 SRC39 TAY39 TKU39 TUQ39 UEM39 UOI39 UYE39 VIA39 VRW39 WBS39 WLO39 WVK39 C65575 IY65575 SU65575 ACQ65575 AMM65575 AWI65575 BGE65575 BQA65575 BZW65575 CJS65575 CTO65575 DDK65575 DNG65575 DXC65575 EGY65575 EQU65575 FAQ65575 FKM65575 FUI65575 GEE65575 GOA65575 GXW65575 HHS65575 HRO65575 IBK65575 ILG65575 IVC65575 JEY65575 JOU65575 JYQ65575 KIM65575 KSI65575 LCE65575 LMA65575 LVW65575 MFS65575 MPO65575 MZK65575 NJG65575 NTC65575 OCY65575 OMU65575 OWQ65575 PGM65575 PQI65575 QAE65575 QKA65575 QTW65575 RDS65575 RNO65575 RXK65575 SHG65575 SRC65575 TAY65575 TKU65575 TUQ65575 UEM65575 UOI65575 UYE65575 VIA65575 VRW65575 WBS65575 WLO65575 WVK65575 C131111 IY131111 SU131111 ACQ131111 AMM131111 AWI131111 BGE131111 BQA131111 BZW131111 CJS131111 CTO131111 DDK131111 DNG131111 DXC131111 EGY131111 EQU131111 FAQ131111 FKM131111 FUI131111 GEE131111 GOA131111 GXW131111 HHS131111 HRO131111 IBK131111 ILG131111 IVC131111 JEY131111 JOU131111 JYQ131111 KIM131111 KSI131111 LCE131111 LMA131111 LVW131111 MFS131111 MPO131111 MZK131111 NJG131111 NTC131111 OCY131111 OMU131111 OWQ131111 PGM131111 PQI131111 QAE131111 QKA131111 QTW131111 RDS131111 RNO131111 RXK131111 SHG131111 SRC131111 TAY131111 TKU131111 TUQ131111 UEM131111 UOI131111 UYE131111 VIA131111 VRW131111 WBS131111 WLO131111 WVK131111 C196647 IY196647 SU196647 ACQ196647 AMM196647 AWI196647 BGE196647 BQA196647 BZW196647 CJS196647 CTO196647 DDK196647 DNG196647 DXC196647 EGY196647 EQU196647 FAQ196647 FKM196647 FUI196647 GEE196647 GOA196647 GXW196647 HHS196647 HRO196647 IBK196647 ILG196647 IVC196647 JEY196647 JOU196647 JYQ196647 KIM196647 KSI196647 LCE196647 LMA196647 LVW196647 MFS196647 MPO196647 MZK196647 NJG196647 NTC196647 OCY196647 OMU196647 OWQ196647 PGM196647 PQI196647 QAE196647 QKA196647 QTW196647 RDS196647 RNO196647 RXK196647 SHG196647 SRC196647 TAY196647 TKU196647 TUQ196647 UEM196647 UOI196647 UYE196647 VIA196647 VRW196647 WBS196647 WLO196647 WVK196647 C262183 IY262183 SU262183 ACQ262183 AMM262183 AWI262183 BGE262183 BQA262183 BZW262183 CJS262183 CTO262183 DDK262183 DNG262183 DXC262183 EGY262183 EQU262183 FAQ262183 FKM262183 FUI262183 GEE262183 GOA262183 GXW262183 HHS262183 HRO262183 IBK262183 ILG262183 IVC262183 JEY262183 JOU262183 JYQ262183 KIM262183 KSI262183 LCE262183 LMA262183 LVW262183 MFS262183 MPO262183 MZK262183 NJG262183 NTC262183 OCY262183 OMU262183 OWQ262183 PGM262183 PQI262183 QAE262183 QKA262183 QTW262183 RDS262183 RNO262183 RXK262183 SHG262183 SRC262183 TAY262183 TKU262183 TUQ262183 UEM262183 UOI262183 UYE262183 VIA262183 VRW262183 WBS262183 WLO262183 WVK262183 C327719 IY327719 SU327719 ACQ327719 AMM327719 AWI327719 BGE327719 BQA327719 BZW327719 CJS327719 CTO327719 DDK327719 DNG327719 DXC327719 EGY327719 EQU327719 FAQ327719 FKM327719 FUI327719 GEE327719 GOA327719 GXW327719 HHS327719 HRO327719 IBK327719 ILG327719 IVC327719 JEY327719 JOU327719 JYQ327719 KIM327719 KSI327719 LCE327719 LMA327719 LVW327719 MFS327719 MPO327719 MZK327719 NJG327719 NTC327719 OCY327719 OMU327719 OWQ327719 PGM327719 PQI327719 QAE327719 QKA327719 QTW327719 RDS327719 RNO327719 RXK327719 SHG327719 SRC327719 TAY327719 TKU327719 TUQ327719 UEM327719 UOI327719 UYE327719 VIA327719 VRW327719 WBS327719 WLO327719 WVK327719 C393255 IY393255 SU393255 ACQ393255 AMM393255 AWI393255 BGE393255 BQA393255 BZW393255 CJS393255 CTO393255 DDK393255 DNG393255 DXC393255 EGY393255 EQU393255 FAQ393255 FKM393255 FUI393255 GEE393255 GOA393255 GXW393255 HHS393255 HRO393255 IBK393255 ILG393255 IVC393255 JEY393255 JOU393255 JYQ393255 KIM393255 KSI393255 LCE393255 LMA393255 LVW393255 MFS393255 MPO393255 MZK393255 NJG393255 NTC393255 OCY393255 OMU393255 OWQ393255 PGM393255 PQI393255 QAE393255 QKA393255 QTW393255 RDS393255 RNO393255 RXK393255 SHG393255 SRC393255 TAY393255 TKU393255 TUQ393255 UEM393255 UOI393255 UYE393255 VIA393255 VRW393255 WBS393255 WLO393255 WVK393255 C458791 IY458791 SU458791 ACQ458791 AMM458791 AWI458791 BGE458791 BQA458791 BZW458791 CJS458791 CTO458791 DDK458791 DNG458791 DXC458791 EGY458791 EQU458791 FAQ458791 FKM458791 FUI458791 GEE458791 GOA458791 GXW458791 HHS458791 HRO458791 IBK458791 ILG458791 IVC458791 JEY458791 JOU458791 JYQ458791 KIM458791 KSI458791 LCE458791 LMA458791 LVW458791 MFS458791 MPO458791 MZK458791 NJG458791 NTC458791 OCY458791 OMU458791 OWQ458791 PGM458791 PQI458791 QAE458791 QKA458791 QTW458791 RDS458791 RNO458791 RXK458791 SHG458791 SRC458791 TAY458791 TKU458791 TUQ458791 UEM458791 UOI458791 UYE458791 VIA458791 VRW458791 WBS458791 WLO458791 WVK458791 C524327 IY524327 SU524327 ACQ524327 AMM524327 AWI524327 BGE524327 BQA524327 BZW524327 CJS524327 CTO524327 DDK524327 DNG524327 DXC524327 EGY524327 EQU524327 FAQ524327 FKM524327 FUI524327 GEE524327 GOA524327 GXW524327 HHS524327 HRO524327 IBK524327 ILG524327 IVC524327 JEY524327 JOU524327 JYQ524327 KIM524327 KSI524327 LCE524327 LMA524327 LVW524327 MFS524327 MPO524327 MZK524327 NJG524327 NTC524327 OCY524327 OMU524327 OWQ524327 PGM524327 PQI524327 QAE524327 QKA524327 QTW524327 RDS524327 RNO524327 RXK524327 SHG524327 SRC524327 TAY524327 TKU524327 TUQ524327 UEM524327 UOI524327 UYE524327 VIA524327 VRW524327 WBS524327 WLO524327 WVK524327 C589863 IY589863 SU589863 ACQ589863 AMM589863 AWI589863 BGE589863 BQA589863 BZW589863 CJS589863 CTO589863 DDK589863 DNG589863 DXC589863 EGY589863 EQU589863 FAQ589863 FKM589863 FUI589863 GEE589863 GOA589863 GXW589863 HHS589863 HRO589863 IBK589863 ILG589863 IVC589863 JEY589863 JOU589863 JYQ589863 KIM589863 KSI589863 LCE589863 LMA589863 LVW589863 MFS589863 MPO589863 MZK589863 NJG589863 NTC589863 OCY589863 OMU589863 OWQ589863 PGM589863 PQI589863 QAE589863 QKA589863 QTW589863 RDS589863 RNO589863 RXK589863 SHG589863 SRC589863 TAY589863 TKU589863 TUQ589863 UEM589863 UOI589863 UYE589863 VIA589863 VRW589863 WBS589863 WLO589863 WVK589863 C655399 IY655399 SU655399 ACQ655399 AMM655399 AWI655399 BGE655399 BQA655399 BZW655399 CJS655399 CTO655399 DDK655399 DNG655399 DXC655399 EGY655399 EQU655399 FAQ655399 FKM655399 FUI655399 GEE655399 GOA655399 GXW655399 HHS655399 HRO655399 IBK655399 ILG655399 IVC655399 JEY655399 JOU655399 JYQ655399 KIM655399 KSI655399 LCE655399 LMA655399 LVW655399 MFS655399 MPO655399 MZK655399 NJG655399 NTC655399 OCY655399 OMU655399 OWQ655399 PGM655399 PQI655399 QAE655399 QKA655399 QTW655399 RDS655399 RNO655399 RXK655399 SHG655399 SRC655399 TAY655399 TKU655399 TUQ655399 UEM655399 UOI655399 UYE655399 VIA655399 VRW655399 WBS655399 WLO655399 WVK655399 C720935 IY720935 SU720935 ACQ720935 AMM720935 AWI720935 BGE720935 BQA720935 BZW720935 CJS720935 CTO720935 DDK720935 DNG720935 DXC720935 EGY720935 EQU720935 FAQ720935 FKM720935 FUI720935 GEE720935 GOA720935 GXW720935 HHS720935 HRO720935 IBK720935 ILG720935 IVC720935 JEY720935 JOU720935 JYQ720935 KIM720935 KSI720935 LCE720935 LMA720935 LVW720935 MFS720935 MPO720935 MZK720935 NJG720935 NTC720935 OCY720935 OMU720935 OWQ720935 PGM720935 PQI720935 QAE720935 QKA720935 QTW720935 RDS720935 RNO720935 RXK720935 SHG720935 SRC720935 TAY720935 TKU720935 TUQ720935 UEM720935 UOI720935 UYE720935 VIA720935 VRW720935 WBS720935 WLO720935 WVK720935 C786471 IY786471 SU786471 ACQ786471 AMM786471 AWI786471 BGE786471 BQA786471 BZW786471 CJS786471 CTO786471 DDK786471 DNG786471 DXC786471 EGY786471 EQU786471 FAQ786471 FKM786471 FUI786471 GEE786471 GOA786471 GXW786471 HHS786471 HRO786471 IBK786471 ILG786471 IVC786471 JEY786471 JOU786471 JYQ786471 KIM786471 KSI786471 LCE786471 LMA786471 LVW786471 MFS786471 MPO786471 MZK786471 NJG786471 NTC786471 OCY786471 OMU786471 OWQ786471 PGM786471 PQI786471 QAE786471 QKA786471 QTW786471 RDS786471 RNO786471 RXK786471 SHG786471 SRC786471 TAY786471 TKU786471 TUQ786471 UEM786471 UOI786471 UYE786471 VIA786471 VRW786471 WBS786471 WLO786471 WVK786471 C852007 IY852007 SU852007 ACQ852007 AMM852007 AWI852007 BGE852007 BQA852007 BZW852007 CJS852007 CTO852007 DDK852007 DNG852007 DXC852007 EGY852007 EQU852007 FAQ852007 FKM852007 FUI852007 GEE852007 GOA852007 GXW852007 HHS852007 HRO852007 IBK852007 ILG852007 IVC852007 JEY852007 JOU852007 JYQ852007 KIM852007 KSI852007 LCE852007 LMA852007 LVW852007 MFS852007 MPO852007 MZK852007 NJG852007 NTC852007 OCY852007 OMU852007 OWQ852007 PGM852007 PQI852007 QAE852007 QKA852007 QTW852007 RDS852007 RNO852007 RXK852007 SHG852007 SRC852007 TAY852007 TKU852007 TUQ852007 UEM852007 UOI852007 UYE852007 VIA852007 VRW852007 WBS852007 WLO852007 WVK852007 C917543 IY917543 SU917543 ACQ917543 AMM917543 AWI917543 BGE917543 BQA917543 BZW917543 CJS917543 CTO917543 DDK917543 DNG917543 DXC917543 EGY917543 EQU917543 FAQ917543 FKM917543 FUI917543 GEE917543 GOA917543 GXW917543 HHS917543 HRO917543 IBK917543 ILG917543 IVC917543 JEY917543 JOU917543 JYQ917543 KIM917543 KSI917543 LCE917543 LMA917543 LVW917543 MFS917543 MPO917543 MZK917543 NJG917543 NTC917543 OCY917543 OMU917543 OWQ917543 PGM917543 PQI917543 QAE917543 QKA917543 QTW917543 RDS917543 RNO917543 RXK917543 SHG917543 SRC917543 TAY917543 TKU917543 TUQ917543 UEM917543 UOI917543 UYE917543 VIA917543 VRW917543 WBS917543 WLO917543 WVK917543 C983079 IY983079 SU983079 ACQ983079 AMM983079 AWI983079 BGE983079 BQA983079 BZW983079 CJS983079 CTO983079 DDK983079 DNG983079 DXC983079 EGY983079 EQU983079 FAQ983079 FKM983079 FUI983079 GEE983079 GOA983079 GXW983079 HHS983079 HRO983079 IBK983079 ILG983079 IVC983079 JEY983079 JOU983079 JYQ983079 KIM983079 KSI983079 LCE983079 LMA983079 LVW983079 MFS983079 MPO983079 MZK983079 NJG983079 NTC983079 OCY983079 OMU983079 OWQ983079 PGM983079 PQI983079 QAE983079 QKA983079 QTW983079 RDS983079 RNO983079 RXK983079 SHG983079 SRC983079 TAY983079 TKU983079 TUQ983079 UEM983079 UOI983079 UYE983079 VIA983079 VRW983079 WBS983079 WLO983079 WVK983079"/>
    <dataValidation allowBlank="1" showInputMessage="1" showErrorMessage="1" promptTitle="Number of 3+ - Bedrooms" prompt="Enter the number of 3+ - bedroom units per building - NOT the entire project - if more than one identical building." sqref="C40:C41 IY40:IY41 SU40:SU41 ACQ40:ACQ41 AMM40:AMM41 AWI40:AWI41 BGE40:BGE41 BQA40:BQA41 BZW40:BZW41 CJS40:CJS41 CTO40:CTO41 DDK40:DDK41 DNG40:DNG41 DXC40:DXC41 EGY40:EGY41 EQU40:EQU41 FAQ40:FAQ41 FKM40:FKM41 FUI40:FUI41 GEE40:GEE41 GOA40:GOA41 GXW40:GXW41 HHS40:HHS41 HRO40:HRO41 IBK40:IBK41 ILG40:ILG41 IVC40:IVC41 JEY40:JEY41 JOU40:JOU41 JYQ40:JYQ41 KIM40:KIM41 KSI40:KSI41 LCE40:LCE41 LMA40:LMA41 LVW40:LVW41 MFS40:MFS41 MPO40:MPO41 MZK40:MZK41 NJG40:NJG41 NTC40:NTC41 OCY40:OCY41 OMU40:OMU41 OWQ40:OWQ41 PGM40:PGM41 PQI40:PQI41 QAE40:QAE41 QKA40:QKA41 QTW40:QTW41 RDS40:RDS41 RNO40:RNO41 RXK40:RXK41 SHG40:SHG41 SRC40:SRC41 TAY40:TAY41 TKU40:TKU41 TUQ40:TUQ41 UEM40:UEM41 UOI40:UOI41 UYE40:UYE41 VIA40:VIA41 VRW40:VRW41 WBS40:WBS41 WLO40:WLO41 WVK40:WVK41 C65576:C65577 IY65576:IY65577 SU65576:SU65577 ACQ65576:ACQ65577 AMM65576:AMM65577 AWI65576:AWI65577 BGE65576:BGE65577 BQA65576:BQA65577 BZW65576:BZW65577 CJS65576:CJS65577 CTO65576:CTO65577 DDK65576:DDK65577 DNG65576:DNG65577 DXC65576:DXC65577 EGY65576:EGY65577 EQU65576:EQU65577 FAQ65576:FAQ65577 FKM65576:FKM65577 FUI65576:FUI65577 GEE65576:GEE65577 GOA65576:GOA65577 GXW65576:GXW65577 HHS65576:HHS65577 HRO65576:HRO65577 IBK65576:IBK65577 ILG65576:ILG65577 IVC65576:IVC65577 JEY65576:JEY65577 JOU65576:JOU65577 JYQ65576:JYQ65577 KIM65576:KIM65577 KSI65576:KSI65577 LCE65576:LCE65577 LMA65576:LMA65577 LVW65576:LVW65577 MFS65576:MFS65577 MPO65576:MPO65577 MZK65576:MZK65577 NJG65576:NJG65577 NTC65576:NTC65577 OCY65576:OCY65577 OMU65576:OMU65577 OWQ65576:OWQ65577 PGM65576:PGM65577 PQI65576:PQI65577 QAE65576:QAE65577 QKA65576:QKA65577 QTW65576:QTW65577 RDS65576:RDS65577 RNO65576:RNO65577 RXK65576:RXK65577 SHG65576:SHG65577 SRC65576:SRC65577 TAY65576:TAY65577 TKU65576:TKU65577 TUQ65576:TUQ65577 UEM65576:UEM65577 UOI65576:UOI65577 UYE65576:UYE65577 VIA65576:VIA65577 VRW65576:VRW65577 WBS65576:WBS65577 WLO65576:WLO65577 WVK65576:WVK65577 C131112:C131113 IY131112:IY131113 SU131112:SU131113 ACQ131112:ACQ131113 AMM131112:AMM131113 AWI131112:AWI131113 BGE131112:BGE131113 BQA131112:BQA131113 BZW131112:BZW131113 CJS131112:CJS131113 CTO131112:CTO131113 DDK131112:DDK131113 DNG131112:DNG131113 DXC131112:DXC131113 EGY131112:EGY131113 EQU131112:EQU131113 FAQ131112:FAQ131113 FKM131112:FKM131113 FUI131112:FUI131113 GEE131112:GEE131113 GOA131112:GOA131113 GXW131112:GXW131113 HHS131112:HHS131113 HRO131112:HRO131113 IBK131112:IBK131113 ILG131112:ILG131113 IVC131112:IVC131113 JEY131112:JEY131113 JOU131112:JOU131113 JYQ131112:JYQ131113 KIM131112:KIM131113 KSI131112:KSI131113 LCE131112:LCE131113 LMA131112:LMA131113 LVW131112:LVW131113 MFS131112:MFS131113 MPO131112:MPO131113 MZK131112:MZK131113 NJG131112:NJG131113 NTC131112:NTC131113 OCY131112:OCY131113 OMU131112:OMU131113 OWQ131112:OWQ131113 PGM131112:PGM131113 PQI131112:PQI131113 QAE131112:QAE131113 QKA131112:QKA131113 QTW131112:QTW131113 RDS131112:RDS131113 RNO131112:RNO131113 RXK131112:RXK131113 SHG131112:SHG131113 SRC131112:SRC131113 TAY131112:TAY131113 TKU131112:TKU131113 TUQ131112:TUQ131113 UEM131112:UEM131113 UOI131112:UOI131113 UYE131112:UYE131113 VIA131112:VIA131113 VRW131112:VRW131113 WBS131112:WBS131113 WLO131112:WLO131113 WVK131112:WVK131113 C196648:C196649 IY196648:IY196649 SU196648:SU196649 ACQ196648:ACQ196649 AMM196648:AMM196649 AWI196648:AWI196649 BGE196648:BGE196649 BQA196648:BQA196649 BZW196648:BZW196649 CJS196648:CJS196649 CTO196648:CTO196649 DDK196648:DDK196649 DNG196648:DNG196649 DXC196648:DXC196649 EGY196648:EGY196649 EQU196648:EQU196649 FAQ196648:FAQ196649 FKM196648:FKM196649 FUI196648:FUI196649 GEE196648:GEE196649 GOA196648:GOA196649 GXW196648:GXW196649 HHS196648:HHS196649 HRO196648:HRO196649 IBK196648:IBK196649 ILG196648:ILG196649 IVC196648:IVC196649 JEY196648:JEY196649 JOU196648:JOU196649 JYQ196648:JYQ196649 KIM196648:KIM196649 KSI196648:KSI196649 LCE196648:LCE196649 LMA196648:LMA196649 LVW196648:LVW196649 MFS196648:MFS196649 MPO196648:MPO196649 MZK196648:MZK196649 NJG196648:NJG196649 NTC196648:NTC196649 OCY196648:OCY196649 OMU196648:OMU196649 OWQ196648:OWQ196649 PGM196648:PGM196649 PQI196648:PQI196649 QAE196648:QAE196649 QKA196648:QKA196649 QTW196648:QTW196649 RDS196648:RDS196649 RNO196648:RNO196649 RXK196648:RXK196649 SHG196648:SHG196649 SRC196648:SRC196649 TAY196648:TAY196649 TKU196648:TKU196649 TUQ196648:TUQ196649 UEM196648:UEM196649 UOI196648:UOI196649 UYE196648:UYE196649 VIA196648:VIA196649 VRW196648:VRW196649 WBS196648:WBS196649 WLO196648:WLO196649 WVK196648:WVK196649 C262184:C262185 IY262184:IY262185 SU262184:SU262185 ACQ262184:ACQ262185 AMM262184:AMM262185 AWI262184:AWI262185 BGE262184:BGE262185 BQA262184:BQA262185 BZW262184:BZW262185 CJS262184:CJS262185 CTO262184:CTO262185 DDK262184:DDK262185 DNG262184:DNG262185 DXC262184:DXC262185 EGY262184:EGY262185 EQU262184:EQU262185 FAQ262184:FAQ262185 FKM262184:FKM262185 FUI262184:FUI262185 GEE262184:GEE262185 GOA262184:GOA262185 GXW262184:GXW262185 HHS262184:HHS262185 HRO262184:HRO262185 IBK262184:IBK262185 ILG262184:ILG262185 IVC262184:IVC262185 JEY262184:JEY262185 JOU262184:JOU262185 JYQ262184:JYQ262185 KIM262184:KIM262185 KSI262184:KSI262185 LCE262184:LCE262185 LMA262184:LMA262185 LVW262184:LVW262185 MFS262184:MFS262185 MPO262184:MPO262185 MZK262184:MZK262185 NJG262184:NJG262185 NTC262184:NTC262185 OCY262184:OCY262185 OMU262184:OMU262185 OWQ262184:OWQ262185 PGM262184:PGM262185 PQI262184:PQI262185 QAE262184:QAE262185 QKA262184:QKA262185 QTW262184:QTW262185 RDS262184:RDS262185 RNO262184:RNO262185 RXK262184:RXK262185 SHG262184:SHG262185 SRC262184:SRC262185 TAY262184:TAY262185 TKU262184:TKU262185 TUQ262184:TUQ262185 UEM262184:UEM262185 UOI262184:UOI262185 UYE262184:UYE262185 VIA262184:VIA262185 VRW262184:VRW262185 WBS262184:WBS262185 WLO262184:WLO262185 WVK262184:WVK262185 C327720:C327721 IY327720:IY327721 SU327720:SU327721 ACQ327720:ACQ327721 AMM327720:AMM327721 AWI327720:AWI327721 BGE327720:BGE327721 BQA327720:BQA327721 BZW327720:BZW327721 CJS327720:CJS327721 CTO327720:CTO327721 DDK327720:DDK327721 DNG327720:DNG327721 DXC327720:DXC327721 EGY327720:EGY327721 EQU327720:EQU327721 FAQ327720:FAQ327721 FKM327720:FKM327721 FUI327720:FUI327721 GEE327720:GEE327721 GOA327720:GOA327721 GXW327720:GXW327721 HHS327720:HHS327721 HRO327720:HRO327721 IBK327720:IBK327721 ILG327720:ILG327721 IVC327720:IVC327721 JEY327720:JEY327721 JOU327720:JOU327721 JYQ327720:JYQ327721 KIM327720:KIM327721 KSI327720:KSI327721 LCE327720:LCE327721 LMA327720:LMA327721 LVW327720:LVW327721 MFS327720:MFS327721 MPO327720:MPO327721 MZK327720:MZK327721 NJG327720:NJG327721 NTC327720:NTC327721 OCY327720:OCY327721 OMU327720:OMU327721 OWQ327720:OWQ327721 PGM327720:PGM327721 PQI327720:PQI327721 QAE327720:QAE327721 QKA327720:QKA327721 QTW327720:QTW327721 RDS327720:RDS327721 RNO327720:RNO327721 RXK327720:RXK327721 SHG327720:SHG327721 SRC327720:SRC327721 TAY327720:TAY327721 TKU327720:TKU327721 TUQ327720:TUQ327721 UEM327720:UEM327721 UOI327720:UOI327721 UYE327720:UYE327721 VIA327720:VIA327721 VRW327720:VRW327721 WBS327720:WBS327721 WLO327720:WLO327721 WVK327720:WVK327721 C393256:C393257 IY393256:IY393257 SU393256:SU393257 ACQ393256:ACQ393257 AMM393256:AMM393257 AWI393256:AWI393257 BGE393256:BGE393257 BQA393256:BQA393257 BZW393256:BZW393257 CJS393256:CJS393257 CTO393256:CTO393257 DDK393256:DDK393257 DNG393256:DNG393257 DXC393256:DXC393257 EGY393256:EGY393257 EQU393256:EQU393257 FAQ393256:FAQ393257 FKM393256:FKM393257 FUI393256:FUI393257 GEE393256:GEE393257 GOA393256:GOA393257 GXW393256:GXW393257 HHS393256:HHS393257 HRO393256:HRO393257 IBK393256:IBK393257 ILG393256:ILG393257 IVC393256:IVC393257 JEY393256:JEY393257 JOU393256:JOU393257 JYQ393256:JYQ393257 KIM393256:KIM393257 KSI393256:KSI393257 LCE393256:LCE393257 LMA393256:LMA393257 LVW393256:LVW393257 MFS393256:MFS393257 MPO393256:MPO393257 MZK393256:MZK393257 NJG393256:NJG393257 NTC393256:NTC393257 OCY393256:OCY393257 OMU393256:OMU393257 OWQ393256:OWQ393257 PGM393256:PGM393257 PQI393256:PQI393257 QAE393256:QAE393257 QKA393256:QKA393257 QTW393256:QTW393257 RDS393256:RDS393257 RNO393256:RNO393257 RXK393256:RXK393257 SHG393256:SHG393257 SRC393256:SRC393257 TAY393256:TAY393257 TKU393256:TKU393257 TUQ393256:TUQ393257 UEM393256:UEM393257 UOI393256:UOI393257 UYE393256:UYE393257 VIA393256:VIA393257 VRW393256:VRW393257 WBS393256:WBS393257 WLO393256:WLO393257 WVK393256:WVK393257 C458792:C458793 IY458792:IY458793 SU458792:SU458793 ACQ458792:ACQ458793 AMM458792:AMM458793 AWI458792:AWI458793 BGE458792:BGE458793 BQA458792:BQA458793 BZW458792:BZW458793 CJS458792:CJS458793 CTO458792:CTO458793 DDK458792:DDK458793 DNG458792:DNG458793 DXC458792:DXC458793 EGY458792:EGY458793 EQU458792:EQU458793 FAQ458792:FAQ458793 FKM458792:FKM458793 FUI458792:FUI458793 GEE458792:GEE458793 GOA458792:GOA458793 GXW458792:GXW458793 HHS458792:HHS458793 HRO458792:HRO458793 IBK458792:IBK458793 ILG458792:ILG458793 IVC458792:IVC458793 JEY458792:JEY458793 JOU458792:JOU458793 JYQ458792:JYQ458793 KIM458792:KIM458793 KSI458792:KSI458793 LCE458792:LCE458793 LMA458792:LMA458793 LVW458792:LVW458793 MFS458792:MFS458793 MPO458792:MPO458793 MZK458792:MZK458793 NJG458792:NJG458793 NTC458792:NTC458793 OCY458792:OCY458793 OMU458792:OMU458793 OWQ458792:OWQ458793 PGM458792:PGM458793 PQI458792:PQI458793 QAE458792:QAE458793 QKA458792:QKA458793 QTW458792:QTW458793 RDS458792:RDS458793 RNO458792:RNO458793 RXK458792:RXK458793 SHG458792:SHG458793 SRC458792:SRC458793 TAY458792:TAY458793 TKU458792:TKU458793 TUQ458792:TUQ458793 UEM458792:UEM458793 UOI458792:UOI458793 UYE458792:UYE458793 VIA458792:VIA458793 VRW458792:VRW458793 WBS458792:WBS458793 WLO458792:WLO458793 WVK458792:WVK458793 C524328:C524329 IY524328:IY524329 SU524328:SU524329 ACQ524328:ACQ524329 AMM524328:AMM524329 AWI524328:AWI524329 BGE524328:BGE524329 BQA524328:BQA524329 BZW524328:BZW524329 CJS524328:CJS524329 CTO524328:CTO524329 DDK524328:DDK524329 DNG524328:DNG524329 DXC524328:DXC524329 EGY524328:EGY524329 EQU524328:EQU524329 FAQ524328:FAQ524329 FKM524328:FKM524329 FUI524328:FUI524329 GEE524328:GEE524329 GOA524328:GOA524329 GXW524328:GXW524329 HHS524328:HHS524329 HRO524328:HRO524329 IBK524328:IBK524329 ILG524328:ILG524329 IVC524328:IVC524329 JEY524328:JEY524329 JOU524328:JOU524329 JYQ524328:JYQ524329 KIM524328:KIM524329 KSI524328:KSI524329 LCE524328:LCE524329 LMA524328:LMA524329 LVW524328:LVW524329 MFS524328:MFS524329 MPO524328:MPO524329 MZK524328:MZK524329 NJG524328:NJG524329 NTC524328:NTC524329 OCY524328:OCY524329 OMU524328:OMU524329 OWQ524328:OWQ524329 PGM524328:PGM524329 PQI524328:PQI524329 QAE524328:QAE524329 QKA524328:QKA524329 QTW524328:QTW524329 RDS524328:RDS524329 RNO524328:RNO524329 RXK524328:RXK524329 SHG524328:SHG524329 SRC524328:SRC524329 TAY524328:TAY524329 TKU524328:TKU524329 TUQ524328:TUQ524329 UEM524328:UEM524329 UOI524328:UOI524329 UYE524328:UYE524329 VIA524328:VIA524329 VRW524328:VRW524329 WBS524328:WBS524329 WLO524328:WLO524329 WVK524328:WVK524329 C589864:C589865 IY589864:IY589865 SU589864:SU589865 ACQ589864:ACQ589865 AMM589864:AMM589865 AWI589864:AWI589865 BGE589864:BGE589865 BQA589864:BQA589865 BZW589864:BZW589865 CJS589864:CJS589865 CTO589864:CTO589865 DDK589864:DDK589865 DNG589864:DNG589865 DXC589864:DXC589865 EGY589864:EGY589865 EQU589864:EQU589865 FAQ589864:FAQ589865 FKM589864:FKM589865 FUI589864:FUI589865 GEE589864:GEE589865 GOA589864:GOA589865 GXW589864:GXW589865 HHS589864:HHS589865 HRO589864:HRO589865 IBK589864:IBK589865 ILG589864:ILG589865 IVC589864:IVC589865 JEY589864:JEY589865 JOU589864:JOU589865 JYQ589864:JYQ589865 KIM589864:KIM589865 KSI589864:KSI589865 LCE589864:LCE589865 LMA589864:LMA589865 LVW589864:LVW589865 MFS589864:MFS589865 MPO589864:MPO589865 MZK589864:MZK589865 NJG589864:NJG589865 NTC589864:NTC589865 OCY589864:OCY589865 OMU589864:OMU589865 OWQ589864:OWQ589865 PGM589864:PGM589865 PQI589864:PQI589865 QAE589864:QAE589865 QKA589864:QKA589865 QTW589864:QTW589865 RDS589864:RDS589865 RNO589864:RNO589865 RXK589864:RXK589865 SHG589864:SHG589865 SRC589864:SRC589865 TAY589864:TAY589865 TKU589864:TKU589865 TUQ589864:TUQ589865 UEM589864:UEM589865 UOI589864:UOI589865 UYE589864:UYE589865 VIA589864:VIA589865 VRW589864:VRW589865 WBS589864:WBS589865 WLO589864:WLO589865 WVK589864:WVK589865 C655400:C655401 IY655400:IY655401 SU655400:SU655401 ACQ655400:ACQ655401 AMM655400:AMM655401 AWI655400:AWI655401 BGE655400:BGE655401 BQA655400:BQA655401 BZW655400:BZW655401 CJS655400:CJS655401 CTO655400:CTO655401 DDK655400:DDK655401 DNG655400:DNG655401 DXC655400:DXC655401 EGY655400:EGY655401 EQU655400:EQU655401 FAQ655400:FAQ655401 FKM655400:FKM655401 FUI655400:FUI655401 GEE655400:GEE655401 GOA655400:GOA655401 GXW655400:GXW655401 HHS655400:HHS655401 HRO655400:HRO655401 IBK655400:IBK655401 ILG655400:ILG655401 IVC655400:IVC655401 JEY655400:JEY655401 JOU655400:JOU655401 JYQ655400:JYQ655401 KIM655400:KIM655401 KSI655400:KSI655401 LCE655400:LCE655401 LMA655400:LMA655401 LVW655400:LVW655401 MFS655400:MFS655401 MPO655400:MPO655401 MZK655400:MZK655401 NJG655400:NJG655401 NTC655400:NTC655401 OCY655400:OCY655401 OMU655400:OMU655401 OWQ655400:OWQ655401 PGM655400:PGM655401 PQI655400:PQI655401 QAE655400:QAE655401 QKA655400:QKA655401 QTW655400:QTW655401 RDS655400:RDS655401 RNO655400:RNO655401 RXK655400:RXK655401 SHG655400:SHG655401 SRC655400:SRC655401 TAY655400:TAY655401 TKU655400:TKU655401 TUQ655400:TUQ655401 UEM655400:UEM655401 UOI655400:UOI655401 UYE655400:UYE655401 VIA655400:VIA655401 VRW655400:VRW655401 WBS655400:WBS655401 WLO655400:WLO655401 WVK655400:WVK655401 C720936:C720937 IY720936:IY720937 SU720936:SU720937 ACQ720936:ACQ720937 AMM720936:AMM720937 AWI720936:AWI720937 BGE720936:BGE720937 BQA720936:BQA720937 BZW720936:BZW720937 CJS720936:CJS720937 CTO720936:CTO720937 DDK720936:DDK720937 DNG720936:DNG720937 DXC720936:DXC720937 EGY720936:EGY720937 EQU720936:EQU720937 FAQ720936:FAQ720937 FKM720936:FKM720937 FUI720936:FUI720937 GEE720936:GEE720937 GOA720936:GOA720937 GXW720936:GXW720937 HHS720936:HHS720937 HRO720936:HRO720937 IBK720936:IBK720937 ILG720936:ILG720937 IVC720936:IVC720937 JEY720936:JEY720937 JOU720936:JOU720937 JYQ720936:JYQ720937 KIM720936:KIM720937 KSI720936:KSI720937 LCE720936:LCE720937 LMA720936:LMA720937 LVW720936:LVW720937 MFS720936:MFS720937 MPO720936:MPO720937 MZK720936:MZK720937 NJG720936:NJG720937 NTC720936:NTC720937 OCY720936:OCY720937 OMU720936:OMU720937 OWQ720936:OWQ720937 PGM720936:PGM720937 PQI720936:PQI720937 QAE720936:QAE720937 QKA720936:QKA720937 QTW720936:QTW720937 RDS720936:RDS720937 RNO720936:RNO720937 RXK720936:RXK720937 SHG720936:SHG720937 SRC720936:SRC720937 TAY720936:TAY720937 TKU720936:TKU720937 TUQ720936:TUQ720937 UEM720936:UEM720937 UOI720936:UOI720937 UYE720936:UYE720937 VIA720936:VIA720937 VRW720936:VRW720937 WBS720936:WBS720937 WLO720936:WLO720937 WVK720936:WVK720937 C786472:C786473 IY786472:IY786473 SU786472:SU786473 ACQ786472:ACQ786473 AMM786472:AMM786473 AWI786472:AWI786473 BGE786472:BGE786473 BQA786472:BQA786473 BZW786472:BZW786473 CJS786472:CJS786473 CTO786472:CTO786473 DDK786472:DDK786473 DNG786472:DNG786473 DXC786472:DXC786473 EGY786472:EGY786473 EQU786472:EQU786473 FAQ786472:FAQ786473 FKM786472:FKM786473 FUI786472:FUI786473 GEE786472:GEE786473 GOA786472:GOA786473 GXW786472:GXW786473 HHS786472:HHS786473 HRO786472:HRO786473 IBK786472:IBK786473 ILG786472:ILG786473 IVC786472:IVC786473 JEY786472:JEY786473 JOU786472:JOU786473 JYQ786472:JYQ786473 KIM786472:KIM786473 KSI786472:KSI786473 LCE786472:LCE786473 LMA786472:LMA786473 LVW786472:LVW786473 MFS786472:MFS786473 MPO786472:MPO786473 MZK786472:MZK786473 NJG786472:NJG786473 NTC786472:NTC786473 OCY786472:OCY786473 OMU786472:OMU786473 OWQ786472:OWQ786473 PGM786472:PGM786473 PQI786472:PQI786473 QAE786472:QAE786473 QKA786472:QKA786473 QTW786472:QTW786473 RDS786472:RDS786473 RNO786472:RNO786473 RXK786472:RXK786473 SHG786472:SHG786473 SRC786472:SRC786473 TAY786472:TAY786473 TKU786472:TKU786473 TUQ786472:TUQ786473 UEM786472:UEM786473 UOI786472:UOI786473 UYE786472:UYE786473 VIA786472:VIA786473 VRW786472:VRW786473 WBS786472:WBS786473 WLO786472:WLO786473 WVK786472:WVK786473 C852008:C852009 IY852008:IY852009 SU852008:SU852009 ACQ852008:ACQ852009 AMM852008:AMM852009 AWI852008:AWI852009 BGE852008:BGE852009 BQA852008:BQA852009 BZW852008:BZW852009 CJS852008:CJS852009 CTO852008:CTO852009 DDK852008:DDK852009 DNG852008:DNG852009 DXC852008:DXC852009 EGY852008:EGY852009 EQU852008:EQU852009 FAQ852008:FAQ852009 FKM852008:FKM852009 FUI852008:FUI852009 GEE852008:GEE852009 GOA852008:GOA852009 GXW852008:GXW852009 HHS852008:HHS852009 HRO852008:HRO852009 IBK852008:IBK852009 ILG852008:ILG852009 IVC852008:IVC852009 JEY852008:JEY852009 JOU852008:JOU852009 JYQ852008:JYQ852009 KIM852008:KIM852009 KSI852008:KSI852009 LCE852008:LCE852009 LMA852008:LMA852009 LVW852008:LVW852009 MFS852008:MFS852009 MPO852008:MPO852009 MZK852008:MZK852009 NJG852008:NJG852009 NTC852008:NTC852009 OCY852008:OCY852009 OMU852008:OMU852009 OWQ852008:OWQ852009 PGM852008:PGM852009 PQI852008:PQI852009 QAE852008:QAE852009 QKA852008:QKA852009 QTW852008:QTW852009 RDS852008:RDS852009 RNO852008:RNO852009 RXK852008:RXK852009 SHG852008:SHG852009 SRC852008:SRC852009 TAY852008:TAY852009 TKU852008:TKU852009 TUQ852008:TUQ852009 UEM852008:UEM852009 UOI852008:UOI852009 UYE852008:UYE852009 VIA852008:VIA852009 VRW852008:VRW852009 WBS852008:WBS852009 WLO852008:WLO852009 WVK852008:WVK852009 C917544:C917545 IY917544:IY917545 SU917544:SU917545 ACQ917544:ACQ917545 AMM917544:AMM917545 AWI917544:AWI917545 BGE917544:BGE917545 BQA917544:BQA917545 BZW917544:BZW917545 CJS917544:CJS917545 CTO917544:CTO917545 DDK917544:DDK917545 DNG917544:DNG917545 DXC917544:DXC917545 EGY917544:EGY917545 EQU917544:EQU917545 FAQ917544:FAQ917545 FKM917544:FKM917545 FUI917544:FUI917545 GEE917544:GEE917545 GOA917544:GOA917545 GXW917544:GXW917545 HHS917544:HHS917545 HRO917544:HRO917545 IBK917544:IBK917545 ILG917544:ILG917545 IVC917544:IVC917545 JEY917544:JEY917545 JOU917544:JOU917545 JYQ917544:JYQ917545 KIM917544:KIM917545 KSI917544:KSI917545 LCE917544:LCE917545 LMA917544:LMA917545 LVW917544:LVW917545 MFS917544:MFS917545 MPO917544:MPO917545 MZK917544:MZK917545 NJG917544:NJG917545 NTC917544:NTC917545 OCY917544:OCY917545 OMU917544:OMU917545 OWQ917544:OWQ917545 PGM917544:PGM917545 PQI917544:PQI917545 QAE917544:QAE917545 QKA917544:QKA917545 QTW917544:QTW917545 RDS917544:RDS917545 RNO917544:RNO917545 RXK917544:RXK917545 SHG917544:SHG917545 SRC917544:SRC917545 TAY917544:TAY917545 TKU917544:TKU917545 TUQ917544:TUQ917545 UEM917544:UEM917545 UOI917544:UOI917545 UYE917544:UYE917545 VIA917544:VIA917545 VRW917544:VRW917545 WBS917544:WBS917545 WLO917544:WLO917545 WVK917544:WVK917545 C983080:C983081 IY983080:IY983081 SU983080:SU983081 ACQ983080:ACQ983081 AMM983080:AMM983081 AWI983080:AWI983081 BGE983080:BGE983081 BQA983080:BQA983081 BZW983080:BZW983081 CJS983080:CJS983081 CTO983080:CTO983081 DDK983080:DDK983081 DNG983080:DNG983081 DXC983080:DXC983081 EGY983080:EGY983081 EQU983080:EQU983081 FAQ983080:FAQ983081 FKM983080:FKM983081 FUI983080:FUI983081 GEE983080:GEE983081 GOA983080:GOA983081 GXW983080:GXW983081 HHS983080:HHS983081 HRO983080:HRO983081 IBK983080:IBK983081 ILG983080:ILG983081 IVC983080:IVC983081 JEY983080:JEY983081 JOU983080:JOU983081 JYQ983080:JYQ983081 KIM983080:KIM983081 KSI983080:KSI983081 LCE983080:LCE983081 LMA983080:LMA983081 LVW983080:LVW983081 MFS983080:MFS983081 MPO983080:MPO983081 MZK983080:MZK983081 NJG983080:NJG983081 NTC983080:NTC983081 OCY983080:OCY983081 OMU983080:OMU983081 OWQ983080:OWQ983081 PGM983080:PGM983081 PQI983080:PQI983081 QAE983080:QAE983081 QKA983080:QKA983081 QTW983080:QTW983081 RDS983080:RDS983081 RNO983080:RNO983081 RXK983080:RXK983081 SHG983080:SHG983081 SRC983080:SRC983081 TAY983080:TAY983081 TKU983080:TKU983081 TUQ983080:TUQ983081 UEM983080:UEM983081 UOI983080:UOI983081 UYE983080:UYE983081 VIA983080:VIA983081 VRW983080:VRW983081 WBS983080:WBS983081 WLO983080:WLO983081 WVK983080:WVK983081"/>
    <dataValidation type="list" allowBlank="1" showInputMessage="1" showErrorMessage="1" sqref="C7 IY7 SU7 ACQ7 AMM7 AWI7 BGE7 BQA7 BZW7 CJS7 CTO7 DDK7 DNG7 DXC7 EGY7 EQU7 FAQ7 FKM7 FUI7 GEE7 GOA7 GXW7 HHS7 HRO7 IBK7 ILG7 IVC7 JEY7 JOU7 JYQ7 KIM7 KSI7 LCE7 LMA7 LVW7 MFS7 MPO7 MZK7 NJG7 NTC7 OCY7 OMU7 OWQ7 PGM7 PQI7 QAE7 QKA7 QTW7 RDS7 RNO7 RXK7 SHG7 SRC7 TAY7 TKU7 TUQ7 UEM7 UOI7 UYE7 VIA7 VRW7 WBS7 WLO7 WVK7 C65543 IY65543 SU65543 ACQ65543 AMM65543 AWI65543 BGE65543 BQA65543 BZW65543 CJS65543 CTO65543 DDK65543 DNG65543 DXC65543 EGY65543 EQU65543 FAQ65543 FKM65543 FUI65543 GEE65543 GOA65543 GXW65543 HHS65543 HRO65543 IBK65543 ILG65543 IVC65543 JEY65543 JOU65543 JYQ65543 KIM65543 KSI65543 LCE65543 LMA65543 LVW65543 MFS65543 MPO65543 MZK65543 NJG65543 NTC65543 OCY65543 OMU65543 OWQ65543 PGM65543 PQI65543 QAE65543 QKA65543 QTW65543 RDS65543 RNO65543 RXK65543 SHG65543 SRC65543 TAY65543 TKU65543 TUQ65543 UEM65543 UOI65543 UYE65543 VIA65543 VRW65543 WBS65543 WLO65543 WVK65543 C131079 IY131079 SU131079 ACQ131079 AMM131079 AWI131079 BGE131079 BQA131079 BZW131079 CJS131079 CTO131079 DDK131079 DNG131079 DXC131079 EGY131079 EQU131079 FAQ131079 FKM131079 FUI131079 GEE131079 GOA131079 GXW131079 HHS131079 HRO131079 IBK131079 ILG131079 IVC131079 JEY131079 JOU131079 JYQ131079 KIM131079 KSI131079 LCE131079 LMA131079 LVW131079 MFS131079 MPO131079 MZK131079 NJG131079 NTC131079 OCY131079 OMU131079 OWQ131079 PGM131079 PQI131079 QAE131079 QKA131079 QTW131079 RDS131079 RNO131079 RXK131079 SHG131079 SRC131079 TAY131079 TKU131079 TUQ131079 UEM131079 UOI131079 UYE131079 VIA131079 VRW131079 WBS131079 WLO131079 WVK131079 C196615 IY196615 SU196615 ACQ196615 AMM196615 AWI196615 BGE196615 BQA196615 BZW196615 CJS196615 CTO196615 DDK196615 DNG196615 DXC196615 EGY196615 EQU196615 FAQ196615 FKM196615 FUI196615 GEE196615 GOA196615 GXW196615 HHS196615 HRO196615 IBK196615 ILG196615 IVC196615 JEY196615 JOU196615 JYQ196615 KIM196615 KSI196615 LCE196615 LMA196615 LVW196615 MFS196615 MPO196615 MZK196615 NJG196615 NTC196615 OCY196615 OMU196615 OWQ196615 PGM196615 PQI196615 QAE196615 QKA196615 QTW196615 RDS196615 RNO196615 RXK196615 SHG196615 SRC196615 TAY196615 TKU196615 TUQ196615 UEM196615 UOI196615 UYE196615 VIA196615 VRW196615 WBS196615 WLO196615 WVK196615 C262151 IY262151 SU262151 ACQ262151 AMM262151 AWI262151 BGE262151 BQA262151 BZW262151 CJS262151 CTO262151 DDK262151 DNG262151 DXC262151 EGY262151 EQU262151 FAQ262151 FKM262151 FUI262151 GEE262151 GOA262151 GXW262151 HHS262151 HRO262151 IBK262151 ILG262151 IVC262151 JEY262151 JOU262151 JYQ262151 KIM262151 KSI262151 LCE262151 LMA262151 LVW262151 MFS262151 MPO262151 MZK262151 NJG262151 NTC262151 OCY262151 OMU262151 OWQ262151 PGM262151 PQI262151 QAE262151 QKA262151 QTW262151 RDS262151 RNO262151 RXK262151 SHG262151 SRC262151 TAY262151 TKU262151 TUQ262151 UEM262151 UOI262151 UYE262151 VIA262151 VRW262151 WBS262151 WLO262151 WVK262151 C327687 IY327687 SU327687 ACQ327687 AMM327687 AWI327687 BGE327687 BQA327687 BZW327687 CJS327687 CTO327687 DDK327687 DNG327687 DXC327687 EGY327687 EQU327687 FAQ327687 FKM327687 FUI327687 GEE327687 GOA327687 GXW327687 HHS327687 HRO327687 IBK327687 ILG327687 IVC327687 JEY327687 JOU327687 JYQ327687 KIM327687 KSI327687 LCE327687 LMA327687 LVW327687 MFS327687 MPO327687 MZK327687 NJG327687 NTC327687 OCY327687 OMU327687 OWQ327687 PGM327687 PQI327687 QAE327687 QKA327687 QTW327687 RDS327687 RNO327687 RXK327687 SHG327687 SRC327687 TAY327687 TKU327687 TUQ327687 UEM327687 UOI327687 UYE327687 VIA327687 VRW327687 WBS327687 WLO327687 WVK327687 C393223 IY393223 SU393223 ACQ393223 AMM393223 AWI393223 BGE393223 BQA393223 BZW393223 CJS393223 CTO393223 DDK393223 DNG393223 DXC393223 EGY393223 EQU393223 FAQ393223 FKM393223 FUI393223 GEE393223 GOA393223 GXW393223 HHS393223 HRO393223 IBK393223 ILG393223 IVC393223 JEY393223 JOU393223 JYQ393223 KIM393223 KSI393223 LCE393223 LMA393223 LVW393223 MFS393223 MPO393223 MZK393223 NJG393223 NTC393223 OCY393223 OMU393223 OWQ393223 PGM393223 PQI393223 QAE393223 QKA393223 QTW393223 RDS393223 RNO393223 RXK393223 SHG393223 SRC393223 TAY393223 TKU393223 TUQ393223 UEM393223 UOI393223 UYE393223 VIA393223 VRW393223 WBS393223 WLO393223 WVK393223 C458759 IY458759 SU458759 ACQ458759 AMM458759 AWI458759 BGE458759 BQA458759 BZW458759 CJS458759 CTO458759 DDK458759 DNG458759 DXC458759 EGY458759 EQU458759 FAQ458759 FKM458759 FUI458759 GEE458759 GOA458759 GXW458759 HHS458759 HRO458759 IBK458759 ILG458759 IVC458759 JEY458759 JOU458759 JYQ458759 KIM458759 KSI458759 LCE458759 LMA458759 LVW458759 MFS458759 MPO458759 MZK458759 NJG458759 NTC458759 OCY458759 OMU458759 OWQ458759 PGM458759 PQI458759 QAE458759 QKA458759 QTW458759 RDS458759 RNO458759 RXK458759 SHG458759 SRC458759 TAY458759 TKU458759 TUQ458759 UEM458759 UOI458759 UYE458759 VIA458759 VRW458759 WBS458759 WLO458759 WVK458759 C524295 IY524295 SU524295 ACQ524295 AMM524295 AWI524295 BGE524295 BQA524295 BZW524295 CJS524295 CTO524295 DDK524295 DNG524295 DXC524295 EGY524295 EQU524295 FAQ524295 FKM524295 FUI524295 GEE524295 GOA524295 GXW524295 HHS524295 HRO524295 IBK524295 ILG524295 IVC524295 JEY524295 JOU524295 JYQ524295 KIM524295 KSI524295 LCE524295 LMA524295 LVW524295 MFS524295 MPO524295 MZK524295 NJG524295 NTC524295 OCY524295 OMU524295 OWQ524295 PGM524295 PQI524295 QAE524295 QKA524295 QTW524295 RDS524295 RNO524295 RXK524295 SHG524295 SRC524295 TAY524295 TKU524295 TUQ524295 UEM524295 UOI524295 UYE524295 VIA524295 VRW524295 WBS524295 WLO524295 WVK524295 C589831 IY589831 SU589831 ACQ589831 AMM589831 AWI589831 BGE589831 BQA589831 BZW589831 CJS589831 CTO589831 DDK589831 DNG589831 DXC589831 EGY589831 EQU589831 FAQ589831 FKM589831 FUI589831 GEE589831 GOA589831 GXW589831 HHS589831 HRO589831 IBK589831 ILG589831 IVC589831 JEY589831 JOU589831 JYQ589831 KIM589831 KSI589831 LCE589831 LMA589831 LVW589831 MFS589831 MPO589831 MZK589831 NJG589831 NTC589831 OCY589831 OMU589831 OWQ589831 PGM589831 PQI589831 QAE589831 QKA589831 QTW589831 RDS589831 RNO589831 RXK589831 SHG589831 SRC589831 TAY589831 TKU589831 TUQ589831 UEM589831 UOI589831 UYE589831 VIA589831 VRW589831 WBS589831 WLO589831 WVK589831 C655367 IY655367 SU655367 ACQ655367 AMM655367 AWI655367 BGE655367 BQA655367 BZW655367 CJS655367 CTO655367 DDK655367 DNG655367 DXC655367 EGY655367 EQU655367 FAQ655367 FKM655367 FUI655367 GEE655367 GOA655367 GXW655367 HHS655367 HRO655367 IBK655367 ILG655367 IVC655367 JEY655367 JOU655367 JYQ655367 KIM655367 KSI655367 LCE655367 LMA655367 LVW655367 MFS655367 MPO655367 MZK655367 NJG655367 NTC655367 OCY655367 OMU655367 OWQ655367 PGM655367 PQI655367 QAE655367 QKA655367 QTW655367 RDS655367 RNO655367 RXK655367 SHG655367 SRC655367 TAY655367 TKU655367 TUQ655367 UEM655367 UOI655367 UYE655367 VIA655367 VRW655367 WBS655367 WLO655367 WVK655367 C720903 IY720903 SU720903 ACQ720903 AMM720903 AWI720903 BGE720903 BQA720903 BZW720903 CJS720903 CTO720903 DDK720903 DNG720903 DXC720903 EGY720903 EQU720903 FAQ720903 FKM720903 FUI720903 GEE720903 GOA720903 GXW720903 HHS720903 HRO720903 IBK720903 ILG720903 IVC720903 JEY720903 JOU720903 JYQ720903 KIM720903 KSI720903 LCE720903 LMA720903 LVW720903 MFS720903 MPO720903 MZK720903 NJG720903 NTC720903 OCY720903 OMU720903 OWQ720903 PGM720903 PQI720903 QAE720903 QKA720903 QTW720903 RDS720903 RNO720903 RXK720903 SHG720903 SRC720903 TAY720903 TKU720903 TUQ720903 UEM720903 UOI720903 UYE720903 VIA720903 VRW720903 WBS720903 WLO720903 WVK720903 C786439 IY786439 SU786439 ACQ786439 AMM786439 AWI786439 BGE786439 BQA786439 BZW786439 CJS786439 CTO786439 DDK786439 DNG786439 DXC786439 EGY786439 EQU786439 FAQ786439 FKM786439 FUI786439 GEE786439 GOA786439 GXW786439 HHS786439 HRO786439 IBK786439 ILG786439 IVC786439 JEY786439 JOU786439 JYQ786439 KIM786439 KSI786439 LCE786439 LMA786439 LVW786439 MFS786439 MPO786439 MZK786439 NJG786439 NTC786439 OCY786439 OMU786439 OWQ786439 PGM786439 PQI786439 QAE786439 QKA786439 QTW786439 RDS786439 RNO786439 RXK786439 SHG786439 SRC786439 TAY786439 TKU786439 TUQ786439 UEM786439 UOI786439 UYE786439 VIA786439 VRW786439 WBS786439 WLO786439 WVK786439 C851975 IY851975 SU851975 ACQ851975 AMM851975 AWI851975 BGE851975 BQA851975 BZW851975 CJS851975 CTO851975 DDK851975 DNG851975 DXC851975 EGY851975 EQU851975 FAQ851975 FKM851975 FUI851975 GEE851975 GOA851975 GXW851975 HHS851975 HRO851975 IBK851975 ILG851975 IVC851975 JEY851975 JOU851975 JYQ851975 KIM851975 KSI851975 LCE851975 LMA851975 LVW851975 MFS851975 MPO851975 MZK851975 NJG851975 NTC851975 OCY851975 OMU851975 OWQ851975 PGM851975 PQI851975 QAE851975 QKA851975 QTW851975 RDS851975 RNO851975 RXK851975 SHG851975 SRC851975 TAY851975 TKU851975 TUQ851975 UEM851975 UOI851975 UYE851975 VIA851975 VRW851975 WBS851975 WLO851975 WVK851975 C917511 IY917511 SU917511 ACQ917511 AMM917511 AWI917511 BGE917511 BQA917511 BZW917511 CJS917511 CTO917511 DDK917511 DNG917511 DXC917511 EGY917511 EQU917511 FAQ917511 FKM917511 FUI917511 GEE917511 GOA917511 GXW917511 HHS917511 HRO917511 IBK917511 ILG917511 IVC917511 JEY917511 JOU917511 JYQ917511 KIM917511 KSI917511 LCE917511 LMA917511 LVW917511 MFS917511 MPO917511 MZK917511 NJG917511 NTC917511 OCY917511 OMU917511 OWQ917511 PGM917511 PQI917511 QAE917511 QKA917511 QTW917511 RDS917511 RNO917511 RXK917511 SHG917511 SRC917511 TAY917511 TKU917511 TUQ917511 UEM917511 UOI917511 UYE917511 VIA917511 VRW917511 WBS917511 WLO917511 WVK917511 C983047 IY983047 SU983047 ACQ983047 AMM983047 AWI983047 BGE983047 BQA983047 BZW983047 CJS983047 CTO983047 DDK983047 DNG983047 DXC983047 EGY983047 EQU983047 FAQ983047 FKM983047 FUI983047 GEE983047 GOA983047 GXW983047 HHS983047 HRO983047 IBK983047 ILG983047 IVC983047 JEY983047 JOU983047 JYQ983047 KIM983047 KSI983047 LCE983047 LMA983047 LVW983047 MFS983047 MPO983047 MZK983047 NJG983047 NTC983047 OCY983047 OMU983047 OWQ983047 PGM983047 PQI983047 QAE983047 QKA983047 QTW983047 RDS983047 RNO983047 RXK983047 SHG983047 SRC983047 TAY983047 TKU983047 TUQ983047 UEM983047 UOI983047 UYE983047 VIA983047 VRW983047 WBS983047 WLO983047 WVK983047">
      <formula1>$P$36:$P$43</formula1>
    </dataValidation>
  </dataValidations>
  <pageMargins left="0.75" right="0.75" top="1" bottom="1" header="0.5" footer="0.5"/>
  <pageSetup scale="71" fitToHeight="2" orientation="landscape" r:id="rId1"/>
  <headerFooter alignWithMargins="0">
    <oddFooter>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FF00"/>
  </sheetPr>
  <dimension ref="A3:AB179"/>
  <sheetViews>
    <sheetView showGridLines="0" zoomScale="90" zoomScaleNormal="90" workbookViewId="0">
      <selection activeCell="C8" sqref="C8"/>
    </sheetView>
  </sheetViews>
  <sheetFormatPr defaultRowHeight="12.75"/>
  <cols>
    <col min="1" max="1" width="9.140625" style="795"/>
    <col min="2" max="2" width="48.5703125" style="1324" bestFit="1" customWidth="1"/>
    <col min="3" max="3" width="35.85546875" style="1324" customWidth="1"/>
    <col min="4" max="4" width="21.7109375" style="795" customWidth="1"/>
    <col min="5" max="28" width="9.140625" style="795"/>
    <col min="29" max="16384" width="9.140625" style="1324"/>
  </cols>
  <sheetData>
    <row r="3" spans="1:28" ht="28.5" customHeight="1">
      <c r="B3" s="1443" t="s">
        <v>610</v>
      </c>
      <c r="C3" s="1442" t="s">
        <v>611</v>
      </c>
      <c r="D3" s="1441" t="s">
        <v>612</v>
      </c>
    </row>
    <row r="4" spans="1:28" s="796" customFormat="1" ht="27.75" customHeight="1">
      <c r="A4" s="795"/>
      <c r="B4" s="1440" t="s">
        <v>2010</v>
      </c>
      <c r="C4" s="1435" t="s">
        <v>613</v>
      </c>
      <c r="D4" s="1432" t="s">
        <v>614</v>
      </c>
      <c r="E4" s="795"/>
      <c r="F4" s="795"/>
      <c r="G4" s="795"/>
      <c r="H4" s="795"/>
      <c r="I4" s="795"/>
      <c r="J4" s="795"/>
      <c r="K4" s="795"/>
      <c r="L4" s="795"/>
      <c r="M4" s="795"/>
      <c r="N4" s="795"/>
      <c r="O4" s="795"/>
      <c r="P4" s="795"/>
      <c r="Q4" s="795"/>
      <c r="R4" s="795"/>
      <c r="S4" s="795"/>
      <c r="T4" s="795"/>
      <c r="U4" s="795"/>
      <c r="V4" s="795"/>
      <c r="W4" s="795"/>
      <c r="X4" s="795"/>
      <c r="Y4" s="795"/>
      <c r="Z4" s="795"/>
      <c r="AA4" s="795"/>
      <c r="AB4" s="795"/>
    </row>
    <row r="5" spans="1:28" ht="27.75" customHeight="1">
      <c r="B5" s="1439" t="s">
        <v>2009</v>
      </c>
      <c r="C5" s="1438" t="s">
        <v>615</v>
      </c>
      <c r="D5" s="1436" t="s">
        <v>616</v>
      </c>
    </row>
    <row r="6" spans="1:28" s="796" customFormat="1" ht="27.75" customHeight="1">
      <c r="A6" s="795"/>
      <c r="B6" s="1437" t="s">
        <v>2008</v>
      </c>
      <c r="C6" s="1435" t="s">
        <v>615</v>
      </c>
      <c r="D6" s="1436" t="s">
        <v>616</v>
      </c>
      <c r="E6" s="795"/>
      <c r="F6" s="795"/>
      <c r="G6" s="795"/>
      <c r="H6" s="795"/>
      <c r="I6" s="795"/>
      <c r="J6" s="795"/>
      <c r="K6" s="795"/>
      <c r="L6" s="795"/>
      <c r="M6" s="795"/>
      <c r="N6" s="795"/>
      <c r="O6" s="795"/>
      <c r="P6" s="795"/>
      <c r="Q6" s="795"/>
      <c r="R6" s="795"/>
      <c r="S6" s="795"/>
      <c r="T6" s="795"/>
      <c r="U6" s="795"/>
      <c r="V6" s="795"/>
      <c r="W6" s="795"/>
      <c r="X6" s="795"/>
      <c r="Y6" s="795"/>
      <c r="Z6" s="795"/>
      <c r="AA6" s="795"/>
      <c r="AB6" s="795"/>
    </row>
    <row r="7" spans="1:28" ht="27.75" customHeight="1">
      <c r="B7" s="2617" t="s">
        <v>617</v>
      </c>
      <c r="C7" s="1438" t="s">
        <v>618</v>
      </c>
      <c r="D7" s="1413" t="s">
        <v>619</v>
      </c>
    </row>
    <row r="8" spans="1:28" ht="27.75" customHeight="1">
      <c r="B8" s="2618"/>
      <c r="C8" s="1438" t="s">
        <v>620</v>
      </c>
      <c r="D8" s="1413" t="s">
        <v>619</v>
      </c>
    </row>
    <row r="9" spans="1:28" ht="27.75" customHeight="1">
      <c r="B9" s="2619"/>
      <c r="C9" s="1438" t="s">
        <v>621</v>
      </c>
      <c r="D9" s="1413" t="s">
        <v>619</v>
      </c>
    </row>
    <row r="10" spans="1:28" s="796" customFormat="1" ht="27.75" customHeight="1">
      <c r="A10" s="795"/>
      <c r="B10" s="1437" t="s">
        <v>622</v>
      </c>
      <c r="C10" s="1435" t="s">
        <v>623</v>
      </c>
      <c r="D10" s="1413" t="s">
        <v>619</v>
      </c>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row>
    <row r="11" spans="1:28" ht="27.75" customHeight="1">
      <c r="B11" s="1439" t="s">
        <v>624</v>
      </c>
      <c r="C11" s="1438" t="s">
        <v>625</v>
      </c>
      <c r="D11" s="1413" t="s">
        <v>619</v>
      </c>
    </row>
    <row r="12" spans="1:28" s="796" customFormat="1" ht="27.75" customHeight="1">
      <c r="A12" s="795"/>
      <c r="B12" s="2615" t="s">
        <v>626</v>
      </c>
      <c r="C12" s="1435" t="s">
        <v>627</v>
      </c>
      <c r="D12" s="1413" t="s">
        <v>619</v>
      </c>
      <c r="E12" s="795"/>
      <c r="F12" s="795"/>
      <c r="G12" s="795"/>
      <c r="H12" s="795"/>
      <c r="I12" s="795"/>
      <c r="J12" s="795"/>
      <c r="K12" s="795"/>
      <c r="L12" s="795"/>
      <c r="M12" s="795"/>
      <c r="N12" s="795"/>
      <c r="O12" s="795"/>
      <c r="P12" s="795"/>
      <c r="Q12" s="795"/>
      <c r="R12" s="795"/>
      <c r="S12" s="795"/>
      <c r="T12" s="795"/>
      <c r="U12" s="795"/>
      <c r="V12" s="795"/>
      <c r="W12" s="795"/>
      <c r="X12" s="795"/>
      <c r="Y12" s="795"/>
      <c r="Z12" s="795"/>
      <c r="AA12" s="795"/>
      <c r="AB12" s="795"/>
    </row>
    <row r="13" spans="1:28" s="796" customFormat="1" ht="27.75" customHeight="1">
      <c r="A13" s="795"/>
      <c r="B13" s="2616"/>
      <c r="C13" s="1435" t="s">
        <v>621</v>
      </c>
      <c r="D13" s="1413" t="s">
        <v>619</v>
      </c>
      <c r="E13" s="795"/>
      <c r="F13" s="795"/>
      <c r="G13" s="795"/>
      <c r="H13" s="795"/>
      <c r="I13" s="795"/>
      <c r="J13" s="795"/>
      <c r="K13" s="795"/>
      <c r="L13" s="795"/>
      <c r="M13" s="795"/>
      <c r="N13" s="795"/>
      <c r="O13" s="795"/>
      <c r="P13" s="795"/>
      <c r="Q13" s="795"/>
      <c r="R13" s="795"/>
      <c r="S13" s="795"/>
      <c r="T13" s="795"/>
      <c r="U13" s="795"/>
      <c r="V13" s="795"/>
      <c r="W13" s="795"/>
      <c r="X13" s="795"/>
      <c r="Y13" s="795"/>
      <c r="Z13" s="795"/>
      <c r="AA13" s="795"/>
      <c r="AB13" s="795"/>
    </row>
    <row r="14" spans="1:28" ht="27.75" customHeight="1">
      <c r="B14" s="2617" t="s">
        <v>628</v>
      </c>
      <c r="C14" s="1438" t="s">
        <v>629</v>
      </c>
      <c r="D14" s="1432" t="s">
        <v>614</v>
      </c>
    </row>
    <row r="15" spans="1:28" ht="27.75" customHeight="1">
      <c r="B15" s="2619"/>
      <c r="C15" s="1438" t="s">
        <v>621</v>
      </c>
      <c r="D15" s="1413" t="s">
        <v>619</v>
      </c>
    </row>
    <row r="16" spans="1:28" ht="27.75" customHeight="1">
      <c r="B16" s="1437" t="s">
        <v>630</v>
      </c>
      <c r="C16" s="1435" t="s">
        <v>631</v>
      </c>
      <c r="D16" s="1413" t="s">
        <v>619</v>
      </c>
    </row>
    <row r="17" spans="1:28" s="796" customFormat="1" ht="27.75" customHeight="1">
      <c r="A17" s="795"/>
      <c r="B17" s="1434" t="s">
        <v>2007</v>
      </c>
      <c r="C17" s="1433" t="s">
        <v>615</v>
      </c>
      <c r="D17" s="1436" t="s">
        <v>616</v>
      </c>
      <c r="E17" s="795"/>
      <c r="F17" s="795"/>
      <c r="G17" s="795"/>
      <c r="H17" s="795"/>
      <c r="I17" s="795"/>
      <c r="J17" s="795"/>
      <c r="K17" s="795"/>
      <c r="L17" s="795"/>
      <c r="M17" s="795"/>
      <c r="N17" s="795"/>
      <c r="O17" s="795"/>
      <c r="P17" s="795"/>
      <c r="Q17" s="795"/>
      <c r="R17" s="795"/>
      <c r="S17" s="795"/>
      <c r="T17" s="795"/>
      <c r="U17" s="795"/>
      <c r="V17" s="795"/>
      <c r="W17" s="795"/>
      <c r="X17" s="795"/>
      <c r="Y17" s="795"/>
      <c r="Z17" s="795"/>
      <c r="AA17" s="795"/>
      <c r="AB17" s="795"/>
    </row>
    <row r="18" spans="1:28" ht="27.75" customHeight="1">
      <c r="B18" s="1434" t="s">
        <v>2006</v>
      </c>
      <c r="C18" s="1433" t="s">
        <v>632</v>
      </c>
      <c r="D18" s="1436" t="s">
        <v>616</v>
      </c>
      <c r="E18" s="798"/>
    </row>
    <row r="19" spans="1:28" s="796" customFormat="1" ht="27.75" customHeight="1">
      <c r="A19" s="795"/>
      <c r="B19" s="1437" t="s">
        <v>2005</v>
      </c>
      <c r="C19" s="1435" t="s">
        <v>615</v>
      </c>
      <c r="D19" s="1436" t="s">
        <v>616</v>
      </c>
      <c r="E19" s="795"/>
      <c r="F19" s="795"/>
      <c r="G19" s="795"/>
      <c r="H19" s="795"/>
      <c r="I19" s="795"/>
      <c r="J19" s="795"/>
      <c r="K19" s="795"/>
      <c r="L19" s="795"/>
      <c r="M19" s="795"/>
      <c r="N19" s="795"/>
      <c r="O19" s="795"/>
      <c r="P19" s="795"/>
      <c r="Q19" s="795"/>
      <c r="R19" s="795"/>
      <c r="S19" s="795"/>
      <c r="T19" s="795"/>
      <c r="U19" s="795"/>
      <c r="V19" s="795"/>
      <c r="W19" s="795"/>
      <c r="X19" s="795"/>
      <c r="Y19" s="795"/>
      <c r="Z19" s="795"/>
      <c r="AA19" s="795"/>
      <c r="AB19" s="795"/>
    </row>
    <row r="20" spans="1:28" ht="27.75" customHeight="1">
      <c r="B20" s="1437" t="s">
        <v>2004</v>
      </c>
      <c r="C20" s="1435" t="s">
        <v>632</v>
      </c>
      <c r="D20" s="1436" t="s">
        <v>616</v>
      </c>
    </row>
    <row r="21" spans="1:28" s="796" customFormat="1" ht="27.75" customHeight="1">
      <c r="A21" s="795"/>
      <c r="B21" s="1434" t="s">
        <v>633</v>
      </c>
      <c r="C21" s="2609" t="s">
        <v>634</v>
      </c>
      <c r="D21" s="1436" t="s">
        <v>616</v>
      </c>
      <c r="E21" s="795"/>
      <c r="F21" s="795"/>
      <c r="G21" s="795"/>
      <c r="H21" s="795"/>
      <c r="I21" s="795"/>
      <c r="J21" s="795"/>
      <c r="K21" s="795"/>
      <c r="L21" s="795"/>
      <c r="M21" s="795"/>
      <c r="N21" s="795"/>
      <c r="O21" s="795"/>
      <c r="P21" s="795"/>
      <c r="Q21" s="795"/>
      <c r="R21" s="795"/>
      <c r="S21" s="795"/>
      <c r="T21" s="795"/>
      <c r="U21" s="795"/>
      <c r="V21" s="795"/>
      <c r="W21" s="795"/>
      <c r="X21" s="795"/>
      <c r="Y21" s="795"/>
      <c r="Z21" s="795"/>
      <c r="AA21" s="795"/>
      <c r="AB21" s="795"/>
    </row>
    <row r="22" spans="1:28" ht="27.75" customHeight="1">
      <c r="B22" s="1434" t="s">
        <v>635</v>
      </c>
      <c r="C22" s="2610"/>
      <c r="D22" s="1436" t="s">
        <v>616</v>
      </c>
    </row>
    <row r="23" spans="1:28" s="796" customFormat="1" ht="27.75" customHeight="1">
      <c r="A23" s="795"/>
      <c r="B23" s="1434" t="s">
        <v>636</v>
      </c>
      <c r="C23" s="2611"/>
      <c r="D23" s="1436" t="s">
        <v>616</v>
      </c>
      <c r="E23" s="795"/>
      <c r="F23" s="795"/>
      <c r="G23" s="795"/>
      <c r="H23" s="795"/>
      <c r="I23" s="795"/>
      <c r="J23" s="795"/>
      <c r="K23" s="795"/>
      <c r="L23" s="795"/>
      <c r="M23" s="795"/>
      <c r="N23" s="795"/>
      <c r="O23" s="795"/>
      <c r="P23" s="795"/>
      <c r="Q23" s="795"/>
      <c r="R23" s="795"/>
      <c r="S23" s="795"/>
      <c r="T23" s="795"/>
      <c r="U23" s="795"/>
      <c r="V23" s="795"/>
      <c r="W23" s="795"/>
      <c r="X23" s="795"/>
      <c r="Y23" s="795"/>
      <c r="Z23" s="795"/>
      <c r="AA23" s="795"/>
      <c r="AB23" s="795"/>
    </row>
    <row r="24" spans="1:28" ht="27.75" customHeight="1">
      <c r="B24" s="1437" t="s">
        <v>637</v>
      </c>
      <c r="C24" s="1435" t="s">
        <v>638</v>
      </c>
      <c r="D24" s="1436" t="s">
        <v>616</v>
      </c>
    </row>
    <row r="25" spans="1:28" s="796" customFormat="1" ht="27.75" customHeight="1">
      <c r="A25" s="795"/>
      <c r="B25" s="2612" t="s">
        <v>2003</v>
      </c>
      <c r="C25" s="1433" t="s">
        <v>621</v>
      </c>
      <c r="D25" s="1413" t="s">
        <v>619</v>
      </c>
      <c r="E25" s="795"/>
      <c r="F25" s="795"/>
      <c r="G25" s="795"/>
      <c r="H25" s="795"/>
      <c r="I25" s="795"/>
      <c r="J25" s="795"/>
      <c r="K25" s="795"/>
      <c r="L25" s="795"/>
      <c r="M25" s="795"/>
      <c r="N25" s="795"/>
      <c r="O25" s="795"/>
      <c r="P25" s="795"/>
      <c r="Q25" s="795"/>
      <c r="R25" s="795"/>
      <c r="S25" s="795"/>
      <c r="T25" s="795"/>
      <c r="U25" s="795"/>
      <c r="V25" s="795"/>
      <c r="W25" s="795"/>
      <c r="X25" s="795"/>
      <c r="Y25" s="795"/>
      <c r="Z25" s="795"/>
      <c r="AA25" s="795"/>
      <c r="AB25" s="795"/>
    </row>
    <row r="26" spans="1:28" s="796" customFormat="1" ht="27.75" customHeight="1">
      <c r="A26" s="795"/>
      <c r="B26" s="2613"/>
      <c r="C26" s="1433" t="s">
        <v>639</v>
      </c>
      <c r="D26" s="1413" t="s">
        <v>619</v>
      </c>
      <c r="E26" s="795"/>
      <c r="F26" s="795"/>
      <c r="G26" s="795"/>
      <c r="H26" s="795"/>
      <c r="I26" s="795"/>
      <c r="J26" s="795"/>
      <c r="K26" s="795"/>
      <c r="L26" s="795"/>
      <c r="M26" s="795"/>
      <c r="N26" s="795"/>
      <c r="O26" s="795"/>
      <c r="P26" s="795"/>
      <c r="Q26" s="795"/>
      <c r="R26" s="795"/>
      <c r="S26" s="795"/>
      <c r="T26" s="795"/>
      <c r="U26" s="795"/>
      <c r="V26" s="795"/>
      <c r="W26" s="795"/>
      <c r="X26" s="795"/>
      <c r="Y26" s="795"/>
      <c r="Z26" s="795"/>
      <c r="AA26" s="795"/>
      <c r="AB26" s="795"/>
    </row>
    <row r="27" spans="1:28" s="796" customFormat="1" ht="27.75" customHeight="1">
      <c r="A27" s="795"/>
      <c r="B27" s="2614"/>
      <c r="C27" s="1433" t="s">
        <v>640</v>
      </c>
      <c r="D27" s="1432" t="s">
        <v>614</v>
      </c>
      <c r="E27" s="795"/>
      <c r="F27" s="795"/>
      <c r="G27" s="795"/>
      <c r="H27" s="795"/>
      <c r="I27" s="795"/>
      <c r="J27" s="795"/>
      <c r="K27" s="795"/>
      <c r="L27" s="795"/>
      <c r="M27" s="795"/>
      <c r="N27" s="795"/>
      <c r="O27" s="795"/>
      <c r="P27" s="795"/>
      <c r="Q27" s="795"/>
      <c r="R27" s="795"/>
      <c r="S27" s="795"/>
      <c r="T27" s="795"/>
      <c r="U27" s="795"/>
      <c r="V27" s="795"/>
      <c r="W27" s="795"/>
      <c r="X27" s="795"/>
      <c r="Y27" s="795"/>
      <c r="Z27" s="795"/>
      <c r="AA27" s="795"/>
      <c r="AB27" s="795"/>
    </row>
    <row r="28" spans="1:28" ht="27.75" customHeight="1">
      <c r="B28" s="2615" t="s">
        <v>2002</v>
      </c>
      <c r="C28" s="1435" t="s">
        <v>641</v>
      </c>
      <c r="D28" s="1436" t="s">
        <v>616</v>
      </c>
    </row>
    <row r="29" spans="1:28" ht="27.75" customHeight="1">
      <c r="B29" s="2616"/>
      <c r="C29" s="1435" t="s">
        <v>642</v>
      </c>
      <c r="D29" s="1413" t="s">
        <v>619</v>
      </c>
    </row>
    <row r="30" spans="1:28" s="796" customFormat="1" ht="27.75" customHeight="1">
      <c r="A30" s="795"/>
      <c r="B30" s="1434" t="s">
        <v>643</v>
      </c>
      <c r="C30" s="1433" t="s">
        <v>644</v>
      </c>
      <c r="D30" s="1432" t="s">
        <v>614</v>
      </c>
      <c r="E30" s="795"/>
      <c r="F30" s="795"/>
      <c r="G30" s="795"/>
      <c r="H30" s="795"/>
      <c r="I30" s="795"/>
      <c r="J30" s="795"/>
      <c r="K30" s="795"/>
      <c r="L30" s="795"/>
      <c r="M30" s="795"/>
      <c r="N30" s="795"/>
      <c r="O30" s="795"/>
      <c r="P30" s="795"/>
      <c r="Q30" s="795"/>
      <c r="R30" s="795"/>
      <c r="S30" s="795"/>
      <c r="T30" s="795"/>
      <c r="U30" s="795"/>
      <c r="V30" s="795"/>
      <c r="W30" s="795"/>
      <c r="X30" s="795"/>
      <c r="Y30" s="795"/>
      <c r="Z30" s="795"/>
      <c r="AA30" s="795"/>
      <c r="AB30" s="795"/>
    </row>
    <row r="31" spans="1:28">
      <c r="C31" s="799"/>
    </row>
    <row r="32" spans="1:28">
      <c r="C32" s="799"/>
    </row>
    <row r="179" spans="2:2" ht="18">
      <c r="B179" s="794"/>
    </row>
  </sheetData>
  <sheetProtection sheet="1" formatCells="0" formatColumns="0" formatRows="0" insertColumns="0" insertRows="0" insertHyperlinks="0"/>
  <mergeCells count="6">
    <mergeCell ref="C21:C23"/>
    <mergeCell ref="B25:B27"/>
    <mergeCell ref="B28:B29"/>
    <mergeCell ref="B7:B9"/>
    <mergeCell ref="B12:B13"/>
    <mergeCell ref="B14:B15"/>
  </mergeCells>
  <hyperlinks>
    <hyperlink ref="C4" location="'1.1 - APPLIANCES'!Print_Area" display="1.1 - APPLIANCES"/>
    <hyperlink ref="C5" location="'2.1-2.2, 5.1, 5.3 - HEATING&amp;DHW'!Print_Area" display="2.1-2.2, 5.1, 5.3 - HEATING&amp;DHW"/>
    <hyperlink ref="C6" location="'2.1-2.2, 5.1, 5.3 - HEATING&amp;DHW'!Print_Area" display="2.1-2.2, 5.1, 5.3 - HEATING&amp;DHW"/>
    <hyperlink ref="C9" location="'8.1 - INF_EXT AIR BARRIER'!A1" display="8.1 - INF_EXT AIR BARRIER"/>
    <hyperlink ref="C10" location="'3.2 - ENV_Roof'!Print_Area" display="3.2 - ENV_ROOF"/>
    <hyperlink ref="C11" location="'3.3 - ENV_FLOORS'!Print_Area" display="3.3 - ENV_FLOORS"/>
    <hyperlink ref="C15" location="'8.1 - INF_EXT AIR BARRIER'!A1" display="8.1 - INF_EXT AIR BARRIER"/>
    <hyperlink ref="C17" location="'2.1-2.2, 5.1, 5.3 - HEATING&amp;DHW'!Print_Area" display="2.1-2.2, 5.1, 5.3 - HEATING&amp;DHW"/>
    <hyperlink ref="C19" location="'2.1-2.2, 5.1, 5.3 - HEATING&amp;DHW'!Print_Area" display="2.1-2.2, 5.1, 5.3 - HEATING&amp;DHW"/>
    <hyperlink ref="C20" location="'5.2, 5.3 - COOLING'!Print_Area" display="5.2, 5.4 - COOLING"/>
    <hyperlink ref="C21" location="'6.1, 6.2, 6.3 - LIGHTING'!Print_Area" display="6.1, 6.2, 6.3 - LIGHTING"/>
    <hyperlink ref="C24" location="'7.1 - MOTORS'!Print_Area" display="9.1 - MOTORS but also in heating and dhw"/>
    <hyperlink ref="C27" location="'8.1 - INF_BLOWER DOOR TEST'!A1" display="8.1 - INF_BLOWER DOOR TEST"/>
    <hyperlink ref="C29" location="'8.2 - VENT_DUCT TIGHTNESS'!A1" display="8.2 - VENT_DUCT TIGHTNESS"/>
    <hyperlink ref="C30" location="'9.1 - METERS'!Print_Area" display="9.1 - METERS"/>
    <hyperlink ref="C8" location="'3.1 - ENV_ABOVE GRADE WALLS'!A1" display="3.1 - ENV_ABOVE GRADE WALL"/>
    <hyperlink ref="C7" location="'3.1 - ENV_BELOW GRADE WALLS'!Print_Area" display="'3.1 - ENV_BELOW GRADE WALLS'!Print_Area"/>
    <hyperlink ref="C12" location="'3.4 - ENV_WINDOWS'!Print_Area" display="'3.4 - ENV_WINDOWS'!Print_Area"/>
    <hyperlink ref="C14" location="'3.5 - ENV_EXTERIOR DOORS'!Print_Area" display="'3.5 - ENV_EXTERIOR DOORS'!Print_Area"/>
    <hyperlink ref="C26" location="'8.1-INF_COMPTZN VIS INSPECTION'!A1" display="8.1-INF_COMPTZN VIS INSPECTION"/>
    <hyperlink ref="C25" location="'8.1 - INF_EXT AIR BARRIER'!Print_Area" display="'8.1 - INF_EXT AIR BARRIER'!Print_Area"/>
    <hyperlink ref="C28" location="'8.2 - VENT_SCHEDULE&amp;TAB REPORT'!Print_Area" display="'8.2 - VENT_SCHEDULE&amp;TAB REPORT'!Print_Area"/>
    <hyperlink ref="C13" location="'8.1 - INF_EXT AIR BARRIER'!A1" display="8.1 - INF_EXT AIR BARRIER"/>
    <hyperlink ref="C16" location="'4.1 - GARAGES_CMPTZ &amp; HEATING '!A1" display="4.1 - GARAGES_CMPTZ &amp; Heating"/>
    <hyperlink ref="C18" location="'5.2, 5.4 - COOLING'!A1" display="5.2, 5.4 - COOLING"/>
  </hyperlinks>
  <pageMargins left="0.75" right="0.75" top="1" bottom="1" header="0.5" footer="0.5"/>
  <pageSetup scale="62" orientation="portrait" r:id="rId1"/>
  <headerFooter alignWithMargins="0">
    <oddFooter>Page &amp;P of &amp;N</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CCFF"/>
  </sheetPr>
  <dimension ref="A1:AX80"/>
  <sheetViews>
    <sheetView showGridLines="0" topLeftCell="A50" zoomScale="90" zoomScaleNormal="90" workbookViewId="0">
      <selection activeCell="A59" sqref="A59:E59"/>
    </sheetView>
  </sheetViews>
  <sheetFormatPr defaultColWidth="8.85546875" defaultRowHeight="15"/>
  <cols>
    <col min="1" max="2" width="29.28515625" style="1444" customWidth="1"/>
    <col min="3" max="3" width="46.42578125" style="1444" customWidth="1"/>
    <col min="4" max="4" width="18.7109375" style="1444" customWidth="1"/>
    <col min="5" max="5" width="46.42578125" style="1444" customWidth="1"/>
    <col min="6" max="16384" width="8.85546875" style="1444"/>
  </cols>
  <sheetData>
    <row r="1" spans="1:50" ht="15.75" customHeight="1"/>
    <row r="2" spans="1:50" ht="31.5" customHeight="1">
      <c r="A2" s="1073" t="s">
        <v>549</v>
      </c>
      <c r="B2" s="1458"/>
    </row>
    <row r="3" spans="1:50">
      <c r="A3" s="2627" t="s">
        <v>2451</v>
      </c>
      <c r="B3" s="2627"/>
      <c r="C3" s="2627"/>
      <c r="D3" s="2627"/>
      <c r="E3" s="2627"/>
    </row>
    <row r="4" spans="1:50">
      <c r="A4" s="2628" t="s">
        <v>2326</v>
      </c>
      <c r="B4" s="2628"/>
      <c r="C4" s="2628"/>
      <c r="D4" s="2628"/>
      <c r="E4" s="2628"/>
    </row>
    <row r="5" spans="1:50">
      <c r="A5" s="2628" t="s">
        <v>2327</v>
      </c>
      <c r="B5" s="2628"/>
      <c r="C5" s="2628"/>
      <c r="D5" s="2628"/>
      <c r="E5" s="2628"/>
    </row>
    <row r="6" spans="1:50" ht="31.5" customHeight="1">
      <c r="A6" s="2628" t="s">
        <v>2452</v>
      </c>
      <c r="B6" s="2628"/>
      <c r="C6" s="2628"/>
      <c r="D6" s="2628"/>
      <c r="E6" s="2628"/>
    </row>
    <row r="7" spans="1:50">
      <c r="A7" s="1521"/>
      <c r="B7" s="1521"/>
      <c r="C7" s="1521"/>
      <c r="D7" s="1521"/>
      <c r="E7" s="1521"/>
    </row>
    <row r="8" spans="1:50" ht="48" customHeight="1">
      <c r="A8" s="1075" t="str">
        <f>'Project Info'!C3&amp;" Energy Reduction Measures"</f>
        <v>0 Energy Reduction Measures</v>
      </c>
      <c r="B8" s="1457"/>
      <c r="C8" s="1456"/>
      <c r="D8" s="1456"/>
      <c r="E8" s="1456"/>
      <c r="F8" s="1456"/>
      <c r="G8" s="1456"/>
      <c r="H8" s="1456"/>
      <c r="I8" s="1456"/>
      <c r="J8" s="1456"/>
      <c r="K8" s="1456"/>
      <c r="L8" s="1456"/>
      <c r="M8" s="1456"/>
      <c r="N8" s="1456"/>
      <c r="O8" s="1456"/>
      <c r="P8" s="1456"/>
      <c r="Q8" s="1456"/>
      <c r="R8" s="1456"/>
      <c r="S8" s="1456"/>
      <c r="T8" s="1456"/>
      <c r="U8" s="1456"/>
      <c r="V8" s="1456"/>
      <c r="W8" s="1456"/>
      <c r="X8" s="1456"/>
      <c r="Y8" s="1456"/>
      <c r="Z8" s="1456"/>
      <c r="AA8" s="1456"/>
      <c r="AB8" s="1456"/>
      <c r="AC8" s="1456"/>
      <c r="AD8" s="1456"/>
      <c r="AE8" s="1456"/>
      <c r="AF8" s="1456"/>
      <c r="AG8" s="1456"/>
      <c r="AH8" s="1456"/>
      <c r="AI8" s="1456"/>
      <c r="AJ8" s="1456"/>
      <c r="AK8" s="1456"/>
      <c r="AL8" s="1456"/>
      <c r="AM8" s="1456"/>
      <c r="AN8" s="1456"/>
      <c r="AO8" s="1456"/>
      <c r="AP8" s="1456"/>
      <c r="AQ8" s="1456"/>
      <c r="AR8" s="1456"/>
      <c r="AS8" s="1456"/>
      <c r="AT8" s="1456"/>
      <c r="AU8" s="1456"/>
      <c r="AV8" s="1456"/>
      <c r="AW8" s="1456"/>
      <c r="AX8" s="1456"/>
    </row>
    <row r="9" spans="1:50" s="1455" customFormat="1" ht="57.75" customHeight="1">
      <c r="A9" s="2625" t="s">
        <v>645</v>
      </c>
      <c r="B9" s="801" t="s">
        <v>646</v>
      </c>
      <c r="C9" s="2623" t="s">
        <v>647</v>
      </c>
      <c r="D9" s="2624"/>
      <c r="E9" s="802" t="str">
        <f>Overview!J12</f>
        <v xml:space="preserve">AS BUILT REVIEW: 
Prepared by:
Date: </v>
      </c>
    </row>
    <row r="10" spans="1:50" ht="42" customHeight="1">
      <c r="A10" s="2626"/>
      <c r="B10" s="1077" t="s">
        <v>648</v>
      </c>
      <c r="C10" s="1078" t="s">
        <v>649</v>
      </c>
      <c r="D10" s="1079" t="s">
        <v>650</v>
      </c>
      <c r="E10" s="1080" t="s">
        <v>651</v>
      </c>
    </row>
    <row r="11" spans="1:50" s="1450" customFormat="1" ht="42" customHeight="1">
      <c r="A11" s="803" t="s">
        <v>652</v>
      </c>
      <c r="B11" s="1081"/>
      <c r="C11" s="810"/>
      <c r="D11" s="810"/>
      <c r="E11" s="811"/>
      <c r="F11" s="1451"/>
      <c r="G11" s="1451"/>
      <c r="H11" s="1451"/>
      <c r="I11" s="1451"/>
      <c r="J11" s="1451"/>
      <c r="K11" s="1451"/>
    </row>
    <row r="12" spans="1:50">
      <c r="A12" s="1327" t="str">
        <f>'1.1 - APPLIANCES'!D26</f>
        <v>Refrigerators</v>
      </c>
      <c r="B12" s="1082"/>
      <c r="C12" s="1454">
        <f>'1.1 - APPLIANCES'!K26</f>
        <v>0</v>
      </c>
      <c r="D12" s="1454">
        <f>'1.1 - APPLIANCES'!L26</f>
        <v>0</v>
      </c>
      <c r="E12" s="1453">
        <f>'1.1 - APPLIANCES'!O26</f>
        <v>0</v>
      </c>
    </row>
    <row r="13" spans="1:50">
      <c r="A13" s="1327" t="str">
        <f>'1.1 - APPLIANCES'!D27</f>
        <v>Dishwashers</v>
      </c>
      <c r="B13" s="1083"/>
      <c r="C13" s="804">
        <f>'1.1 - APPLIANCES'!K27</f>
        <v>0</v>
      </c>
      <c r="D13" s="804">
        <f>'1.1 - APPLIANCES'!L27</f>
        <v>0</v>
      </c>
      <c r="E13" s="805">
        <f>'1.1 - APPLIANCES'!O27</f>
        <v>0</v>
      </c>
    </row>
    <row r="14" spans="1:50">
      <c r="A14" s="1327" t="str">
        <f>'1.1 - APPLIANCES'!D28</f>
        <v>Clothes Washers</v>
      </c>
      <c r="B14" s="1082"/>
      <c r="C14" s="804">
        <f>'1.1 - APPLIANCES'!K28</f>
        <v>0</v>
      </c>
      <c r="D14" s="804">
        <f>'1.1 - APPLIANCES'!L28</f>
        <v>0</v>
      </c>
      <c r="E14" s="805">
        <f>'1.1 - APPLIANCES'!O28</f>
        <v>0</v>
      </c>
    </row>
    <row r="15" spans="1:50">
      <c r="A15" s="1327" t="str">
        <f>'1.1 - APPLIANCES'!D29</f>
        <v>Ceiling Fans</v>
      </c>
      <c r="B15" s="1082"/>
      <c r="C15" s="804">
        <f>'1.1 - APPLIANCES'!K29</f>
        <v>0</v>
      </c>
      <c r="D15" s="804">
        <f>'1.1 - APPLIANCES'!L29</f>
        <v>0</v>
      </c>
      <c r="E15" s="805">
        <f>'1.1 - APPLIANCES'!O29</f>
        <v>0</v>
      </c>
    </row>
    <row r="16" spans="1:50">
      <c r="A16" s="1327" t="str">
        <f>'1.1 - APPLIANCES'!D30</f>
        <v>Vending Machines</v>
      </c>
      <c r="B16" s="1082"/>
      <c r="C16" s="804">
        <f>'1.1 - APPLIANCES'!K30</f>
        <v>0</v>
      </c>
      <c r="D16" s="804">
        <f>'1.1 - APPLIANCES'!L30</f>
        <v>0</v>
      </c>
      <c r="E16" s="805">
        <f>'1.1 - APPLIANCES'!O30</f>
        <v>0</v>
      </c>
    </row>
    <row r="17" spans="1:11">
      <c r="A17" s="806" t="s">
        <v>653</v>
      </c>
      <c r="B17" s="1082"/>
      <c r="C17" s="804">
        <f>'1.1 - APPLIANCES'!F32</f>
        <v>0</v>
      </c>
      <c r="D17" s="807">
        <f>'1.1 - APPLIANCES'!L32</f>
        <v>0</v>
      </c>
      <c r="E17" s="808">
        <f>'1.1 - APPLIANCES'!O32</f>
        <v>0</v>
      </c>
    </row>
    <row r="18" spans="1:11" s="1450" customFormat="1" ht="63" customHeight="1">
      <c r="A18" s="803" t="s">
        <v>654</v>
      </c>
      <c r="B18" s="809"/>
      <c r="C18" s="810"/>
      <c r="D18" s="810"/>
      <c r="E18" s="811"/>
      <c r="F18" s="1451"/>
      <c r="G18" s="1451"/>
      <c r="H18" s="1451"/>
      <c r="I18" s="1451"/>
      <c r="J18" s="1451"/>
      <c r="K18" s="1451"/>
    </row>
    <row r="19" spans="1:11" ht="63.75" customHeight="1">
      <c r="A19" s="806" t="s">
        <v>655</v>
      </c>
      <c r="B19" s="1082"/>
      <c r="C19" s="804">
        <f>'2.1-2.2 - DOMESTIC HOT WATER'!H48</f>
        <v>0</v>
      </c>
      <c r="D19" s="807">
        <f>'2.1-2.2 - DOMESTIC HOT WATER'!M48</f>
        <v>0</v>
      </c>
      <c r="E19" s="808">
        <f>'2.1-2.2 - DOMESTIC HOT WATER'!P48</f>
        <v>0</v>
      </c>
    </row>
    <row r="20" spans="1:11" ht="25.5">
      <c r="A20" s="806" t="s">
        <v>2012</v>
      </c>
      <c r="B20" s="1082"/>
      <c r="C20" s="804">
        <f>'2.1-2.2 - DOMESTIC HOT WATER'!H49</f>
        <v>0</v>
      </c>
      <c r="D20" s="807">
        <f>'2.1-2.2 - DOMESTIC HOT WATER'!M49</f>
        <v>0</v>
      </c>
      <c r="E20" s="808">
        <f>'2.1-2.2 - DOMESTIC HOT WATER'!P49</f>
        <v>0</v>
      </c>
    </row>
    <row r="21" spans="1:11" ht="25.5">
      <c r="A21" s="806" t="s">
        <v>657</v>
      </c>
      <c r="B21" s="1082"/>
      <c r="C21" s="804">
        <f>'2.1-2.2 - DOMESTIC HOT WATER'!H50</f>
        <v>0</v>
      </c>
      <c r="D21" s="807">
        <f>'2.1-2.2 - DOMESTIC HOT WATER'!M50</f>
        <v>0</v>
      </c>
      <c r="E21" s="808">
        <f>'2.1-2.2 - DOMESTIC HOT WATER'!P50</f>
        <v>0</v>
      </c>
    </row>
    <row r="22" spans="1:11" s="1450" customFormat="1" ht="41.25" customHeight="1">
      <c r="A22" s="803" t="s">
        <v>658</v>
      </c>
      <c r="B22" s="809"/>
      <c r="C22" s="810"/>
      <c r="D22" s="810"/>
      <c r="E22" s="811"/>
      <c r="F22" s="1451"/>
      <c r="G22" s="1451"/>
      <c r="H22" s="1451"/>
      <c r="I22" s="1451"/>
      <c r="J22" s="1451"/>
      <c r="K22" s="1451"/>
    </row>
    <row r="23" spans="1:11">
      <c r="A23" s="806" t="s">
        <v>64</v>
      </c>
      <c r="B23" s="1082"/>
      <c r="C23" s="804">
        <f>'3.1 - ENV_BELOW GRADE WALLS'!F45</f>
        <v>0</v>
      </c>
      <c r="D23" s="804">
        <f>'3.1 - ENV_BELOW GRADE WALLS'!G45</f>
        <v>0</v>
      </c>
      <c r="E23" s="805">
        <f>'3.1 - ENV_BELOW GRADE WALLS'!J45</f>
        <v>0</v>
      </c>
    </row>
    <row r="24" spans="1:11">
      <c r="A24" s="806" t="s">
        <v>63</v>
      </c>
      <c r="B24" s="1082"/>
      <c r="C24" s="804">
        <f>'3.1 - ENV_ABOVE GRADE WALLS'!F61</f>
        <v>0</v>
      </c>
      <c r="D24" s="804">
        <f>'3.1 - ENV_ABOVE GRADE WALLS'!G61</f>
        <v>0</v>
      </c>
      <c r="E24" s="805">
        <f>'3.1 - ENV_ABOVE GRADE WALLS'!J61</f>
        <v>0</v>
      </c>
    </row>
    <row r="25" spans="1:11" ht="134.25" customHeight="1">
      <c r="A25" s="806" t="s">
        <v>659</v>
      </c>
      <c r="B25" s="1082"/>
      <c r="C25" s="804">
        <f>'3.1 - ENV_ABOVE GRADE WALLS'!F63</f>
        <v>0</v>
      </c>
      <c r="D25" s="804">
        <f>'3.1 - ENV_ABOVE GRADE WALLS'!G63</f>
        <v>0</v>
      </c>
      <c r="E25" s="805">
        <f>'3.1 - ENV_ABOVE GRADE WALLS'!J63</f>
        <v>0</v>
      </c>
    </row>
    <row r="26" spans="1:11">
      <c r="A26" s="806" t="s">
        <v>29</v>
      </c>
      <c r="B26" s="1082"/>
      <c r="C26" s="804">
        <f>'3.2 - ENV_ROOF'!F46</f>
        <v>0</v>
      </c>
      <c r="D26" s="804">
        <f>'3.2 - ENV_ROOF'!G46</f>
        <v>0</v>
      </c>
      <c r="E26" s="805">
        <f>'3.2 - ENV_ROOF'!J46</f>
        <v>0</v>
      </c>
    </row>
    <row r="27" spans="1:11" ht="25.5">
      <c r="A27" s="806" t="s">
        <v>660</v>
      </c>
      <c r="B27" s="1082"/>
      <c r="C27" s="804">
        <f>'3.3 - ENV_FLOORS'!F34</f>
        <v>0</v>
      </c>
      <c r="D27" s="807">
        <f>'3.3 - ENV_FLOORS'!G34</f>
        <v>0</v>
      </c>
      <c r="E27" s="808">
        <f>'3.3 - ENV_FLOORS'!J34</f>
        <v>0</v>
      </c>
    </row>
    <row r="28" spans="1:11" ht="25.5">
      <c r="A28" s="806" t="s">
        <v>661</v>
      </c>
      <c r="B28" s="1082"/>
      <c r="C28" s="804">
        <f>'3.3 - ENV_FLOORS'!F44</f>
        <v>0</v>
      </c>
      <c r="D28" s="807">
        <f>'3.3 - ENV_FLOORS'!G44</f>
        <v>0</v>
      </c>
      <c r="E28" s="808">
        <f>'3.3 - ENV_FLOORS'!J44</f>
        <v>0</v>
      </c>
    </row>
    <row r="29" spans="1:11" ht="25.5">
      <c r="A29" s="806" t="s">
        <v>662</v>
      </c>
      <c r="B29" s="1082"/>
      <c r="C29" s="804">
        <f>'3.3 - ENV_FLOORS'!F54</f>
        <v>0</v>
      </c>
      <c r="D29" s="807">
        <f>'3.3 - ENV_FLOORS'!G54</f>
        <v>0</v>
      </c>
      <c r="E29" s="808">
        <f>'3.3 - ENV_FLOORS'!J45</f>
        <v>0</v>
      </c>
    </row>
    <row r="30" spans="1:11" ht="25.5">
      <c r="A30" s="806" t="s">
        <v>663</v>
      </c>
      <c r="B30" s="1082"/>
      <c r="C30" s="804">
        <f>'3.3 - ENV_FLOORS'!F64</f>
        <v>0</v>
      </c>
      <c r="D30" s="807">
        <f>'3.3 - ENV_FLOORS'!G64</f>
        <v>0</v>
      </c>
      <c r="E30" s="808">
        <f>'3.3 - ENV_FLOORS'!J64</f>
        <v>0</v>
      </c>
    </row>
    <row r="31" spans="1:11">
      <c r="A31" s="806" t="s">
        <v>422</v>
      </c>
      <c r="B31" s="1082"/>
      <c r="C31" s="804">
        <f>'3.4 - ENV_WINDOWS'!G39</f>
        <v>0</v>
      </c>
      <c r="D31" s="804">
        <f>'3.4 - ENV_WINDOWS'!M39</f>
        <v>0</v>
      </c>
      <c r="E31" s="805">
        <f>'3.4 - ENV_WINDOWS'!P39</f>
        <v>0</v>
      </c>
    </row>
    <row r="32" spans="1:11">
      <c r="A32" s="806" t="s">
        <v>664</v>
      </c>
      <c r="B32" s="1082"/>
      <c r="C32" s="804">
        <f>'3.5 - ENV_EXTERIOR DOORS'!G37</f>
        <v>0</v>
      </c>
      <c r="D32" s="804">
        <f>'3.5 - ENV_EXTERIOR DOORS'!J37</f>
        <v>0</v>
      </c>
      <c r="E32" s="805">
        <f>'3.5 - ENV_EXTERIOR DOORS'!M37</f>
        <v>0</v>
      </c>
    </row>
    <row r="33" spans="1:11" s="1450" customFormat="1" ht="12.75">
      <c r="A33" s="803" t="s">
        <v>665</v>
      </c>
      <c r="B33" s="809"/>
      <c r="C33" s="810"/>
      <c r="D33" s="810"/>
      <c r="E33" s="811"/>
      <c r="F33" s="1451"/>
      <c r="G33" s="1451"/>
      <c r="H33" s="1451"/>
      <c r="I33" s="1451"/>
      <c r="J33" s="1451"/>
      <c r="K33" s="1451"/>
    </row>
    <row r="34" spans="1:11" ht="96.75" customHeight="1">
      <c r="A34" s="806" t="s">
        <v>666</v>
      </c>
      <c r="B34" s="1082"/>
      <c r="C34" s="804">
        <f>'5.1, 5.3 - HEATING'!H47</f>
        <v>0</v>
      </c>
      <c r="D34" s="807">
        <f>'5.1, 5.3 - HEATING'!M47</f>
        <v>0</v>
      </c>
      <c r="E34" s="808">
        <f>'5.1, 5.3 - HEATING'!P47</f>
        <v>0</v>
      </c>
    </row>
    <row r="35" spans="1:11" ht="25.5">
      <c r="A35" s="806" t="s">
        <v>667</v>
      </c>
      <c r="B35" s="1082"/>
      <c r="C35" s="804">
        <f>'5.1, 5.3 - HEATING'!H48</f>
        <v>0</v>
      </c>
      <c r="D35" s="807">
        <f>'5.1, 5.3 - HEATING'!M48</f>
        <v>0</v>
      </c>
      <c r="E35" s="808">
        <f>'5.1, 5.3 - HEATING'!P48</f>
        <v>0</v>
      </c>
    </row>
    <row r="36" spans="1:11">
      <c r="A36" s="806" t="s">
        <v>668</v>
      </c>
      <c r="B36" s="1082"/>
      <c r="C36" s="804">
        <f>'5.1, 5.3 - HEATING'!H46</f>
        <v>0</v>
      </c>
      <c r="D36" s="807">
        <f>'5.1, 5.3 - HEATING'!M46</f>
        <v>0</v>
      </c>
      <c r="E36" s="808">
        <f>'5.1, 5.3 - HEATING'!P46</f>
        <v>0</v>
      </c>
    </row>
    <row r="37" spans="1:11" ht="25.5">
      <c r="A37" s="806" t="s">
        <v>669</v>
      </c>
      <c r="B37" s="1082"/>
      <c r="C37" s="804">
        <f>'5.1, 5.3 - HEATING'!H49</f>
        <v>0</v>
      </c>
      <c r="D37" s="807">
        <f>'5.1, 5.3 - HEATING'!M49</f>
        <v>0</v>
      </c>
      <c r="E37" s="808">
        <f>'5.1, 5.3 - HEATING'!P49</f>
        <v>0</v>
      </c>
    </row>
    <row r="38" spans="1:11">
      <c r="A38" s="806" t="s">
        <v>670</v>
      </c>
      <c r="B38" s="1082"/>
      <c r="C38" s="804">
        <f>'5.1, 5.3 - HEATING'!H50</f>
        <v>0</v>
      </c>
      <c r="D38" s="807">
        <f>'5.1, 5.3 - HEATING'!M50</f>
        <v>0</v>
      </c>
      <c r="E38" s="808">
        <f>'5.1, 5.3 - HEATING'!P50</f>
        <v>0</v>
      </c>
    </row>
    <row r="39" spans="1:11">
      <c r="A39" s="806" t="s">
        <v>672</v>
      </c>
      <c r="B39" s="1084"/>
      <c r="C39" s="804" t="s">
        <v>363</v>
      </c>
      <c r="D39" s="807" t="s">
        <v>363</v>
      </c>
      <c r="E39" s="808" t="s">
        <v>363</v>
      </c>
    </row>
    <row r="40" spans="1:11" ht="25.5">
      <c r="A40" s="806" t="s">
        <v>673</v>
      </c>
      <c r="B40" s="1082"/>
      <c r="C40" s="804">
        <f>'5.2, 5.4 - COOLING'!G36</f>
        <v>0</v>
      </c>
      <c r="D40" s="807">
        <f>'5.2, 5.4 - COOLING'!N36</f>
        <v>0</v>
      </c>
      <c r="E40" s="808">
        <f>'5.2, 5.4 - COOLING'!Q36</f>
        <v>0</v>
      </c>
    </row>
    <row r="41" spans="1:11">
      <c r="A41" s="806" t="s">
        <v>674</v>
      </c>
      <c r="B41" s="1082"/>
      <c r="C41" s="804">
        <f>'5.2, 5.4 - COOLING'!G35</f>
        <v>0</v>
      </c>
      <c r="D41" s="807">
        <f>'5.2, 5.4 - COOLING'!N35</f>
        <v>0</v>
      </c>
      <c r="E41" s="808">
        <f>'5.2, 5.4 - COOLING'!Q35</f>
        <v>0</v>
      </c>
    </row>
    <row r="42" spans="1:11">
      <c r="A42" s="806" t="s">
        <v>675</v>
      </c>
      <c r="B42" s="1082"/>
      <c r="C42" s="804">
        <f>'5.2, 5.4 - COOLING'!G37</f>
        <v>0</v>
      </c>
      <c r="D42" s="807">
        <f>'5.2, 5.4 - COOLING'!N37</f>
        <v>0</v>
      </c>
      <c r="E42" s="808">
        <f>'5.2, 5.4 - COOLING'!Q37</f>
        <v>0</v>
      </c>
    </row>
    <row r="43" spans="1:11" s="1450" customFormat="1" ht="41.25" customHeight="1">
      <c r="A43" s="803" t="s">
        <v>676</v>
      </c>
      <c r="B43" s="809"/>
      <c r="C43" s="810"/>
      <c r="D43" s="810"/>
      <c r="E43" s="811"/>
      <c r="F43" s="1451"/>
      <c r="G43" s="1451"/>
      <c r="H43" s="1451"/>
      <c r="I43" s="1451"/>
      <c r="J43" s="1451"/>
      <c r="K43" s="1451"/>
    </row>
    <row r="44" spans="1:11">
      <c r="A44" s="806" t="s">
        <v>677</v>
      </c>
      <c r="B44" s="1084"/>
      <c r="C44" s="804">
        <f>'6.1, 6.2, 6.3 - LIGHTING'!J97</f>
        <v>0</v>
      </c>
      <c r="D44" s="804">
        <f>'6.1, 6.2, 6.3 - LIGHTING'!K97</f>
        <v>0</v>
      </c>
      <c r="E44" s="805">
        <f>'6.1, 6.2, 6.3 - LIGHTING'!N97</f>
        <v>0</v>
      </c>
    </row>
    <row r="45" spans="1:11">
      <c r="A45" s="806" t="s">
        <v>39</v>
      </c>
      <c r="B45" s="1084"/>
      <c r="C45" s="804">
        <f>'6.1, 6.2, 6.3 - LIGHTING'!J98</f>
        <v>0</v>
      </c>
      <c r="D45" s="804">
        <f>'6.1, 6.2, 6.3 - LIGHTING'!K98</f>
        <v>0</v>
      </c>
      <c r="E45" s="805">
        <f>'6.1, 6.2, 6.3 - LIGHTING'!N98</f>
        <v>0</v>
      </c>
    </row>
    <row r="46" spans="1:11">
      <c r="A46" s="806" t="s">
        <v>678</v>
      </c>
      <c r="B46" s="1084"/>
      <c r="C46" s="804">
        <f>'6.1, 6.2, 6.3 - LIGHTING'!J101</f>
        <v>0</v>
      </c>
      <c r="D46" s="804">
        <f>'6.1, 6.2, 6.3 - LIGHTING'!K101</f>
        <v>0</v>
      </c>
      <c r="E46" s="805">
        <f>'6.1, 6.2, 6.3 - LIGHTING'!N101</f>
        <v>0</v>
      </c>
    </row>
    <row r="47" spans="1:11">
      <c r="A47" s="806" t="s">
        <v>49</v>
      </c>
      <c r="B47" s="1082"/>
      <c r="C47" s="804">
        <f>'6.1, 6.2, 6.3 - LIGHTING'!J104</f>
        <v>0</v>
      </c>
      <c r="D47" s="804">
        <f>'6.1, 6.2, 6.3 - LIGHTING'!K104</f>
        <v>0</v>
      </c>
      <c r="E47" s="805">
        <f>'6.1, 6.2, 6.3 - LIGHTING'!N104</f>
        <v>0</v>
      </c>
    </row>
    <row r="48" spans="1:11" s="1450" customFormat="1" ht="41.25" customHeight="1">
      <c r="A48" s="803" t="s">
        <v>679</v>
      </c>
      <c r="B48" s="809"/>
      <c r="C48" s="810"/>
      <c r="D48" s="810"/>
      <c r="E48" s="811"/>
      <c r="F48" s="1451"/>
      <c r="G48" s="1451"/>
      <c r="H48" s="1451"/>
      <c r="I48" s="1451"/>
      <c r="J48" s="1451"/>
      <c r="K48" s="1451"/>
    </row>
    <row r="49" spans="1:11">
      <c r="A49" s="812" t="s">
        <v>680</v>
      </c>
      <c r="B49" s="1084"/>
      <c r="C49" s="804">
        <f>'7.1 - MOTORS'!H34</f>
        <v>0</v>
      </c>
      <c r="D49" s="804">
        <f>'7.1 - MOTORS'!J34</f>
        <v>0</v>
      </c>
      <c r="E49" s="805">
        <f>'7.1 - MOTORS'!M34</f>
        <v>0</v>
      </c>
    </row>
    <row r="50" spans="1:11" ht="25.5">
      <c r="A50" s="812" t="s">
        <v>681</v>
      </c>
      <c r="B50" s="1084"/>
      <c r="C50" s="804">
        <f>'7.1 - MOTORS'!H36</f>
        <v>0</v>
      </c>
      <c r="D50" s="804">
        <f>'7.1 - MOTORS'!J36</f>
        <v>0</v>
      </c>
      <c r="E50" s="805">
        <f>'7.1 - MOTORS'!M36</f>
        <v>0</v>
      </c>
    </row>
    <row r="51" spans="1:11" s="1450" customFormat="1" ht="41.25" customHeight="1">
      <c r="A51" s="803" t="s">
        <v>683</v>
      </c>
      <c r="B51" s="809"/>
      <c r="C51" s="810"/>
      <c r="D51" s="810"/>
      <c r="E51" s="811"/>
      <c r="F51" s="1451"/>
      <c r="G51" s="1451"/>
      <c r="H51" s="1451"/>
      <c r="I51" s="1451"/>
      <c r="J51" s="1451"/>
      <c r="K51" s="1451"/>
    </row>
    <row r="52" spans="1:11" ht="38.25">
      <c r="A52" s="806" t="s">
        <v>2011</v>
      </c>
      <c r="B52" s="1082"/>
      <c r="C52" s="804">
        <f>'8.2 - VENT_SCHEDULE&amp;TAB REPORT'!H55</f>
        <v>0</v>
      </c>
      <c r="D52" s="804">
        <f>'8.2 - VENT_SCHEDULE&amp;TAB REPORT'!O55</f>
        <v>0</v>
      </c>
      <c r="E52" s="805">
        <f>'8.2 - VENT_SCHEDULE&amp;TAB REPORT'!R55</f>
        <v>0</v>
      </c>
    </row>
    <row r="53" spans="1:11" ht="25.5">
      <c r="A53" s="806" t="s">
        <v>684</v>
      </c>
      <c r="B53" s="1085"/>
      <c r="C53" s="807">
        <f>'8.2 - VENT_SCHEDULE&amp;TAB REPORT'!H57</f>
        <v>0</v>
      </c>
      <c r="D53" s="807">
        <f>'8.2 - VENT_SCHEDULE&amp;TAB REPORT'!O57</f>
        <v>0</v>
      </c>
      <c r="E53" s="808">
        <f>'8.2 - VENT_SCHEDULE&amp;TAB REPORT'!R57</f>
        <v>0</v>
      </c>
      <c r="F53" s="1452"/>
    </row>
    <row r="54" spans="1:11" ht="25.5">
      <c r="A54" s="806" t="s">
        <v>685</v>
      </c>
      <c r="B54" s="1082"/>
      <c r="C54" s="807">
        <f>'8.2 - VENT_SCHEDULE&amp;TAB REPORT'!H33</f>
        <v>0</v>
      </c>
      <c r="D54" s="804">
        <f>'8.2 - VENT_SCHEDULE&amp;TAB REPORT'!O33</f>
        <v>0</v>
      </c>
      <c r="E54" s="805">
        <f>'8.2 - VENT_SCHEDULE&amp;TAB REPORT'!R33</f>
        <v>0</v>
      </c>
    </row>
    <row r="55" spans="1:11" ht="25.5" customHeight="1">
      <c r="A55" s="2621" t="s">
        <v>686</v>
      </c>
      <c r="B55" s="1084"/>
      <c r="C55" s="807">
        <f>'8.2 - VENT_SCHEDULE&amp;TAB REPORT'!H53</f>
        <v>0</v>
      </c>
      <c r="D55" s="804">
        <f>'8.2 - VENT_SCHEDULE&amp;TAB REPORT'!O53</f>
        <v>0</v>
      </c>
      <c r="E55" s="805">
        <f>'8.2 - VENT_SCHEDULE&amp;TAB REPORT'!R53</f>
        <v>0</v>
      </c>
    </row>
    <row r="56" spans="1:11">
      <c r="A56" s="2622"/>
      <c r="B56" s="1084"/>
      <c r="C56" s="807">
        <f>'8.2 - VENT_SCHEDULE&amp;TAB REPORT'!H54</f>
        <v>0</v>
      </c>
      <c r="D56" s="804">
        <f>'8.2 - VENT_SCHEDULE&amp;TAB REPORT'!O54</f>
        <v>0</v>
      </c>
      <c r="E56" s="805">
        <f>'8.2 - VENT_SCHEDULE&amp;TAB REPORT'!R54</f>
        <v>0</v>
      </c>
    </row>
    <row r="57" spans="1:11" ht="25.5">
      <c r="A57" s="806" t="s">
        <v>687</v>
      </c>
      <c r="B57" s="1084"/>
      <c r="C57" s="807">
        <f>'8.2 - VENT_SCHEDULE&amp;TAB REPORT'!H52</f>
        <v>0</v>
      </c>
      <c r="D57" s="804">
        <f>'8.2 - VENT_SCHEDULE&amp;TAB REPORT'!O52</f>
        <v>0</v>
      </c>
      <c r="E57" s="805">
        <f>'8.2 - VENT_SCHEDULE&amp;TAB REPORT'!R52</f>
        <v>0</v>
      </c>
    </row>
    <row r="58" spans="1:11">
      <c r="A58" s="806" t="s">
        <v>688</v>
      </c>
      <c r="B58" s="1084"/>
      <c r="C58" s="804">
        <f>'8.2 - VENT_SCHEDULE&amp;TAB REPORT'!H56</f>
        <v>0</v>
      </c>
      <c r="D58" s="804">
        <f>'8.2 - VENT_SCHEDULE&amp;TAB REPORT'!O56</f>
        <v>0</v>
      </c>
      <c r="E58" s="805">
        <f>'8.2 - VENT_SCHEDULE&amp;TAB REPORT'!R56</f>
        <v>0</v>
      </c>
    </row>
    <row r="59" spans="1:11" ht="55.5" customHeight="1">
      <c r="A59" s="803" t="s">
        <v>689</v>
      </c>
      <c r="B59" s="809"/>
      <c r="C59" s="810"/>
      <c r="D59" s="810"/>
      <c r="E59" s="811"/>
    </row>
    <row r="60" spans="1:11" s="1450" customFormat="1" ht="41.25" customHeight="1">
      <c r="A60" s="806" t="s">
        <v>690</v>
      </c>
      <c r="B60" s="1449"/>
      <c r="C60" s="807"/>
      <c r="D60" s="807"/>
      <c r="E60" s="808"/>
      <c r="F60" s="1451"/>
      <c r="G60" s="1451"/>
      <c r="H60" s="1451"/>
      <c r="I60" s="1451"/>
      <c r="J60" s="1451"/>
      <c r="K60" s="1451"/>
    </row>
    <row r="61" spans="1:11">
      <c r="A61" s="806" t="s">
        <v>691</v>
      </c>
      <c r="B61" s="1449"/>
      <c r="C61" s="807"/>
      <c r="D61" s="807"/>
      <c r="E61" s="808"/>
    </row>
    <row r="62" spans="1:11">
      <c r="A62" s="2620"/>
      <c r="B62" s="2620"/>
      <c r="C62" s="800"/>
      <c r="D62" s="800"/>
      <c r="E62" s="800"/>
    </row>
    <row r="63" spans="1:11">
      <c r="A63" s="800"/>
      <c r="B63" s="800"/>
      <c r="C63" s="800"/>
      <c r="D63" s="800"/>
      <c r="E63" s="800"/>
    </row>
    <row r="64" spans="1:11">
      <c r="A64" s="1446"/>
      <c r="B64" s="800"/>
      <c r="C64" s="800"/>
      <c r="D64" s="800"/>
      <c r="E64" s="800"/>
    </row>
    <row r="65" spans="1:6">
      <c r="A65" s="1446"/>
      <c r="B65" s="800"/>
      <c r="C65" s="800"/>
      <c r="D65" s="800"/>
      <c r="E65" s="800"/>
      <c r="F65" s="1448"/>
    </row>
    <row r="66" spans="1:6">
      <c r="A66" s="1446"/>
      <c r="B66" s="800"/>
      <c r="C66" s="800"/>
      <c r="D66" s="800"/>
      <c r="E66" s="800"/>
    </row>
    <row r="67" spans="1:6">
      <c r="A67" s="800"/>
      <c r="B67" s="800"/>
    </row>
    <row r="68" spans="1:6">
      <c r="A68" s="800"/>
      <c r="B68" s="800"/>
    </row>
    <row r="69" spans="1:6">
      <c r="A69" s="800"/>
      <c r="B69" s="800"/>
    </row>
    <row r="70" spans="1:6">
      <c r="A70" s="800"/>
      <c r="B70" s="800"/>
    </row>
    <row r="71" spans="1:6">
      <c r="A71" s="800"/>
      <c r="B71" s="1447"/>
    </row>
    <row r="72" spans="1:6">
      <c r="A72" s="800"/>
      <c r="B72" s="800"/>
    </row>
    <row r="73" spans="1:6">
      <c r="A73" s="800"/>
      <c r="B73" s="800"/>
    </row>
    <row r="74" spans="1:6">
      <c r="A74" s="800"/>
      <c r="B74" s="800"/>
    </row>
    <row r="75" spans="1:6">
      <c r="A75" s="1446"/>
      <c r="B75" s="1446"/>
    </row>
    <row r="76" spans="1:6">
      <c r="A76" s="1446"/>
      <c r="B76" s="1446"/>
    </row>
    <row r="77" spans="1:6">
      <c r="A77" s="1446"/>
      <c r="B77" s="1445"/>
    </row>
    <row r="78" spans="1:6">
      <c r="A78" s="800"/>
      <c r="B78" s="800"/>
    </row>
    <row r="79" spans="1:6">
      <c r="A79" s="800"/>
      <c r="B79" s="800"/>
    </row>
    <row r="80" spans="1:6">
      <c r="A80" s="800"/>
      <c r="B80" s="800"/>
    </row>
  </sheetData>
  <sheetProtection formatCells="0" formatColumns="0" formatRows="0" insertColumns="0" insertRows="0"/>
  <mergeCells count="8">
    <mergeCell ref="A62:B62"/>
    <mergeCell ref="A55:A56"/>
    <mergeCell ref="C9:D9"/>
    <mergeCell ref="A9:A10"/>
    <mergeCell ref="A3:E3"/>
    <mergeCell ref="A4:E4"/>
    <mergeCell ref="A5:E5"/>
    <mergeCell ref="A6:E6"/>
  </mergeCells>
  <pageMargins left="0.75" right="0.75" top="1" bottom="1" header="0.5" footer="0.5"/>
  <pageSetup scale="62" orientation="portrait" r:id="rId1"/>
  <headerFooter alignWithMargins="0">
    <oddFooter>Page &amp;P of &amp;N</oddFooter>
  </headerFooter>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CCFF"/>
    <pageSetUpPr fitToPage="1"/>
  </sheetPr>
  <dimension ref="A1:R284"/>
  <sheetViews>
    <sheetView showGridLines="0" topLeftCell="F117" zoomScale="90" zoomScaleNormal="90" zoomScaleSheetLayoutView="100" workbookViewId="0">
      <selection activeCell="R122" sqref="R122"/>
    </sheetView>
  </sheetViews>
  <sheetFormatPr defaultRowHeight="15"/>
  <cols>
    <col min="1" max="1" width="9" style="824" customWidth="1"/>
    <col min="2" max="2" width="18.42578125" style="783" customWidth="1"/>
    <col min="3" max="3" width="52.28515625" style="783" customWidth="1"/>
    <col min="4" max="5" width="14.28515625" style="845" customWidth="1"/>
    <col min="6" max="7" width="13.7109375" style="783" customWidth="1"/>
    <col min="8" max="11" width="9.140625" style="815" customWidth="1"/>
    <col min="12" max="12" width="9.140625" style="815"/>
    <col min="13" max="16" width="9.140625" style="815" customWidth="1"/>
    <col min="17" max="17" width="36.28515625" style="783" customWidth="1"/>
    <col min="18" max="18" width="42.28515625" style="783" customWidth="1"/>
    <col min="19" max="16384" width="9.140625" style="815"/>
  </cols>
  <sheetData>
    <row r="1" spans="2:18" ht="20.25">
      <c r="B1" s="1477" t="s">
        <v>549</v>
      </c>
      <c r="C1" s="1074"/>
      <c r="D1" s="1129"/>
      <c r="E1" s="1130"/>
      <c r="F1" s="1130"/>
      <c r="G1" s="1130"/>
      <c r="H1" s="814"/>
      <c r="Q1" s="800"/>
      <c r="R1" s="800"/>
    </row>
    <row r="2" spans="2:18">
      <c r="B2" s="2642" t="s">
        <v>2056</v>
      </c>
      <c r="C2" s="2642"/>
      <c r="D2" s="2642"/>
      <c r="E2" s="2642"/>
      <c r="F2" s="2642"/>
      <c r="G2" s="1326"/>
      <c r="H2" s="816"/>
      <c r="Q2" s="815"/>
      <c r="R2" s="815"/>
    </row>
    <row r="3" spans="2:18">
      <c r="B3" s="2642" t="s">
        <v>692</v>
      </c>
      <c r="C3" s="2642"/>
      <c r="D3" s="2642"/>
      <c r="E3" s="2642"/>
      <c r="F3" s="2642"/>
      <c r="G3" s="1326"/>
      <c r="Q3" s="815"/>
      <c r="R3" s="815"/>
    </row>
    <row r="4" spans="2:18">
      <c r="B4" s="1475" t="s">
        <v>693</v>
      </c>
      <c r="C4" s="1475"/>
      <c r="D4" s="1475"/>
      <c r="E4" s="1475"/>
      <c r="F4" s="1475"/>
      <c r="G4" s="1476"/>
      <c r="Q4" s="815"/>
      <c r="R4" s="815"/>
    </row>
    <row r="5" spans="2:18" ht="15" customHeight="1">
      <c r="B5" s="1475" t="s">
        <v>2055</v>
      </c>
      <c r="C5" s="1475"/>
      <c r="D5" s="1475"/>
      <c r="E5" s="1475"/>
      <c r="F5" s="1475"/>
      <c r="G5" s="1326"/>
      <c r="Q5" s="815"/>
      <c r="R5" s="815"/>
    </row>
    <row r="6" spans="2:18">
      <c r="D6" s="815"/>
      <c r="E6" s="815"/>
    </row>
    <row r="7" spans="2:18">
      <c r="B7" s="1473"/>
      <c r="C7" s="1474"/>
      <c r="D7" s="1474"/>
      <c r="E7" s="1474"/>
      <c r="F7" s="1472"/>
      <c r="G7" s="1472"/>
      <c r="H7" s="1089"/>
      <c r="I7" s="1089"/>
      <c r="J7" s="1089"/>
      <c r="Q7" s="1473"/>
      <c r="R7" s="1472"/>
    </row>
    <row r="8" spans="2:18" ht="28.5" customHeight="1">
      <c r="B8" s="1471" t="str">
        <f>'Project Info'!C3&amp;" Modified Prescriptive Path Checklist"</f>
        <v>0 Modified Prescriptive Path Checklist</v>
      </c>
      <c r="C8" s="1470"/>
      <c r="D8" s="2643" t="s">
        <v>694</v>
      </c>
      <c r="E8" s="2644"/>
      <c r="F8" s="1468"/>
      <c r="G8" s="1468"/>
      <c r="H8" s="1089"/>
      <c r="I8" s="1089"/>
      <c r="J8" s="1089"/>
      <c r="Q8" s="1469"/>
      <c r="R8" s="1468"/>
    </row>
    <row r="9" spans="2:18" ht="15.75">
      <c r="B9" s="1467"/>
      <c r="C9" s="1466"/>
      <c r="D9" s="1466"/>
      <c r="E9" s="1465"/>
      <c r="F9" s="1463"/>
      <c r="G9" s="1463"/>
      <c r="H9" s="1089"/>
      <c r="I9" s="1089"/>
      <c r="J9" s="1089"/>
      <c r="Q9" s="1464"/>
      <c r="R9" s="1463"/>
    </row>
    <row r="10" spans="2:18" ht="60">
      <c r="B10" s="817" t="s">
        <v>234</v>
      </c>
      <c r="C10" s="818" t="s">
        <v>2054</v>
      </c>
      <c r="D10" s="819" t="s">
        <v>695</v>
      </c>
      <c r="E10" s="819" t="s">
        <v>696</v>
      </c>
      <c r="F10" s="817" t="s">
        <v>697</v>
      </c>
      <c r="G10" s="817" t="s">
        <v>2053</v>
      </c>
      <c r="H10" s="1069"/>
      <c r="I10" s="1089"/>
      <c r="J10" s="1089"/>
      <c r="Q10" s="818" t="s">
        <v>699</v>
      </c>
      <c r="R10" s="818" t="s">
        <v>700</v>
      </c>
    </row>
    <row r="11" spans="2:18" ht="27.75" customHeight="1">
      <c r="B11" s="2638" t="s">
        <v>701</v>
      </c>
      <c r="C11" s="2639"/>
      <c r="D11" s="820"/>
      <c r="E11" s="820"/>
      <c r="F11" s="820"/>
      <c r="G11" s="820"/>
      <c r="H11" s="1089"/>
      <c r="I11" s="1089"/>
      <c r="J11" s="1089"/>
      <c r="Q11" s="1089"/>
      <c r="R11" s="1089"/>
    </row>
    <row r="12" spans="2:18" ht="36">
      <c r="B12" s="2645" t="s">
        <v>702</v>
      </c>
      <c r="C12" s="821" t="s">
        <v>2052</v>
      </c>
      <c r="D12" s="822" t="s">
        <v>703</v>
      </c>
      <c r="E12" s="822" t="s">
        <v>703</v>
      </c>
      <c r="F12" s="1328" t="s">
        <v>703</v>
      </c>
      <c r="G12" s="1328" t="s">
        <v>703</v>
      </c>
      <c r="H12" s="1089"/>
      <c r="I12" s="1089"/>
      <c r="J12" s="1089"/>
      <c r="Q12" s="821"/>
      <c r="R12" s="821"/>
    </row>
    <row r="13" spans="2:18">
      <c r="B13" s="2646"/>
      <c r="C13" s="823" t="str">
        <f>'1.1 - APPLIANCES'!D26</f>
        <v>Refrigerators</v>
      </c>
      <c r="D13" s="822">
        <f>'1.1 - APPLIANCES'!L26</f>
        <v>0</v>
      </c>
      <c r="E13" s="822">
        <f>'1.1 - APPLIANCES'!M26</f>
        <v>0</v>
      </c>
      <c r="F13" s="1328">
        <f>'1.1 - APPLIANCES'!N26</f>
        <v>0</v>
      </c>
      <c r="G13" s="1086"/>
      <c r="H13" s="1460" t="str">
        <f>IF($D$8="&lt;Select One - Plan Review or Final Inspection&gt;","See instructions in cell D8",IF($D$8="Plan Review",(IF(E13="No",IF(G13="","Provide explanation for Non-Verified Requirements"),IF(E13="NA",IF(G13="","Provide explanation for this NA item"),IF(E13=0,IF(G13="","Provide information in corresponding worksheet. Identify as Y, N or NA."),"")))),IF($D$8="Final Inspection",(IF(F13="No",IF(G13="","Provide explanation for Non-Verified Requirements"),IF(F13="NA",IF(G13="","Provide explanation for this NA item"),IF(F13=0,IF(G13="","Provide information in corresponding worksheet. Identify as Y, N or NA."),"")))))))</f>
        <v>See instructions in cell D8</v>
      </c>
      <c r="I13" s="1089"/>
      <c r="J13" s="1089"/>
      <c r="Q13" s="823"/>
      <c r="R13" s="823"/>
    </row>
    <row r="14" spans="2:18">
      <c r="B14" s="2646"/>
      <c r="C14" s="823" t="str">
        <f>'1.1 - APPLIANCES'!D27</f>
        <v>Dishwashers</v>
      </c>
      <c r="D14" s="822">
        <f>'1.1 - APPLIANCES'!L27</f>
        <v>0</v>
      </c>
      <c r="E14" s="822">
        <f>'1.1 - APPLIANCES'!M27</f>
        <v>0</v>
      </c>
      <c r="F14" s="1328">
        <f>'1.1 - APPLIANCES'!N27</f>
        <v>0</v>
      </c>
      <c r="G14" s="1086"/>
      <c r="H14" s="1460" t="str">
        <f>IF($D$8="&lt;Select One - Plan Review or Final Inspection&gt;","See instructions in cell D8",IF($D$8="Plan Review",(IF(E14="No",IF(G14="","Provide explanation for Non-Verified Requirements"),IF(E14="NA",IF(G14="","Provide explanation for this NA item"),IF(E14=0,IF(G14="","Provide information in corresponding worksheet. Identify as Y, N or NA."),"")))),IF($D$8="Final Inspection",(IF(F14="No",IF(G14="","Provide explanation for Non-Verified Requirements"),IF(F14="NA",IF(G14="","Provide explanation for this NA item"),IF(F14=0,IF(G14="","Provide information in corresponding worksheet. Identify as Y, N or NA."),"")))))))</f>
        <v>See instructions in cell D8</v>
      </c>
      <c r="I14" s="1089"/>
      <c r="J14" s="1089"/>
      <c r="Q14" s="823"/>
      <c r="R14" s="823"/>
    </row>
    <row r="15" spans="2:18">
      <c r="B15" s="2646"/>
      <c r="C15" s="823" t="str">
        <f>'1.1 - APPLIANCES'!D28</f>
        <v>Clothes Washers</v>
      </c>
      <c r="D15" s="822">
        <f>'1.1 - APPLIANCES'!L28</f>
        <v>0</v>
      </c>
      <c r="E15" s="822">
        <f>'1.1 - APPLIANCES'!M28</f>
        <v>0</v>
      </c>
      <c r="F15" s="1328">
        <f>'1.1 - APPLIANCES'!N28</f>
        <v>0</v>
      </c>
      <c r="G15" s="1086"/>
      <c r="H15" s="1460" t="str">
        <f>IF($D$8="&lt;Select One - Plan Review or Final Inspection&gt;","See instructions in cell D8",IF($D$8="Plan Review",(IF(E15="No",IF(G15="","Provide explanation for Non-Verified Requirements"),IF(E15="NA",IF(G15="","Provide explanation for this NA item"),IF(E15=0,IF(G15="","Provide information in corresponding worksheet. Identify as Y, N or NA."),"")))),IF($D$8="Final Inspection",(IF(F15="No",IF(G15="","Provide explanation for Non-Verified Requirements"),IF(F15="NA",IF(G15="","Provide explanation for this NA item"),IF(F15=0,IF(G15="","Provide information in corresponding worksheet. Identify as Y, N or NA."),"")))))))</f>
        <v>See instructions in cell D8</v>
      </c>
      <c r="I15" s="1089"/>
      <c r="J15" s="1089"/>
      <c r="Q15" s="823"/>
      <c r="R15" s="823"/>
    </row>
    <row r="16" spans="2:18">
      <c r="B16" s="2646"/>
      <c r="C16" s="823" t="str">
        <f>'1.1 - APPLIANCES'!D29</f>
        <v>Ceiling Fans</v>
      </c>
      <c r="D16" s="822">
        <f>'1.1 - APPLIANCES'!L29</f>
        <v>0</v>
      </c>
      <c r="E16" s="822">
        <f>'1.1 - APPLIANCES'!M29</f>
        <v>0</v>
      </c>
      <c r="F16" s="1328">
        <f>'1.1 - APPLIANCES'!N29</f>
        <v>0</v>
      </c>
      <c r="G16" s="1086"/>
      <c r="H16" s="1460" t="str">
        <f>IF($D$8="&lt;Select One - Plan Review or Final Inspection&gt;","See instructions in cell D8",IF($D$8="Plan Review",(IF(E16="No",IF(G16="","Provide explanation for Non-Verified Requirements"),IF(E16="NA",IF(G16="","Provide explanation for this NA item"),IF(E16=0,IF(G16="","Provide information in corresponding worksheet. Identify as Y, N or NA."),"")))),IF($D$8="Final Inspection",(IF(F16="No",IF(G16="","Provide explanation for Non-Verified Requirements"),IF(F16="NA",IF(G16="","Provide explanation for this NA item"),IF(F16=0,IF(G16="","Provide information in corresponding worksheet. Identify as Y, N or NA."),"")))))))</f>
        <v>See instructions in cell D8</v>
      </c>
      <c r="I16" s="1089"/>
      <c r="J16" s="1089"/>
      <c r="Q16" s="823"/>
      <c r="R16" s="823"/>
    </row>
    <row r="17" spans="1:18">
      <c r="B17" s="2647"/>
      <c r="C17" s="823" t="str">
        <f>'1.1 - APPLIANCES'!D30</f>
        <v>Vending Machines</v>
      </c>
      <c r="D17" s="822">
        <f>'1.1 - APPLIANCES'!L30</f>
        <v>0</v>
      </c>
      <c r="E17" s="822">
        <f>'1.1 - APPLIANCES'!M30</f>
        <v>0</v>
      </c>
      <c r="F17" s="1328">
        <f>'1.1 - APPLIANCES'!N30</f>
        <v>0</v>
      </c>
      <c r="G17" s="1086"/>
      <c r="H17" s="1460" t="str">
        <f>IF($D$8="&lt;Select One - Plan Review or Final Inspection&gt;","See instructions in cell D8",IF($D$8="Plan Review",(IF(E17="No",IF(G17="","Provide explanation for Non-Verified Requirements"),IF(E17="NA",IF(G17="","Provide explanation for this NA item"),IF(E17=0,IF(G17="","Provide information in corresponding worksheet. Identify as Y, N or NA."),"")))),IF($D$8="Final Inspection",(IF(F17="No",IF(G17="","Provide explanation for Non-Verified Requirements"),IF(F17="NA",IF(G17="","Provide explanation for this NA item"),IF(F17=0,IF(G17="","Provide information in corresponding worksheet. Identify as Y, N or NA."),"")))))))</f>
        <v>See instructions in cell D8</v>
      </c>
      <c r="I17" s="1089"/>
      <c r="J17" s="1089"/>
      <c r="Q17" s="823"/>
      <c r="R17" s="823"/>
    </row>
    <row r="18" spans="1:18" ht="27.75" customHeight="1">
      <c r="B18" s="2638" t="s">
        <v>704</v>
      </c>
      <c r="C18" s="2639"/>
      <c r="D18" s="825"/>
      <c r="E18" s="825"/>
      <c r="F18" s="825"/>
      <c r="G18" s="825"/>
      <c r="H18" s="1460"/>
      <c r="I18" s="1089"/>
      <c r="J18" s="1089"/>
      <c r="Q18" s="1089"/>
      <c r="R18" s="1089"/>
    </row>
    <row r="19" spans="1:18" ht="24">
      <c r="B19" s="826" t="s">
        <v>705</v>
      </c>
      <c r="C19" s="826" t="s">
        <v>2549</v>
      </c>
      <c r="D19" s="1330">
        <f>'2.1-2.2 - DOMESTIC HOT WATER'!M46</f>
        <v>0</v>
      </c>
      <c r="E19" s="1330">
        <f>'2.1-2.2 - DOMESTIC HOT WATER'!N46</f>
        <v>0</v>
      </c>
      <c r="F19" s="1330">
        <f>'2.1-2.2 - DOMESTIC HOT WATER'!O46</f>
        <v>0</v>
      </c>
      <c r="G19" s="1087"/>
      <c r="H19" s="1460" t="str">
        <f t="shared" ref="H19:H25" si="0">IF($D$8="&lt;Select One - Plan Review or Final Inspection&gt;","See instructions in cell D8",IF($D$8="Plan Review",(IF(E19="No",IF(G19="","Provide explanation for Non-Verified Requirements"),IF(E19="NA",IF(G19="","Provide explanation for this NA item"),IF(E19=0,IF(G19="","Provide information in corresponding worksheet. Identify as Y, N or NA."),"")))),IF($D$8="Final Inspection",(IF(F19="No",IF(G19="","Provide explanation for Non-Verified Requirements"),IF(F19="NA",IF(G19="","Provide explanation for this NA item"),IF(F19=0,IF(G19="","Provide information in corresponding worksheet. Identify as Y, N or NA."),"")))))))</f>
        <v>See instructions in cell D8</v>
      </c>
      <c r="I19" s="1089"/>
      <c r="J19" s="1089"/>
      <c r="Q19" s="826"/>
      <c r="R19" s="826"/>
    </row>
    <row r="20" spans="1:18" ht="168">
      <c r="B20" s="2631" t="s">
        <v>706</v>
      </c>
      <c r="C20" s="827" t="s">
        <v>2051</v>
      </c>
      <c r="D20" s="1330">
        <f>'2.1-2.2 - DOMESTIC HOT WATER'!M48</f>
        <v>0</v>
      </c>
      <c r="E20" s="1330">
        <f>'2.1-2.2 - DOMESTIC HOT WATER'!N48</f>
        <v>0</v>
      </c>
      <c r="F20" s="1330">
        <f>'2.1-2.2 - DOMESTIC HOT WATER'!O48</f>
        <v>0</v>
      </c>
      <c r="G20" s="1087"/>
      <c r="H20" s="1460" t="str">
        <f t="shared" si="0"/>
        <v>See instructions in cell D8</v>
      </c>
      <c r="I20" s="1089"/>
      <c r="J20" s="1089"/>
      <c r="Q20" s="827"/>
      <c r="R20" s="827"/>
    </row>
    <row r="21" spans="1:18" ht="24">
      <c r="B21" s="2634"/>
      <c r="C21" s="826" t="s">
        <v>656</v>
      </c>
      <c r="D21" s="1330">
        <f>'2.1-2.2 - DOMESTIC HOT WATER'!M49</f>
        <v>0</v>
      </c>
      <c r="E21" s="1330">
        <f>'2.1-2.2 - DOMESTIC HOT WATER'!N49</f>
        <v>0</v>
      </c>
      <c r="F21" s="1330">
        <f>'2.1-2.2 - DOMESTIC HOT WATER'!O49</f>
        <v>0</v>
      </c>
      <c r="G21" s="1087"/>
      <c r="H21" s="1460" t="str">
        <f t="shared" si="0"/>
        <v>See instructions in cell D8</v>
      </c>
      <c r="I21" s="1089"/>
      <c r="J21" s="1089"/>
      <c r="Q21" s="826"/>
      <c r="R21" s="826"/>
    </row>
    <row r="22" spans="1:18" ht="48">
      <c r="B22" s="826" t="s">
        <v>707</v>
      </c>
      <c r="C22" s="827" t="s">
        <v>708</v>
      </c>
      <c r="D22" s="1330">
        <f>'2.1-2.2 - DOMESTIC HOT WATER'!M54</f>
        <v>0</v>
      </c>
      <c r="E22" s="1330">
        <f>'2.1-2.2 - DOMESTIC HOT WATER'!N54</f>
        <v>0</v>
      </c>
      <c r="F22" s="1330">
        <f>'2.1-2.2 - DOMESTIC HOT WATER'!O54</f>
        <v>0</v>
      </c>
      <c r="G22" s="1087"/>
      <c r="H22" s="1460" t="str">
        <f t="shared" si="0"/>
        <v>See instructions in cell D8</v>
      </c>
      <c r="I22" s="1089"/>
      <c r="J22" s="1089"/>
      <c r="Q22" s="827"/>
      <c r="R22" s="827"/>
    </row>
    <row r="23" spans="1:18" ht="36">
      <c r="B23" s="826" t="s">
        <v>709</v>
      </c>
      <c r="C23" s="828" t="s">
        <v>2050</v>
      </c>
      <c r="D23" s="1330">
        <f>'2.1-2.2 - DOMESTIC HOT WATER'!M55</f>
        <v>0</v>
      </c>
      <c r="E23" s="1330">
        <f>'2.1-2.2 - DOMESTIC HOT WATER'!N55</f>
        <v>0</v>
      </c>
      <c r="F23" s="1330">
        <f>'2.1-2.2 - DOMESTIC HOT WATER'!O55</f>
        <v>0</v>
      </c>
      <c r="G23" s="1087"/>
      <c r="H23" s="1460" t="str">
        <f t="shared" si="0"/>
        <v>See instructions in cell D8</v>
      </c>
      <c r="I23" s="1089"/>
      <c r="J23" s="1089"/>
      <c r="Q23" s="828"/>
      <c r="R23" s="828"/>
    </row>
    <row r="24" spans="1:18" ht="60">
      <c r="B24" s="826" t="s">
        <v>710</v>
      </c>
      <c r="C24" s="828" t="s">
        <v>2543</v>
      </c>
      <c r="D24" s="1330">
        <f>'2.1-2.2 - DOMESTIC HOT WATER'!M53</f>
        <v>0</v>
      </c>
      <c r="E24" s="1330">
        <f>'2.1-2.2 - DOMESTIC HOT WATER'!N53</f>
        <v>0</v>
      </c>
      <c r="F24" s="1330">
        <f>'2.1-2.2 - DOMESTIC HOT WATER'!O53</f>
        <v>0</v>
      </c>
      <c r="G24" s="1087"/>
      <c r="H24" s="1460" t="str">
        <f t="shared" si="0"/>
        <v>See instructions in cell D8</v>
      </c>
      <c r="I24" s="1089"/>
      <c r="J24" s="1089"/>
      <c r="Q24" s="828"/>
      <c r="R24" s="828"/>
    </row>
    <row r="25" spans="1:18" ht="108">
      <c r="B25" s="826" t="s">
        <v>711</v>
      </c>
      <c r="C25" s="827" t="s">
        <v>2049</v>
      </c>
      <c r="D25" s="1330">
        <f>'2.1-2.2 - DOMESTIC HOT WATER'!M50</f>
        <v>0</v>
      </c>
      <c r="E25" s="1330">
        <f>'2.1-2.2 - DOMESTIC HOT WATER'!N50</f>
        <v>0</v>
      </c>
      <c r="F25" s="1330">
        <f>'2.1-2.2 - DOMESTIC HOT WATER'!O50</f>
        <v>0</v>
      </c>
      <c r="G25" s="1087"/>
      <c r="H25" s="1460" t="str">
        <f t="shared" si="0"/>
        <v>See instructions in cell D8</v>
      </c>
      <c r="I25" s="1089"/>
      <c r="J25" s="1089"/>
      <c r="Q25" s="827"/>
      <c r="R25" s="827"/>
    </row>
    <row r="26" spans="1:18">
      <c r="A26" s="829"/>
      <c r="B26" s="2638" t="s">
        <v>712</v>
      </c>
      <c r="C26" s="2639"/>
      <c r="D26" s="825"/>
      <c r="E26" s="825"/>
      <c r="F26" s="825"/>
      <c r="G26" s="825"/>
      <c r="H26" s="1460"/>
      <c r="I26" s="1089"/>
      <c r="J26" s="1089"/>
      <c r="Q26" s="1089"/>
      <c r="R26" s="1089"/>
    </row>
    <row r="27" spans="1:18" ht="84">
      <c r="A27" s="829"/>
      <c r="B27" s="2631" t="s">
        <v>705</v>
      </c>
      <c r="C27" s="826" t="s">
        <v>2544</v>
      </c>
      <c r="D27" s="830" t="s">
        <v>703</v>
      </c>
      <c r="E27" s="830" t="s">
        <v>703</v>
      </c>
      <c r="F27" s="831" t="s">
        <v>703</v>
      </c>
      <c r="G27" s="831" t="s">
        <v>703</v>
      </c>
      <c r="H27" s="1460"/>
      <c r="I27" s="1089"/>
      <c r="J27" s="1089"/>
      <c r="Q27" s="826"/>
      <c r="R27" s="826"/>
    </row>
    <row r="28" spans="1:18">
      <c r="B28" s="2632"/>
      <c r="C28" s="823" t="s">
        <v>713</v>
      </c>
      <c r="D28" s="1330">
        <f>'3.1 - ENV_BELOW GRADE WALLS'!$G$45</f>
        <v>0</v>
      </c>
      <c r="E28" s="1330">
        <f>'3.1 - ENV_BELOW GRADE WALLS'!$H$45</f>
        <v>0</v>
      </c>
      <c r="F28" s="1330">
        <f>'3.1 - ENV_BELOW GRADE WALLS'!$I$45</f>
        <v>0</v>
      </c>
      <c r="G28" s="1087"/>
      <c r="H28" s="1460" t="str">
        <f t="shared" ref="H28:H36" si="1">IF($D$8="&lt;Select One - Plan Review or Final Inspection&gt;","See instructions in cell D8",IF($D$8="Plan Review",(IF(E28="No",IF(G28="","Provide explanation for Non-Verified Requirements"),IF(E28="NA",IF(G28="","Provide explanation for this NA item"),IF(E28=0,IF(G28="","Provide information in corresponding worksheet. Identify as Y, N or NA."),"")))),IF($D$8="Final Inspection",(IF(F28="No",IF(G28="","Provide explanation for Non-Verified Requirements"),IF(F28="NA",IF(G28="","Provide explanation for this NA item"),IF(F28=0,IF(G28="","Provide information in corresponding worksheet. Identify as Y, N or NA."),"")))))))</f>
        <v>See instructions in cell D8</v>
      </c>
      <c r="I28" s="1461"/>
      <c r="J28" s="1089"/>
      <c r="Q28" s="823"/>
      <c r="R28" s="823"/>
    </row>
    <row r="29" spans="1:18">
      <c r="B29" s="2632"/>
      <c r="C29" s="823" t="s">
        <v>714</v>
      </c>
      <c r="D29" s="1330">
        <f>'3.1 - ENV_ABOVE GRADE WALLS'!$G$61</f>
        <v>0</v>
      </c>
      <c r="E29" s="1330">
        <f>'3.1 - ENV_ABOVE GRADE WALLS'!$H$61</f>
        <v>0</v>
      </c>
      <c r="F29" s="1330">
        <f>'3.1 - ENV_ABOVE GRADE WALLS'!$I$61</f>
        <v>0</v>
      </c>
      <c r="G29" s="1087"/>
      <c r="H29" s="1460" t="str">
        <f t="shared" si="1"/>
        <v>See instructions in cell D8</v>
      </c>
      <c r="I29" s="1461"/>
      <c r="J29" s="1089"/>
      <c r="Q29" s="823"/>
      <c r="R29" s="823"/>
    </row>
    <row r="30" spans="1:18">
      <c r="B30" s="2632"/>
      <c r="C30" s="823" t="s">
        <v>715</v>
      </c>
      <c r="D30" s="1330">
        <f>'3.1 - ENV_ABOVE GRADE WALLS'!$G$63</f>
        <v>0</v>
      </c>
      <c r="E30" s="1330">
        <f>'3.1 - ENV_ABOVE GRADE WALLS'!$H$63</f>
        <v>0</v>
      </c>
      <c r="F30" s="1330">
        <f>'3.1 - ENV_ABOVE GRADE WALLS'!$I$63</f>
        <v>0</v>
      </c>
      <c r="G30" s="1087"/>
      <c r="H30" s="1460" t="str">
        <f t="shared" si="1"/>
        <v>See instructions in cell D8</v>
      </c>
      <c r="I30" s="1461"/>
      <c r="J30" s="1089"/>
      <c r="Q30" s="823"/>
      <c r="R30" s="823"/>
    </row>
    <row r="31" spans="1:18">
      <c r="B31" s="2632"/>
      <c r="C31" s="823" t="s">
        <v>716</v>
      </c>
      <c r="D31" s="1330">
        <f>'3.2 - ENV_ROOF'!$G$46</f>
        <v>0</v>
      </c>
      <c r="E31" s="1330">
        <f>'3.2 - ENV_ROOF'!$H$46</f>
        <v>0</v>
      </c>
      <c r="F31" s="1330">
        <f>'3.2 - ENV_ROOF'!$I$46</f>
        <v>0</v>
      </c>
      <c r="G31" s="1087"/>
      <c r="H31" s="1460" t="str">
        <f t="shared" si="1"/>
        <v>See instructions in cell D8</v>
      </c>
      <c r="I31" s="1461"/>
      <c r="J31" s="1089"/>
      <c r="Q31" s="823"/>
      <c r="R31" s="823"/>
    </row>
    <row r="32" spans="1:18">
      <c r="B32" s="2632"/>
      <c r="C32" s="823" t="s">
        <v>717</v>
      </c>
      <c r="D32" s="1330">
        <f>'3.3 - ENV_FLOORS'!G34</f>
        <v>0</v>
      </c>
      <c r="E32" s="1330">
        <f>'3.3 - ENV_FLOORS'!$H$34</f>
        <v>0</v>
      </c>
      <c r="F32" s="1330">
        <f>'3.3 - ENV_FLOORS'!$I$34</f>
        <v>0</v>
      </c>
      <c r="G32" s="1087"/>
      <c r="H32" s="1460" t="str">
        <f t="shared" si="1"/>
        <v>See instructions in cell D8</v>
      </c>
      <c r="I32" s="1461"/>
      <c r="J32" s="1089"/>
      <c r="Q32" s="823"/>
      <c r="R32" s="823"/>
    </row>
    <row r="33" spans="1:18">
      <c r="B33" s="2632"/>
      <c r="C33" s="823" t="s">
        <v>718</v>
      </c>
      <c r="D33" s="1330">
        <f>'3.3 - ENV_FLOORS'!$G$44</f>
        <v>0</v>
      </c>
      <c r="E33" s="1330">
        <f>'3.3 - ENV_FLOORS'!$H$44</f>
        <v>0</v>
      </c>
      <c r="F33" s="1330">
        <f>'3.3 - ENV_FLOORS'!$I$44</f>
        <v>0</v>
      </c>
      <c r="G33" s="1087"/>
      <c r="H33" s="1460" t="str">
        <f t="shared" si="1"/>
        <v>See instructions in cell D8</v>
      </c>
      <c r="I33" s="1461"/>
      <c r="J33" s="1089"/>
      <c r="Q33" s="823"/>
      <c r="R33" s="823"/>
    </row>
    <row r="34" spans="1:18">
      <c r="B34" s="2632"/>
      <c r="C34" s="823" t="s">
        <v>719</v>
      </c>
      <c r="D34" s="1330">
        <f>'3.3 - ENV_FLOORS'!$G$54</f>
        <v>0</v>
      </c>
      <c r="E34" s="1330">
        <f>'3.3 - ENV_FLOORS'!$H$54</f>
        <v>0</v>
      </c>
      <c r="F34" s="1329">
        <f>'3.3 - ENV_FLOORS'!$I$54</f>
        <v>0</v>
      </c>
      <c r="G34" s="1087"/>
      <c r="H34" s="1460" t="str">
        <f t="shared" si="1"/>
        <v>See instructions in cell D8</v>
      </c>
      <c r="I34" s="1461"/>
      <c r="J34" s="1089"/>
      <c r="Q34" s="823"/>
      <c r="R34" s="823"/>
    </row>
    <row r="35" spans="1:18">
      <c r="B35" s="2632"/>
      <c r="C35" s="823" t="s">
        <v>720</v>
      </c>
      <c r="D35" s="1330">
        <f>'3.3 - ENV_FLOORS'!$G$64</f>
        <v>0</v>
      </c>
      <c r="E35" s="1330">
        <f>'3.3 - ENV_FLOORS'!$H$64</f>
        <v>0</v>
      </c>
      <c r="F35" s="1329">
        <f>'3.3 - ENV_FLOORS'!$I$64</f>
        <v>0</v>
      </c>
      <c r="G35" s="1087"/>
      <c r="H35" s="1460" t="str">
        <f t="shared" si="1"/>
        <v>See instructions in cell D8</v>
      </c>
      <c r="I35" s="1461"/>
      <c r="J35" s="1089"/>
      <c r="Q35" s="823"/>
      <c r="R35" s="823"/>
    </row>
    <row r="36" spans="1:18">
      <c r="B36" s="2632"/>
      <c r="C36" s="823" t="s">
        <v>721</v>
      </c>
      <c r="D36" s="1330">
        <f>'3.5 - ENV_EXTERIOR DOORS'!J37</f>
        <v>0</v>
      </c>
      <c r="E36" s="1330">
        <f>'3.5 - ENV_EXTERIOR DOORS'!K37</f>
        <v>0</v>
      </c>
      <c r="F36" s="1329">
        <f>'3.5 - ENV_EXTERIOR DOORS'!L37</f>
        <v>0</v>
      </c>
      <c r="G36" s="1087"/>
      <c r="H36" s="1460" t="str">
        <f t="shared" si="1"/>
        <v>See instructions in cell D8</v>
      </c>
      <c r="I36" s="1461"/>
      <c r="J36" s="1089"/>
      <c r="Q36" s="823"/>
      <c r="R36" s="823"/>
    </row>
    <row r="37" spans="1:18" ht="84">
      <c r="A37" s="829"/>
      <c r="B37" s="2632"/>
      <c r="C37" s="826" t="s">
        <v>2545</v>
      </c>
      <c r="D37" s="830" t="s">
        <v>703</v>
      </c>
      <c r="E37" s="830" t="s">
        <v>703</v>
      </c>
      <c r="F37" s="831" t="s">
        <v>703</v>
      </c>
      <c r="G37" s="831" t="s">
        <v>703</v>
      </c>
      <c r="H37" s="1460"/>
      <c r="I37" s="1089"/>
      <c r="J37" s="1089"/>
      <c r="Q37" s="826"/>
      <c r="R37" s="826"/>
    </row>
    <row r="38" spans="1:18">
      <c r="B38" s="2632"/>
      <c r="C38" s="823" t="s">
        <v>713</v>
      </c>
      <c r="D38" s="1330">
        <f>'3.1 - ENV_BELOW GRADE WALLS'!$G$50</f>
        <v>0</v>
      </c>
      <c r="E38" s="1330">
        <f>'3.1 - ENV_BELOW GRADE WALLS'!$H$50</f>
        <v>0</v>
      </c>
      <c r="F38" s="1330">
        <f>'3.1 - ENV_BELOW GRADE WALLS'!$I$50</f>
        <v>0</v>
      </c>
      <c r="G38" s="1087"/>
      <c r="H38" s="1460" t="str">
        <f t="shared" ref="H38:H51" si="2">IF($D$8="&lt;Select One - Plan Review or Final Inspection&gt;","See instructions in cell D8",IF($D$8="Plan Review",(IF(E38="No",IF(G38="","Provide explanation for Non-Verified Requirements"),IF(E38="NA",IF(G38="","Provide explanation for this NA item"),IF(E38=0,IF(G38="","Provide information in corresponding worksheet. Identify as Y, N or NA."),"")))),IF($D$8="Final Inspection",(IF(F38="No",IF(G38="","Provide explanation for Non-Verified Requirements"),IF(F38="NA",IF(G38="","Provide explanation for this NA item"),IF(F38=0,IF(G38="","Provide information in corresponding worksheet. Identify as Y, N or NA."),"")))))))</f>
        <v>See instructions in cell D8</v>
      </c>
      <c r="I38" s="1461"/>
      <c r="J38" s="1089"/>
      <c r="Q38" s="823"/>
      <c r="R38" s="823"/>
    </row>
    <row r="39" spans="1:18">
      <c r="B39" s="2632"/>
      <c r="C39" s="823" t="s">
        <v>714</v>
      </c>
      <c r="D39" s="1330">
        <f>'3.1 - ENV_ABOVE GRADE WALLS'!$G$66</f>
        <v>0</v>
      </c>
      <c r="E39" s="1330">
        <f>'3.1 - ENV_ABOVE GRADE WALLS'!$H$66</f>
        <v>0</v>
      </c>
      <c r="F39" s="1330">
        <f>'3.1 - ENV_ABOVE GRADE WALLS'!$I$65</f>
        <v>0</v>
      </c>
      <c r="G39" s="1087"/>
      <c r="H39" s="1460" t="str">
        <f t="shared" si="2"/>
        <v>See instructions in cell D8</v>
      </c>
      <c r="I39" s="1461"/>
      <c r="J39" s="1089"/>
      <c r="Q39" s="823"/>
      <c r="R39" s="823"/>
    </row>
    <row r="40" spans="1:18">
      <c r="B40" s="2632"/>
      <c r="C40" s="823" t="s">
        <v>715</v>
      </c>
      <c r="D40" s="1330">
        <f>'3.1 - ENV_ABOVE GRADE WALLS'!$G$67</f>
        <v>0</v>
      </c>
      <c r="E40" s="1330">
        <f>'3.1 - ENV_ABOVE GRADE WALLS'!$H$67</f>
        <v>0</v>
      </c>
      <c r="F40" s="1330">
        <f>'3.1 - ENV_ABOVE GRADE WALLS'!$I$67</f>
        <v>0</v>
      </c>
      <c r="G40" s="1087"/>
      <c r="H40" s="1460" t="str">
        <f t="shared" si="2"/>
        <v>See instructions in cell D8</v>
      </c>
      <c r="I40" s="1461"/>
      <c r="J40" s="1089"/>
      <c r="Q40" s="823"/>
      <c r="R40" s="823"/>
    </row>
    <row r="41" spans="1:18">
      <c r="B41" s="2632"/>
      <c r="C41" s="823" t="s">
        <v>716</v>
      </c>
      <c r="D41" s="1330">
        <f>'3.2 - ENV_ROOF'!$G$49</f>
        <v>0</v>
      </c>
      <c r="E41" s="1330">
        <f>'3.2 - ENV_ROOF'!$H$49</f>
        <v>0</v>
      </c>
      <c r="F41" s="1330">
        <f>'3.2 - ENV_ROOF'!$I$49</f>
        <v>0</v>
      </c>
      <c r="G41" s="1087"/>
      <c r="H41" s="1460" t="str">
        <f t="shared" si="2"/>
        <v>See instructions in cell D8</v>
      </c>
      <c r="I41" s="1461"/>
      <c r="J41" s="1089"/>
      <c r="Q41" s="823"/>
      <c r="R41" s="823"/>
    </row>
    <row r="42" spans="1:18">
      <c r="B42" s="2632"/>
      <c r="C42" s="823" t="s">
        <v>717</v>
      </c>
      <c r="D42" s="1330">
        <f>'3.3 - ENV_FLOORS'!$G$68</f>
        <v>0</v>
      </c>
      <c r="E42" s="1330">
        <f>'3.3 - ENV_FLOORS'!$H$68</f>
        <v>0</v>
      </c>
      <c r="F42" s="1330">
        <f>'3.3 - ENV_FLOORS'!$I$68</f>
        <v>0</v>
      </c>
      <c r="G42" s="1087"/>
      <c r="H42" s="1460" t="str">
        <f t="shared" si="2"/>
        <v>See instructions in cell D8</v>
      </c>
      <c r="I42" s="1461"/>
      <c r="J42" s="1089"/>
      <c r="Q42" s="823"/>
      <c r="R42" s="823"/>
    </row>
    <row r="43" spans="1:18">
      <c r="B43" s="2632"/>
      <c r="C43" s="823" t="s">
        <v>718</v>
      </c>
      <c r="D43" s="1330">
        <f>'3.3 - ENV_FLOORS'!$G$69</f>
        <v>0</v>
      </c>
      <c r="E43" s="1330">
        <f>'3.3 - ENV_FLOORS'!$H$69</f>
        <v>0</v>
      </c>
      <c r="F43" s="1330">
        <f>'3.3 - ENV_FLOORS'!$I$69</f>
        <v>0</v>
      </c>
      <c r="G43" s="1087"/>
      <c r="H43" s="1460" t="str">
        <f t="shared" si="2"/>
        <v>See instructions in cell D8</v>
      </c>
      <c r="I43" s="1461"/>
      <c r="J43" s="1089"/>
      <c r="Q43" s="823"/>
      <c r="R43" s="823"/>
    </row>
    <row r="44" spans="1:18">
      <c r="B44" s="2632"/>
      <c r="C44" s="823" t="s">
        <v>719</v>
      </c>
      <c r="D44" s="1330">
        <f>'3.3 - ENV_FLOORS'!$G$70</f>
        <v>0</v>
      </c>
      <c r="E44" s="1330">
        <f>'3.3 - ENV_FLOORS'!$H$70</f>
        <v>0</v>
      </c>
      <c r="F44" s="1330">
        <f>'3.3 - ENV_FLOORS'!$I$70</f>
        <v>0</v>
      </c>
      <c r="G44" s="1087"/>
      <c r="H44" s="1460" t="str">
        <f t="shared" si="2"/>
        <v>See instructions in cell D8</v>
      </c>
      <c r="I44" s="1461"/>
      <c r="J44" s="1089"/>
      <c r="Q44" s="823"/>
      <c r="R44" s="823"/>
    </row>
    <row r="45" spans="1:18">
      <c r="B45" s="2632"/>
      <c r="C45" s="823" t="s">
        <v>720</v>
      </c>
      <c r="D45" s="1330">
        <f>'3.3 - ENV_FLOORS'!$G$71</f>
        <v>0</v>
      </c>
      <c r="E45" s="1330">
        <f>'3.3 - ENV_FLOORS'!$H$71</f>
        <v>0</v>
      </c>
      <c r="F45" s="1329">
        <f>'3.3 - ENV_FLOORS'!$I$71</f>
        <v>0</v>
      </c>
      <c r="G45" s="1087"/>
      <c r="H45" s="1460" t="str">
        <f t="shared" si="2"/>
        <v>See instructions in cell D8</v>
      </c>
      <c r="I45" s="1461"/>
      <c r="J45" s="1089"/>
      <c r="Q45" s="823"/>
      <c r="R45" s="823"/>
    </row>
    <row r="46" spans="1:18">
      <c r="B46" s="2632"/>
      <c r="C46" s="823" t="s">
        <v>721</v>
      </c>
      <c r="D46" s="1330">
        <f>'3.5 - ENV_EXTERIOR DOORS'!J37</f>
        <v>0</v>
      </c>
      <c r="E46" s="1330">
        <f>'3.5 - ENV_EXTERIOR DOORS'!K37</f>
        <v>0</v>
      </c>
      <c r="F46" s="1330">
        <f>'3.5 - ENV_EXTERIOR DOORS'!L37</f>
        <v>0</v>
      </c>
      <c r="G46" s="1087"/>
      <c r="H46" s="1460" t="str">
        <f t="shared" si="2"/>
        <v>See instructions in cell D8</v>
      </c>
      <c r="I46" s="1461"/>
      <c r="J46" s="1089"/>
      <c r="Q46" s="823"/>
      <c r="R46" s="823"/>
    </row>
    <row r="47" spans="1:18" ht="84">
      <c r="B47" s="2632"/>
      <c r="C47" s="828" t="s">
        <v>2048</v>
      </c>
      <c r="D47" s="830">
        <f>'3.1 - ENV_ABOVE GRADE WALLS'!G68</f>
        <v>0</v>
      </c>
      <c r="E47" s="1330">
        <f>'3.1 - ENV_ABOVE GRADE WALLS'!H68</f>
        <v>0</v>
      </c>
      <c r="F47" s="1330">
        <f>'3.1 - ENV_ABOVE GRADE WALLS'!I68</f>
        <v>0</v>
      </c>
      <c r="G47" s="1087"/>
      <c r="H47" s="1460" t="str">
        <f t="shared" si="2"/>
        <v>See instructions in cell D8</v>
      </c>
      <c r="I47" s="1089"/>
      <c r="J47" s="1089"/>
      <c r="Q47" s="828"/>
      <c r="R47" s="828"/>
    </row>
    <row r="48" spans="1:18" ht="144">
      <c r="A48" s="829"/>
      <c r="B48" s="2631" t="s">
        <v>722</v>
      </c>
      <c r="C48" s="832" t="str">
        <f>IF('Project Info'!$C$11="","&lt;Confirm if project is participating in NYSERDA MPP on Project Info tab&gt;",IF('Project Info'!$C$11="Yes",'Prescriptive Path Checklist'!R48,'Prescriptive Path Checklist'!Q48))</f>
        <v>Specified windows must be double or triple-pane, with low-emissivity glass or coatings. 
Based on the climate zone, the specified windows meet the Prescriptive requirements.
Window frames must be separated from conductive framing (metal &amp; masonry studs, lintels &amp; sills) with insulation designed to serve as a thermal break.</v>
      </c>
      <c r="D48" s="822">
        <f>'3.4 - ENV_WINDOWS'!M39</f>
        <v>0</v>
      </c>
      <c r="E48" s="822">
        <f>'3.4 - ENV_WINDOWS'!N39</f>
        <v>0</v>
      </c>
      <c r="F48" s="1328">
        <f>'3.4 - ENV_WINDOWS'!O39</f>
        <v>0</v>
      </c>
      <c r="G48" s="1086"/>
      <c r="H48" s="1460" t="str">
        <f t="shared" si="2"/>
        <v>See instructions in cell D8</v>
      </c>
      <c r="I48" s="1089"/>
      <c r="J48" s="1089"/>
      <c r="Q48" s="832" t="s">
        <v>2047</v>
      </c>
      <c r="R48" s="832" t="s">
        <v>723</v>
      </c>
    </row>
    <row r="49" spans="1:18">
      <c r="A49" s="829"/>
      <c r="B49" s="2634"/>
      <c r="C49" s="832" t="s">
        <v>724</v>
      </c>
      <c r="D49" s="822">
        <f>'3.4 - ENV_WINDOWS'!M40</f>
        <v>0</v>
      </c>
      <c r="E49" s="822">
        <f>'3.4 - ENV_WINDOWS'!N40</f>
        <v>0</v>
      </c>
      <c r="F49" s="1328">
        <f>'3.4 - ENV_WINDOWS'!O40</f>
        <v>0</v>
      </c>
      <c r="G49" s="1086"/>
      <c r="H49" s="1460" t="str">
        <f t="shared" si="2"/>
        <v>See instructions in cell D8</v>
      </c>
      <c r="I49" s="1089"/>
      <c r="J49" s="1089"/>
      <c r="Q49" s="832"/>
      <c r="R49" s="832"/>
    </row>
    <row r="50" spans="1:18" ht="36">
      <c r="B50" s="826" t="s">
        <v>725</v>
      </c>
      <c r="C50" s="828" t="s">
        <v>726</v>
      </c>
      <c r="D50" s="1330">
        <f>'3.5 - ENV_EXTERIOR DOORS'!J37</f>
        <v>0</v>
      </c>
      <c r="E50" s="1330">
        <f>'3.5 - ENV_EXTERIOR DOORS'!K37</f>
        <v>0</v>
      </c>
      <c r="F50" s="1329">
        <f>'3.5 - ENV_EXTERIOR DOORS'!L37</f>
        <v>0</v>
      </c>
      <c r="G50" s="1087"/>
      <c r="H50" s="1460" t="str">
        <f t="shared" si="2"/>
        <v>See instructions in cell D8</v>
      </c>
      <c r="I50" s="1089"/>
      <c r="J50" s="1089"/>
      <c r="Q50" s="828"/>
      <c r="R50" s="828"/>
    </row>
    <row r="51" spans="1:18" ht="36">
      <c r="B51" s="826" t="s">
        <v>727</v>
      </c>
      <c r="C51" s="833" t="s">
        <v>2046</v>
      </c>
      <c r="D51" s="822">
        <f>'5.2, 5.4 - COOLING'!N56</f>
        <v>0</v>
      </c>
      <c r="E51" s="822">
        <f>'5.2, 5.4 - COOLING'!O56</f>
        <v>0</v>
      </c>
      <c r="F51" s="1328">
        <f>'5.2, 5.4 - COOLING'!P56</f>
        <v>0</v>
      </c>
      <c r="G51" s="1086"/>
      <c r="H51" s="1460" t="str">
        <f t="shared" si="2"/>
        <v>See instructions in cell D8</v>
      </c>
      <c r="I51" s="1089"/>
      <c r="J51" s="1089"/>
      <c r="Q51" s="833"/>
      <c r="R51" s="833"/>
    </row>
    <row r="52" spans="1:18">
      <c r="B52" s="834" t="s">
        <v>728</v>
      </c>
      <c r="C52" s="835"/>
      <c r="D52" s="825"/>
      <c r="E52" s="825"/>
      <c r="F52" s="825"/>
      <c r="G52" s="825"/>
      <c r="H52" s="1460"/>
      <c r="I52" s="1089"/>
      <c r="J52" s="1089"/>
      <c r="Q52" s="835"/>
      <c r="R52" s="835"/>
    </row>
    <row r="53" spans="1:18" ht="48">
      <c r="B53" s="826" t="s">
        <v>729</v>
      </c>
      <c r="C53" s="828" t="s">
        <v>730</v>
      </c>
      <c r="D53" s="1330">
        <f>'4.1 - GARAGES_CMPTZ &amp; HEATING '!G25</f>
        <v>0</v>
      </c>
      <c r="E53" s="1330">
        <f>'4.1 - GARAGES_CMPTZ &amp; HEATING '!H25</f>
        <v>0</v>
      </c>
      <c r="F53" s="1329">
        <f>'4.1 - GARAGES_CMPTZ &amp; HEATING '!I25</f>
        <v>0</v>
      </c>
      <c r="G53" s="1087"/>
      <c r="H53" s="1460" t="str">
        <f>IF($D$8="&lt;Select One - Plan Review or Final Inspection&gt;","See instructions in cell D8",IF($D$8="Plan Review",(IF(E53="No",IF(G53="","Provide explanation for Non-Verified Requirements"),IF(E53="NA",IF(G53="","Provide explanation for this NA item"),IF(E53=0,IF(G53="","Provide information in corresponding worksheet. Identify as Y, N or NA."),"")))),IF($D$8="Final Inspection",(IF(F53="No",IF(G53="","Provide explanation for Non-Verified Requirements"),IF(F53="NA",IF(G53="","Provide explanation for this NA item"),IF(F53=0,IF(G53="","Provide information in corresponding worksheet. Identify as Y, N or NA."),"")))))))</f>
        <v>See instructions in cell D8</v>
      </c>
      <c r="I53" s="1089"/>
      <c r="J53" s="1089"/>
      <c r="Q53" s="828"/>
      <c r="R53" s="828"/>
    </row>
    <row r="54" spans="1:18" ht="72">
      <c r="A54" s="829"/>
      <c r="B54" s="826" t="s">
        <v>731</v>
      </c>
      <c r="C54" s="828" t="s">
        <v>2045</v>
      </c>
      <c r="D54" s="1330">
        <f>'4.1 - GARAGES_CMPTZ &amp; HEATING '!G23</f>
        <v>0</v>
      </c>
      <c r="E54" s="1330">
        <f>'4.1 - GARAGES_CMPTZ &amp; HEATING '!H23</f>
        <v>0</v>
      </c>
      <c r="F54" s="1329">
        <f>'4.1 - GARAGES_CMPTZ &amp; HEATING '!I23</f>
        <v>0</v>
      </c>
      <c r="G54" s="1087"/>
      <c r="H54" s="1460" t="str">
        <f>IF($D$8="&lt;Select One - Plan Review or Final Inspection&gt;","See instructions in cell D8",IF($D$8="Plan Review",(IF(E54="No",IF(G54="","Provide explanation for Non-Verified Requirements"),IF(E54="NA",IF(G54="","Provide explanation for this NA item"),IF(E54=0,IF(G54="","Provide information in corresponding worksheet. Identify as Y, N or NA."),"")))),IF($D$8="Final Inspection",(IF(F54="No",IF(G54="","Provide explanation for Non-Verified Requirements"),IF(F54="NA",IF(G54="","Provide explanation for this NA item"),IF(F54=0,IF(G54="","Provide information in corresponding worksheet. Identify as Y, N or NA."),"")))))))</f>
        <v>See instructions in cell D8</v>
      </c>
      <c r="I54" s="1089"/>
      <c r="J54" s="1089"/>
      <c r="Q54" s="828"/>
      <c r="R54" s="828"/>
    </row>
    <row r="55" spans="1:18" ht="60">
      <c r="B55" s="826" t="s">
        <v>732</v>
      </c>
      <c r="C55" s="828" t="s">
        <v>2546</v>
      </c>
      <c r="D55" s="1330">
        <f>'4.1 - GARAGES_CMPTZ &amp; HEATING '!G24</f>
        <v>0</v>
      </c>
      <c r="E55" s="1330">
        <f>'4.1 - GARAGES_CMPTZ &amp; HEATING '!H24</f>
        <v>0</v>
      </c>
      <c r="F55" s="1329">
        <f>'4.1 - GARAGES_CMPTZ &amp; HEATING '!I24</f>
        <v>0</v>
      </c>
      <c r="G55" s="1087"/>
      <c r="H55" s="1460" t="str">
        <f>IF($D$8="&lt;Select One - Plan Review or Final Inspection&gt;","See instructions in cell D8",IF($D$8="Plan Review",(IF(E55="No",IF(G55="","Provide explanation for Non-Verified Requirements"),IF(E55="NA",IF(G55="","Provide explanation for this NA item"),IF(E55=0,IF(G55="","Provide information in corresponding worksheet. Identify as Y, N or NA."),"")))),IF($D$8="Final Inspection",(IF(F55="No",IF(G55="","Provide explanation for Non-Verified Requirements"),IF(F55="NA",IF(G55="","Provide explanation for this NA item"),IF(F55=0,IF(G55="","Provide information in corresponding worksheet. Identify as Y, N or NA."),"")))))))</f>
        <v>See instructions in cell D8</v>
      </c>
      <c r="I55" s="1089"/>
      <c r="J55" s="1089"/>
      <c r="Q55" s="828"/>
      <c r="R55" s="828"/>
    </row>
    <row r="56" spans="1:18">
      <c r="B56" s="2638" t="s">
        <v>733</v>
      </c>
      <c r="C56" s="2639"/>
      <c r="D56" s="825"/>
      <c r="E56" s="825"/>
      <c r="F56" s="825"/>
      <c r="G56" s="825"/>
      <c r="H56" s="1460"/>
      <c r="I56" s="1089"/>
      <c r="J56" s="1089"/>
      <c r="Q56" s="1089"/>
      <c r="R56" s="1089"/>
    </row>
    <row r="57" spans="1:18" ht="24">
      <c r="A57" s="829"/>
      <c r="B57" s="2641" t="s">
        <v>705</v>
      </c>
      <c r="C57" s="826" t="s">
        <v>2547</v>
      </c>
      <c r="D57" s="1330" t="s">
        <v>703</v>
      </c>
      <c r="E57" s="1330" t="s">
        <v>703</v>
      </c>
      <c r="F57" s="1329" t="s">
        <v>703</v>
      </c>
      <c r="G57" s="1329" t="s">
        <v>703</v>
      </c>
      <c r="H57" s="1460"/>
      <c r="I57" s="1089"/>
      <c r="J57" s="1089"/>
      <c r="Q57" s="826"/>
      <c r="R57" s="826"/>
    </row>
    <row r="58" spans="1:18">
      <c r="B58" s="2641"/>
      <c r="C58" s="836" t="s">
        <v>734</v>
      </c>
      <c r="D58" s="1330">
        <f>'5.1, 5.3 - HEATING'!M44</f>
        <v>0</v>
      </c>
      <c r="E58" s="1330">
        <f>'5.1, 5.3 - HEATING'!N44</f>
        <v>0</v>
      </c>
      <c r="F58" s="1329">
        <f>'5.1, 5.3 - HEATING'!O44</f>
        <v>0</v>
      </c>
      <c r="G58" s="1087"/>
      <c r="H58" s="1460" t="str">
        <f t="shared" ref="H58:H65" si="3">IF($D$8="&lt;Select One - Plan Review or Final Inspection&gt;","See instructions in cell D8",IF($D$8="Plan Review",(IF(E58="No",IF(G58="","Provide explanation for Non-Verified Requirements"),IF(E58="NA",IF(G58="","Provide explanation for this NA item"),IF(E58=0,IF(G58="","Provide information in corresponding worksheet. Identify as Y, N or NA."),"")))),IF($D$8="Final Inspection",(IF(F58="No",IF(G58="","Provide explanation for Non-Verified Requirements"),IF(F58="NA",IF(G58="","Provide explanation for this NA item"),IF(F58=0,IF(G58="","Provide information in corresponding worksheet. Identify as Y, N or NA."),"")))))))</f>
        <v>See instructions in cell D8</v>
      </c>
      <c r="I58" s="1089"/>
      <c r="J58" s="1089"/>
      <c r="Q58" s="836"/>
      <c r="R58" s="836"/>
    </row>
    <row r="59" spans="1:18">
      <c r="B59" s="2641"/>
      <c r="C59" s="836" t="s">
        <v>735</v>
      </c>
      <c r="D59" s="1330">
        <f>'5.2, 5.4 - COOLING'!N33</f>
        <v>0</v>
      </c>
      <c r="E59" s="1330">
        <f>'5.2, 5.4 - COOLING'!O33</f>
        <v>0</v>
      </c>
      <c r="F59" s="1329">
        <f>'5.2, 5.4 - COOLING'!P33</f>
        <v>0</v>
      </c>
      <c r="G59" s="1087"/>
      <c r="H59" s="1460" t="str">
        <f t="shared" si="3"/>
        <v>See instructions in cell D8</v>
      </c>
      <c r="I59" s="1089"/>
      <c r="J59" s="1089"/>
      <c r="Q59" s="836"/>
      <c r="R59" s="836"/>
    </row>
    <row r="60" spans="1:18" ht="36">
      <c r="A60" s="829"/>
      <c r="B60" s="826" t="s">
        <v>736</v>
      </c>
      <c r="C60" s="832" t="str">
        <f>IF('Project Info'!$C$11="","&lt;Confirm if project is participating in NYSERDA MPP on Project Info tab&gt;",IF('Project Info'!$C$11="Yes",'Prescriptive Path Checklist'!R60,'Prescriptive Path Checklist'!Q60))</f>
        <v xml:space="preserve">Heating equipment shall be ENERGY STAR certified, where applicable. Atmospherically vented gas furnaces and boilers shall not be specified. </v>
      </c>
      <c r="D60" s="1330">
        <f>'5.1, 5.3 - HEATING'!M47</f>
        <v>0</v>
      </c>
      <c r="E60" s="1330">
        <f>'5.1, 5.3 - HEATING'!N47</f>
        <v>0</v>
      </c>
      <c r="F60" s="1329">
        <f>'5.1, 5.3 - HEATING'!O47</f>
        <v>0</v>
      </c>
      <c r="G60" s="1087"/>
      <c r="H60" s="1460" t="str">
        <f t="shared" si="3"/>
        <v>See instructions in cell D8</v>
      </c>
      <c r="I60" s="1089"/>
      <c r="J60" s="1089"/>
      <c r="Q60" s="832" t="s">
        <v>737</v>
      </c>
      <c r="R60" s="828" t="s">
        <v>2044</v>
      </c>
    </row>
    <row r="61" spans="1:18" ht="72">
      <c r="A61" s="829"/>
      <c r="B61" s="826" t="s">
        <v>738</v>
      </c>
      <c r="C61" s="828" t="s">
        <v>2043</v>
      </c>
      <c r="D61" s="1330">
        <f>'5.1, 5.3 - HEATING'!M48</f>
        <v>0</v>
      </c>
      <c r="E61" s="1330">
        <f>'5.1, 5.3 - HEATING'!N48</f>
        <v>0</v>
      </c>
      <c r="F61" s="1330">
        <f>'5.1, 5.3 - HEATING'!O48</f>
        <v>0</v>
      </c>
      <c r="G61" s="1087"/>
      <c r="H61" s="1460" t="str">
        <f t="shared" si="3"/>
        <v>See instructions in cell D8</v>
      </c>
      <c r="I61" s="1089"/>
      <c r="J61" s="1089"/>
      <c r="Q61" s="828"/>
      <c r="R61" s="828"/>
    </row>
    <row r="62" spans="1:18" ht="132">
      <c r="B62" s="2631" t="s">
        <v>739</v>
      </c>
      <c r="C62" s="827" t="s">
        <v>740</v>
      </c>
      <c r="D62" s="1330">
        <f>'5.1, 5.3 - HEATING'!M46</f>
        <v>0</v>
      </c>
      <c r="E62" s="1330">
        <f>'5.1, 5.3 - HEATING'!N46</f>
        <v>0</v>
      </c>
      <c r="F62" s="1329">
        <f>'5.1, 5.3 - HEATING'!O46</f>
        <v>0</v>
      </c>
      <c r="G62" s="1087"/>
      <c r="H62" s="1460" t="str">
        <f t="shared" si="3"/>
        <v>See instructions in cell D8</v>
      </c>
      <c r="I62" s="1089"/>
      <c r="J62" s="1089"/>
      <c r="Q62" s="827"/>
      <c r="R62" s="827"/>
    </row>
    <row r="63" spans="1:18" ht="48">
      <c r="A63" s="829"/>
      <c r="B63" s="2634"/>
      <c r="C63" s="827" t="s">
        <v>2042</v>
      </c>
      <c r="D63" s="1330">
        <f>'5.1, 5.3 - HEATING'!M47</f>
        <v>0</v>
      </c>
      <c r="E63" s="1330">
        <f>'5.1, 5.3 - HEATING'!N47</f>
        <v>0</v>
      </c>
      <c r="F63" s="1329">
        <f>'5.1, 5.3 - HEATING'!O47</f>
        <v>0</v>
      </c>
      <c r="G63" s="1087"/>
      <c r="H63" s="1460" t="str">
        <f t="shared" si="3"/>
        <v>See instructions in cell D8</v>
      </c>
      <c r="I63" s="1089"/>
      <c r="J63" s="1089"/>
      <c r="Q63" s="827"/>
      <c r="R63" s="827"/>
    </row>
    <row r="64" spans="1:18" ht="132">
      <c r="B64" s="2631" t="s">
        <v>741</v>
      </c>
      <c r="C64" s="827" t="s">
        <v>742</v>
      </c>
      <c r="D64" s="1330">
        <f>'5.2, 5.4 - COOLING'!N35</f>
        <v>0</v>
      </c>
      <c r="E64" s="1330">
        <f>'5.2, 5.4 - COOLING'!O35</f>
        <v>0</v>
      </c>
      <c r="F64" s="1329">
        <f>'5.2, 5.4 - COOLING'!P35</f>
        <v>0</v>
      </c>
      <c r="G64" s="1087"/>
      <c r="H64" s="1460" t="str">
        <f t="shared" si="3"/>
        <v>See instructions in cell D8</v>
      </c>
      <c r="I64" s="1089"/>
      <c r="J64" s="1089"/>
      <c r="Q64" s="827"/>
      <c r="R64" s="827"/>
    </row>
    <row r="65" spans="1:18" ht="72">
      <c r="B65" s="2634"/>
      <c r="C65" s="832" t="str">
        <f>IF('Project Info'!$C$11="","&lt;Confirm if project is participating in NYSERDA MPP on Project Info tab&gt;",IF('Project Info'!$C$11="Yes",'Prescriptive Path Checklist'!R65,'Prescriptive Path Checklist'!Q65))</f>
        <v>Based on the climate zone, the specified cooling equipment meets the Prescriptive requirements for efficiency.  Cooling equipment shall be ENERGY STAR certified, where applicable. ENERGY STAR certification must be verified through the ENERGY STAR website.</v>
      </c>
      <c r="D65" s="1330">
        <f>'5.2, 5.4 - COOLING'!N36</f>
        <v>0</v>
      </c>
      <c r="E65" s="1330">
        <f>'5.2, 5.4 - COOLING'!O36</f>
        <v>0</v>
      </c>
      <c r="F65" s="1329">
        <f>'5.2, 5.4 - COOLING'!P36</f>
        <v>0</v>
      </c>
      <c r="G65" s="1087"/>
      <c r="H65" s="1460" t="str">
        <f t="shared" si="3"/>
        <v>See instructions in cell D8</v>
      </c>
      <c r="I65" s="1089"/>
      <c r="J65" s="1089"/>
      <c r="Q65" s="832" t="s">
        <v>2041</v>
      </c>
      <c r="R65" s="828" t="s">
        <v>2040</v>
      </c>
    </row>
    <row r="66" spans="1:18" ht="72">
      <c r="B66" s="2633" t="s">
        <v>743</v>
      </c>
      <c r="C66" s="833" t="s">
        <v>744</v>
      </c>
      <c r="D66" s="1330" t="s">
        <v>703</v>
      </c>
      <c r="E66" s="1330" t="s">
        <v>703</v>
      </c>
      <c r="F66" s="1329" t="s">
        <v>703</v>
      </c>
      <c r="G66" s="1329" t="s">
        <v>703</v>
      </c>
      <c r="H66" s="1460"/>
      <c r="I66" s="1089"/>
      <c r="J66" s="1089"/>
      <c r="Q66" s="833"/>
      <c r="R66" s="833"/>
    </row>
    <row r="67" spans="1:18">
      <c r="B67" s="2633"/>
      <c r="C67" s="837" t="s">
        <v>734</v>
      </c>
      <c r="D67" s="1330">
        <f>'5.1, 5.3 - HEATING'!M57</f>
        <v>0</v>
      </c>
      <c r="E67" s="1330">
        <f>'5.1, 5.3 - HEATING'!N57</f>
        <v>0</v>
      </c>
      <c r="F67" s="1329">
        <f>'5.1, 5.3 - HEATING'!O57</f>
        <v>0</v>
      </c>
      <c r="G67" s="1087"/>
      <c r="H67" s="1460" t="str">
        <f>IF($D$8="&lt;Select One - Plan Review or Final Inspection&gt;","See instructions in cell D8",IF($D$8="Plan Review",(IF(E67="No",IF(G67="","Provide explanation for Non-Verified Requirements"),IF(E67="NA",IF(G67="","Provide explanation for this NA item"),IF(E67=0,IF(G67="","Provide information in corresponding worksheet. Identify as Y, N or NA."),"")))),IF($D$8="Final Inspection",(IF(F67="No",IF(G67="","Provide explanation for Non-Verified Requirements"),IF(F67="NA",IF(G67="","Provide explanation for this NA item"),IF(F67=0,IF(G67="","Provide information in corresponding worksheet. Identify as Y, N or NA."),"")))))))</f>
        <v>See instructions in cell D8</v>
      </c>
      <c r="I67" s="1089"/>
      <c r="J67" s="1089"/>
      <c r="Q67" s="837"/>
      <c r="R67" s="837"/>
    </row>
    <row r="68" spans="1:18">
      <c r="B68" s="2633"/>
      <c r="C68" s="837" t="s">
        <v>735</v>
      </c>
      <c r="D68" s="1330">
        <f>'5.2, 5.4 - COOLING'!N43</f>
        <v>0</v>
      </c>
      <c r="E68" s="1330">
        <f>'5.2, 5.4 - COOLING'!O43</f>
        <v>0</v>
      </c>
      <c r="F68" s="1329">
        <f>'5.2, 5.4 - COOLING'!P43</f>
        <v>0</v>
      </c>
      <c r="G68" s="1087"/>
      <c r="H68" s="1460" t="str">
        <f>IF($D$8="&lt;Select One - Plan Review or Final Inspection&gt;","See instructions in cell D8",IF($D$8="Plan Review",(IF(E68="No",IF(G68="","Provide explanation for Non-Verified Requirements"),IF(E68="NA",IF(G68="","Provide explanation for this NA item"),IF(E68=0,IF(G68="","Provide information in corresponding worksheet. Identify as Y, N or NA."),"")))),IF($D$8="Final Inspection",(IF(F68="No",IF(G68="","Provide explanation for Non-Verified Requirements"),IF(F68="NA",IF(G68="","Provide explanation for this NA item"),IF(F68=0,IF(G68="","Provide information in corresponding worksheet. Identify as Y, N or NA."),"")))))))</f>
        <v>See instructions in cell D8</v>
      </c>
      <c r="I68" s="1089"/>
      <c r="J68" s="1089"/>
      <c r="Q68" s="837"/>
      <c r="R68" s="837"/>
    </row>
    <row r="69" spans="1:18" ht="48">
      <c r="B69" s="2633" t="s">
        <v>745</v>
      </c>
      <c r="C69" s="828" t="s">
        <v>2039</v>
      </c>
      <c r="D69" s="1330" t="s">
        <v>703</v>
      </c>
      <c r="E69" s="1330" t="s">
        <v>703</v>
      </c>
      <c r="F69" s="1329" t="s">
        <v>703</v>
      </c>
      <c r="G69" s="1329" t="s">
        <v>703</v>
      </c>
      <c r="H69" s="1460"/>
      <c r="I69" s="1089"/>
      <c r="J69" s="1089"/>
      <c r="Q69" s="828"/>
      <c r="R69" s="828"/>
    </row>
    <row r="70" spans="1:18">
      <c r="B70" s="2633"/>
      <c r="C70" s="837" t="s">
        <v>734</v>
      </c>
      <c r="D70" s="1330">
        <f>'5.1, 5.3 - HEATING'!M60</f>
        <v>0</v>
      </c>
      <c r="E70" s="1330">
        <f>'5.1, 5.3 - HEATING'!N60</f>
        <v>0</v>
      </c>
      <c r="F70" s="1329">
        <f>'5.1, 5.3 - HEATING'!O60</f>
        <v>0</v>
      </c>
      <c r="G70" s="1087"/>
      <c r="H70" s="1460" t="str">
        <f>IF($D$8="&lt;Select One - Plan Review or Final Inspection&gt;","See instructions in cell D8",IF($D$8="Plan Review",(IF(E70="No",IF(G70="","Provide explanation for Non-Verified Requirements"),IF(E70="NA",IF(G70="","Provide explanation for this NA item"),IF(E70=0,IF(G70="","Provide information in corresponding worksheet. Identify as Y, N or NA."),"")))),IF($D$8="Final Inspection",(IF(F70="No",IF(G70="","Provide explanation for Non-Verified Requirements"),IF(F70="NA",IF(G70="","Provide explanation for this NA item"),IF(F70=0,IF(G70="","Provide information in corresponding worksheet. Identify as Y, N or NA."),"")))))))</f>
        <v>See instructions in cell D8</v>
      </c>
      <c r="I70" s="1089"/>
      <c r="J70" s="1089"/>
      <c r="Q70" s="837"/>
      <c r="R70" s="837"/>
    </row>
    <row r="71" spans="1:18">
      <c r="B71" s="2633"/>
      <c r="C71" s="837" t="s">
        <v>735</v>
      </c>
      <c r="D71" s="1330">
        <f>'5.2, 5.4 - COOLING'!N51</f>
        <v>0</v>
      </c>
      <c r="E71" s="1330">
        <f>'5.2, 5.4 - COOLING'!O51</f>
        <v>0</v>
      </c>
      <c r="F71" s="1329">
        <f>'5.2, 5.4 - COOLING'!P51</f>
        <v>0</v>
      </c>
      <c r="G71" s="1087"/>
      <c r="H71" s="1460" t="str">
        <f>IF($D$8="&lt;Select One - Plan Review or Final Inspection&gt;","See instructions in cell D8",IF($D$8="Plan Review",(IF(E71="No",IF(G71="","Provide explanation for Non-Verified Requirements"),IF(E71="NA",IF(G71="","Provide explanation for this NA item"),IF(E71=0,IF(G71="","Provide information in corresponding worksheet. Identify as Y, N or NA."),"")))),IF($D$8="Final Inspection",(IF(F71="No",IF(G71="","Provide explanation for Non-Verified Requirements"),IF(F71="NA",IF(G71="","Provide explanation for this NA item"),IF(F71=0,IF(G71="","Provide information in corresponding worksheet. Identify as Y, N or NA."),"")))))))</f>
        <v>See instructions in cell D8</v>
      </c>
      <c r="I71" s="1089"/>
      <c r="J71" s="1089"/>
      <c r="Q71" s="837"/>
      <c r="R71" s="837"/>
    </row>
    <row r="72" spans="1:18" ht="60">
      <c r="B72" s="2633" t="s">
        <v>746</v>
      </c>
      <c r="C72" s="828" t="s">
        <v>747</v>
      </c>
      <c r="D72" s="1330" t="s">
        <v>703</v>
      </c>
      <c r="E72" s="1330" t="s">
        <v>703</v>
      </c>
      <c r="F72" s="1329" t="s">
        <v>703</v>
      </c>
      <c r="G72" s="1329" t="s">
        <v>703</v>
      </c>
      <c r="H72" s="1460"/>
      <c r="I72" s="1089"/>
      <c r="J72" s="1089"/>
      <c r="Q72" s="828"/>
      <c r="R72" s="828"/>
    </row>
    <row r="73" spans="1:18">
      <c r="B73" s="2633"/>
      <c r="C73" s="837" t="s">
        <v>734</v>
      </c>
      <c r="D73" s="1330">
        <f>'5.1, 5.3 - HEATING'!M62</f>
        <v>0</v>
      </c>
      <c r="E73" s="1330">
        <f>'5.1, 5.3 - HEATING'!N62</f>
        <v>0</v>
      </c>
      <c r="F73" s="1329">
        <f>'5.1, 5.3 - HEATING'!O62</f>
        <v>0</v>
      </c>
      <c r="G73" s="1087"/>
      <c r="H73" s="1460" t="str">
        <f>IF($D$8="&lt;Select One - Plan Review or Final Inspection&gt;","See instructions in cell D8",IF($D$8="Plan Review",(IF(E73="No",IF(G73="","Provide explanation for Non-Verified Requirements"),IF(E73="NA",IF(G73="","Provide explanation for this NA item"),IF(E73=0,IF(G73="","Provide information in corresponding worksheet. Identify as Y, N or NA."),"")))),IF($D$8="Final Inspection",(IF(F73="No",IF(G73="","Provide explanation for Non-Verified Requirements"),IF(F73="NA",IF(G73="","Provide explanation for this NA item"),IF(F73=0,IF(G73="","Provide information in corresponding worksheet. Identify as Y, N or NA."),"")))))))</f>
        <v>See instructions in cell D8</v>
      </c>
      <c r="I73" s="1461"/>
      <c r="J73" s="1089"/>
      <c r="Q73" s="837"/>
      <c r="R73" s="837"/>
    </row>
    <row r="74" spans="1:18">
      <c r="B74" s="2633"/>
      <c r="C74" s="837" t="s">
        <v>735</v>
      </c>
      <c r="D74" s="1330">
        <f>'5.2, 5.4 - COOLING'!N50</f>
        <v>0</v>
      </c>
      <c r="E74" s="1330">
        <f>'5.2, 5.4 - COOLING'!O50</f>
        <v>0</v>
      </c>
      <c r="F74" s="1329">
        <f>'5.2, 5.4 - COOLING'!P50</f>
        <v>0</v>
      </c>
      <c r="G74" s="1087"/>
      <c r="H74" s="1460" t="str">
        <f>IF($D$8="&lt;Select One - Plan Review or Final Inspection&gt;","See instructions in cell D8",IF($D$8="Plan Review",(IF(E74="No",IF(G74="","Provide explanation for Non-Verified Requirements"),IF(E74="NA",IF(G74="","Provide explanation for this NA item"),IF(E74=0,IF(G74="","Provide information in corresponding worksheet. Identify as Y, N or NA."),"")))),IF($D$8="Final Inspection",(IF(F74="No",IF(G74="","Provide explanation for Non-Verified Requirements"),IF(F74="NA",IF(G74="","Provide explanation for this NA item"),IF(F74=0,IF(G74="","Provide information in corresponding worksheet. Identify as Y, N or NA."),"")))))))</f>
        <v>See instructions in cell D8</v>
      </c>
      <c r="I74" s="1089"/>
      <c r="J74" s="1089"/>
      <c r="Q74" s="837"/>
      <c r="R74" s="837"/>
    </row>
    <row r="75" spans="1:18" ht="85.5">
      <c r="A75" s="829"/>
      <c r="B75" s="2633"/>
      <c r="C75" s="828" t="s">
        <v>2038</v>
      </c>
      <c r="D75" s="1330" t="s">
        <v>703</v>
      </c>
      <c r="E75" s="1330" t="s">
        <v>703</v>
      </c>
      <c r="F75" s="1329" t="s">
        <v>703</v>
      </c>
      <c r="G75" s="1329" t="s">
        <v>703</v>
      </c>
      <c r="H75" s="1460"/>
      <c r="I75" s="1089"/>
      <c r="J75" s="1089"/>
      <c r="Q75" s="828"/>
      <c r="R75" s="828"/>
    </row>
    <row r="76" spans="1:18">
      <c r="B76" s="2633"/>
      <c r="C76" s="836" t="s">
        <v>734</v>
      </c>
      <c r="D76" s="1330">
        <f>'5.1, 5.3 - HEATING'!M68</f>
        <v>0</v>
      </c>
      <c r="E76" s="1330">
        <f>'5.1, 5.3 - HEATING'!N68</f>
        <v>0</v>
      </c>
      <c r="F76" s="1329">
        <f>'5.1, 5.3 - HEATING'!O68</f>
        <v>0</v>
      </c>
      <c r="G76" s="1087"/>
      <c r="H76" s="1460" t="str">
        <f>IF($D$8="&lt;Select One - Plan Review or Final Inspection&gt;","See instructions in cell D8",IF($D$8="Plan Review",(IF(E76="No",IF(G76="","Provide explanation for Non-Verified Requirements"),IF(E76="NA",IF(G76="","Provide explanation for this NA item"),IF(E76=0,IF(G76="","Provide information in corresponding worksheet. Identify as Y, N or NA."),"")))),IF($D$8="Final Inspection",(IF(F76="No",IF(G76="","Provide explanation for Non-Verified Requirements"),IF(F76="NA",IF(G76="","Provide explanation for this NA item"),IF(F76=0,IF(G76="","Provide information in corresponding worksheet. Identify as Y, N or NA."),"")))))))</f>
        <v>See instructions in cell D8</v>
      </c>
      <c r="I76" s="1461"/>
      <c r="J76" s="1089"/>
      <c r="Q76" s="836"/>
      <c r="R76" s="836"/>
    </row>
    <row r="77" spans="1:18">
      <c r="B77" s="2633"/>
      <c r="C77" s="836" t="s">
        <v>735</v>
      </c>
      <c r="D77" s="1330">
        <f>'5.2, 5.4 - COOLING'!N52</f>
        <v>0</v>
      </c>
      <c r="E77" s="1330">
        <f>'5.2, 5.4 - COOLING'!O52</f>
        <v>0</v>
      </c>
      <c r="F77" s="1329">
        <f>'5.2, 5.4 - COOLING'!P52</f>
        <v>0</v>
      </c>
      <c r="G77" s="1087"/>
      <c r="H77" s="1460" t="str">
        <f>IF($D$8="&lt;Select One - Plan Review or Final Inspection&gt;","See instructions in cell D8",IF($D$8="Plan Review",(IF(E77="No",IF(G77="","Provide explanation for Non-Verified Requirements"),IF(E77="NA",IF(G77="","Provide explanation for this NA item"),IF(E77=0,IF(G77="","Provide information in corresponding worksheet. Identify as Y, N or NA."),"")))),IF($D$8="Final Inspection",(IF(F77="No",IF(G77="","Provide explanation for Non-Verified Requirements"),IF(F77="NA",IF(G77="","Provide explanation for this NA item"),IF(F77=0,IF(G77="","Provide information in corresponding worksheet. Identify as Y, N or NA."),"")))))))</f>
        <v>See instructions in cell D8</v>
      </c>
      <c r="I77" s="1089"/>
      <c r="J77" s="1089"/>
      <c r="Q77" s="836"/>
      <c r="R77" s="836"/>
    </row>
    <row r="78" spans="1:18" ht="48">
      <c r="B78" s="2633"/>
      <c r="C78" s="832" t="str">
        <f>IF('Project Info'!$C$11="","&lt;Confirm if project is participating in NYSERDA MPP on Project Info tab&gt;",IF('Project Info'!$C$11="Yes",'Prescriptive Path Checklist'!R78,'Prescriptive Path Checklist'!Q78))</f>
        <v>Heating and cooling supply and return ductwork shall be insulated to a minimum R-8 in unconditioned space and R-4 in conditioned space.</v>
      </c>
      <c r="D78" s="1330" t="s">
        <v>703</v>
      </c>
      <c r="E78" s="1330" t="s">
        <v>703</v>
      </c>
      <c r="F78" s="1329" t="s">
        <v>703</v>
      </c>
      <c r="G78" s="1329" t="s">
        <v>703</v>
      </c>
      <c r="H78" s="1460"/>
      <c r="I78" s="1089"/>
      <c r="J78" s="1089"/>
      <c r="Q78" s="832" t="s">
        <v>748</v>
      </c>
      <c r="R78" s="828" t="s">
        <v>749</v>
      </c>
    </row>
    <row r="79" spans="1:18">
      <c r="B79" s="2633"/>
      <c r="C79" s="836" t="s">
        <v>734</v>
      </c>
      <c r="D79" s="1330">
        <f>'5.1, 5.3 - HEATING'!M61</f>
        <v>0</v>
      </c>
      <c r="E79" s="1330">
        <f>'5.1, 5.3 - HEATING'!N61</f>
        <v>0</v>
      </c>
      <c r="F79" s="1329">
        <f>'5.1, 5.3 - HEATING'!O61</f>
        <v>0</v>
      </c>
      <c r="G79" s="1087"/>
      <c r="H79" s="1460" t="str">
        <f>IF($D$8="&lt;Select One - Plan Review or Final Inspection&gt;","See instructions in cell D8",IF($D$8="Plan Review",(IF(E79="No",IF(G79="","Provide explanation for Non-Verified Requirements"),IF(E79="NA",IF(G79="","Provide explanation for this NA item"),IF(E79=0,IF(G79="","Provide information in corresponding worksheet. Identify as Y, N or NA."),"")))),IF($D$8="Final Inspection",(IF(F79="No",IF(G79="","Provide explanation for Non-Verified Requirements"),IF(F79="NA",IF(G79="","Provide explanation for this NA item"),IF(F79=0,IF(G79="","Provide information in corresponding worksheet. Identify as Y, N or NA."),"")))))))</f>
        <v>See instructions in cell D8</v>
      </c>
      <c r="I79" s="1089"/>
      <c r="J79" s="1089"/>
      <c r="Q79" s="836"/>
      <c r="R79" s="836"/>
    </row>
    <row r="80" spans="1:18">
      <c r="B80" s="2633"/>
      <c r="C80" s="836" t="s">
        <v>735</v>
      </c>
      <c r="D80" s="1330">
        <f>'5.2, 5.4 - COOLING'!N48</f>
        <v>0</v>
      </c>
      <c r="E80" s="1330">
        <f>'5.2, 5.4 - COOLING'!O48</f>
        <v>0</v>
      </c>
      <c r="F80" s="1329">
        <f>'5.2, 5.4 - COOLING'!P48</f>
        <v>0</v>
      </c>
      <c r="G80" s="1087"/>
      <c r="H80" s="1460" t="str">
        <f>IF($D$8="&lt;Select One - Plan Review or Final Inspection&gt;","See instructions in cell D8",IF($D$8="Plan Review",(IF(E80="No",IF(G80="","Provide explanation for Non-Verified Requirements"),IF(E80="NA",IF(G80="","Provide explanation for this NA item"),IF(E80=0,IF(G80="","Provide information in corresponding worksheet. Identify as Y, N or NA."),"")))),IF($D$8="Final Inspection",(IF(F80="No",IF(G80="","Provide explanation for Non-Verified Requirements"),IF(F80="NA",IF(G80="","Provide explanation for this NA item"),IF(F80=0,IF(G80="","Provide information in corresponding worksheet. Identify as Y, N or NA."),"")))))))</f>
        <v>See instructions in cell D8</v>
      </c>
      <c r="I80" s="1089"/>
      <c r="J80" s="1089"/>
      <c r="Q80" s="836"/>
      <c r="R80" s="836"/>
    </row>
    <row r="81" spans="2:18" ht="144">
      <c r="B81" s="1462" t="s">
        <v>2037</v>
      </c>
      <c r="C81" s="833" t="s">
        <v>2548</v>
      </c>
      <c r="D81" s="822">
        <f>'5.2, 5.4 - COOLING'!N42</f>
        <v>0</v>
      </c>
      <c r="E81" s="822">
        <f>'5.2, 5.4 - COOLING'!O42</f>
        <v>0</v>
      </c>
      <c r="F81" s="1328">
        <f>'5.2, 5.4 - COOLING'!P42</f>
        <v>0</v>
      </c>
      <c r="G81" s="1086"/>
      <c r="H81" s="1460" t="str">
        <f>IF($D$8="&lt;Select One - Plan Review or Final Inspection&gt;","See instructions in cell D8",IF($D$8="Plan Review",(IF(E81="No",IF(G81="","Provide explanation for Non-Verified Requirements"),IF(E81="NA",IF(G81="","Provide explanation for this NA item"),IF(E81=0,IF(G81="","Provide information in corresponding worksheet. Identify as Y, N or NA."),"")))),IF($D$8="Final Inspection",(IF(F81="No",IF(G81="","Provide explanation for Non-Verified Requirements"),IF(F81="NA",IF(G81="","Provide explanation for this NA item"),IF(F81=0,IF(G81="","Provide information in corresponding worksheet. Identify as Y, N or NA."),"")))))))</f>
        <v>See instructions in cell D8</v>
      </c>
      <c r="I81" s="1089"/>
      <c r="J81" s="1089"/>
      <c r="Q81" s="833"/>
      <c r="R81" s="833"/>
    </row>
    <row r="82" spans="2:18" ht="144">
      <c r="B82" s="1462" t="s">
        <v>2036</v>
      </c>
      <c r="C82" s="833" t="s">
        <v>2550</v>
      </c>
      <c r="D82" s="822">
        <f>'5.1, 5.3 - HEATING'!M53</f>
        <v>0</v>
      </c>
      <c r="E82" s="822">
        <f>'5.1, 5.3 - HEATING'!N53</f>
        <v>0</v>
      </c>
      <c r="F82" s="1328">
        <f>'5.1, 5.3 - HEATING'!O53</f>
        <v>0</v>
      </c>
      <c r="G82" s="1086"/>
      <c r="H82" s="1460" t="str">
        <f>IF($D$8="&lt;Select One - Plan Review or Final Inspection&gt;","See instructions in cell D8",IF($D$8="Plan Review",(IF(E82="No",IF(G82="","Provide explanation for Non-Verified Requirements"),IF(E82="NA",IF(G82="","Provide explanation for this NA item"),IF(E82=0,IF(G82="","Provide information in corresponding worksheet. Identify as Y, N or NA."),"")))),IF($D$8="Final Inspection",(IF(F82="No",IF(G82="","Provide explanation for Non-Verified Requirements"),IF(F82="NA",IF(G82="","Provide explanation for this NA item"),IF(F82=0,IF(G82="","Provide information in corresponding worksheet. Identify as Y, N or NA."),"")))))))</f>
        <v>See instructions in cell D8</v>
      </c>
      <c r="I82" s="1089"/>
      <c r="J82" s="1089"/>
      <c r="Q82" s="833"/>
      <c r="R82" s="833"/>
    </row>
    <row r="83" spans="2:18" ht="60">
      <c r="B83" s="2633" t="s">
        <v>2035</v>
      </c>
      <c r="C83" s="833" t="s">
        <v>750</v>
      </c>
      <c r="D83" s="822" t="s">
        <v>703</v>
      </c>
      <c r="E83" s="822" t="s">
        <v>703</v>
      </c>
      <c r="F83" s="1328" t="s">
        <v>703</v>
      </c>
      <c r="G83" s="1328" t="s">
        <v>703</v>
      </c>
      <c r="H83" s="1460"/>
      <c r="I83" s="1089"/>
      <c r="J83" s="1089"/>
      <c r="Q83" s="833"/>
      <c r="R83" s="833"/>
    </row>
    <row r="84" spans="2:18">
      <c r="B84" s="2633"/>
      <c r="C84" s="836" t="s">
        <v>734</v>
      </c>
      <c r="D84" s="1330">
        <f>'5.1, 5.3 - HEATING'!M59</f>
        <v>0</v>
      </c>
      <c r="E84" s="1330">
        <f>'5.1, 5.3 - HEATING'!N59</f>
        <v>0</v>
      </c>
      <c r="F84" s="1329">
        <f>'5.1, 5.3 - HEATING'!O59</f>
        <v>0</v>
      </c>
      <c r="G84" s="1087"/>
      <c r="H84" s="1460" t="str">
        <f>IF($D$8="&lt;Select One - Plan Review or Final Inspection&gt;","See instructions in cell D8",IF($D$8="Plan Review",(IF(E84="No",IF(G84="","Provide explanation for Non-Verified Requirements"),IF(E84="NA",IF(G84="","Provide explanation for this NA item"),IF(E84=0,IF(G84="","Provide information in corresponding worksheet. Identify as Y, N or NA."),"")))),IF($D$8="Final Inspection",(IF(F84="No",IF(G84="","Provide explanation for Non-Verified Requirements"),IF(F84="NA",IF(G84="","Provide explanation for this NA item"),IF(F84=0,IF(G84="","Provide information in corresponding worksheet. Identify as Y, N or NA."),"")))))))</f>
        <v>See instructions in cell D8</v>
      </c>
      <c r="I84" s="1461"/>
      <c r="J84" s="1089"/>
      <c r="Q84" s="836"/>
      <c r="R84" s="836"/>
    </row>
    <row r="85" spans="2:18">
      <c r="B85" s="2633"/>
      <c r="C85" s="836" t="s">
        <v>735</v>
      </c>
      <c r="D85" s="1330">
        <f>'5.2, 5.4 - COOLING'!N49</f>
        <v>0</v>
      </c>
      <c r="E85" s="1330">
        <f>'5.2, 5.4 - COOLING'!O49</f>
        <v>0</v>
      </c>
      <c r="F85" s="1329">
        <f>'5.2, 5.4 - COOLING'!P49</f>
        <v>0</v>
      </c>
      <c r="G85" s="1087"/>
      <c r="H85" s="1460" t="str">
        <f>IF($D$8="&lt;Select One - Plan Review or Final Inspection&gt;","See instructions in cell D8",IF($D$8="Plan Review",(IF(E85="No",IF(G85="","Provide explanation for Non-Verified Requirements"),IF(E85="NA",IF(G85="","Provide explanation for this NA item"),IF(E85=0,IF(G85="","Provide information in corresponding worksheet. Identify as Y, N or NA."),"")))),IF($D$8="Final Inspection",(IF(F85="No",IF(G85="","Provide explanation for Non-Verified Requirements"),IF(F85="NA",IF(G85="","Provide explanation for this NA item"),IF(F85=0,IF(G85="","Provide information in corresponding worksheet. Identify as Y, N or NA."),"")))))))</f>
        <v>See instructions in cell D8</v>
      </c>
      <c r="I85" s="1089"/>
      <c r="J85" s="1089"/>
      <c r="Q85" s="836"/>
      <c r="R85" s="836"/>
    </row>
    <row r="86" spans="2:18" ht="35.25" customHeight="1">
      <c r="B86" s="2633"/>
      <c r="C86" s="836" t="s">
        <v>751</v>
      </c>
      <c r="D86" s="1330">
        <f>'8.2 - VENT_SCHEDULE&amp;TAB REPORT'!O64</f>
        <v>0</v>
      </c>
      <c r="E86" s="1330">
        <f>'8.2 - VENT_SCHEDULE&amp;TAB REPORT'!P64</f>
        <v>0</v>
      </c>
      <c r="F86" s="1329">
        <f>'8.2 - VENT_SCHEDULE&amp;TAB REPORT'!Q64</f>
        <v>0</v>
      </c>
      <c r="G86" s="1087"/>
      <c r="H86" s="1460" t="str">
        <f>IF($D$8="&lt;Select One - Plan Review or Final Inspection&gt;","See instructions in cell D8",IF($D$8="Plan Review",(IF(E86="No",IF(G86="","Provide explanation for Non-Verified Requirements"),IF(E86="NA",IF(G86="","Provide explanation for this NA item"),IF(E86=0,IF(G86="","Provide information in corresponding worksheet. Identify as Y, N or NA."),"")))),IF($D$8="Final Inspection",(IF(F86="No",IF(G86="","Provide explanation for Non-Verified Requirements"),IF(F86="NA",IF(G86="","Provide explanation for this NA item"),IF(F86=0,IF(G86="","Provide information in corresponding worksheet. Identify as Y, N or NA."),"")))))))</f>
        <v>See instructions in cell D8</v>
      </c>
      <c r="I86" s="1089"/>
      <c r="J86" s="1089"/>
      <c r="Q86" s="836"/>
      <c r="R86" s="836"/>
    </row>
    <row r="87" spans="2:18" ht="36">
      <c r="B87" s="2633" t="s">
        <v>2034</v>
      </c>
      <c r="C87" s="833" t="s">
        <v>671</v>
      </c>
      <c r="D87" s="822" t="s">
        <v>703</v>
      </c>
      <c r="E87" s="822" t="s">
        <v>703</v>
      </c>
      <c r="F87" s="1328" t="s">
        <v>703</v>
      </c>
      <c r="G87" s="1328" t="s">
        <v>703</v>
      </c>
      <c r="H87" s="1460"/>
      <c r="I87" s="1089"/>
      <c r="J87" s="1089"/>
      <c r="Q87" s="833"/>
      <c r="R87" s="833"/>
    </row>
    <row r="88" spans="2:18">
      <c r="B88" s="2633"/>
      <c r="C88" s="836" t="s">
        <v>734</v>
      </c>
      <c r="D88" s="1330">
        <f>'5.1, 5.3 - HEATING'!M71</f>
        <v>0</v>
      </c>
      <c r="E88" s="1330">
        <f>'5.1, 5.3 - HEATING'!N71</f>
        <v>0</v>
      </c>
      <c r="F88" s="1329">
        <f>'5.1, 5.3 - HEATING'!O71</f>
        <v>0</v>
      </c>
      <c r="G88" s="1087"/>
      <c r="H88" s="1460" t="str">
        <f>IF($D$8="&lt;Select One - Plan Review or Final Inspection&gt;","See instructions in cell D8",IF($D$8="Plan Review",(IF(E88="No",IF(G88="","Provide explanation for Non-Verified Requirements"),IF(E88="NA",IF(G88="","Provide explanation for this NA item"),IF(E88=0,IF(G88="","Provide information in corresponding worksheet. Identify as Y, N or NA."),"")))),IF($D$8="Final Inspection",(IF(F88="No",IF(G88="","Provide explanation for Non-Verified Requirements"),IF(F88="NA",IF(G88="","Provide explanation for this NA item"),IF(F88=0,IF(G88="","Provide information in corresponding worksheet. Identify as Y, N or NA."),"")))))))</f>
        <v>See instructions in cell D8</v>
      </c>
      <c r="I88" s="1089"/>
      <c r="J88" s="1089"/>
      <c r="Q88" s="836"/>
      <c r="R88" s="836"/>
    </row>
    <row r="89" spans="2:18">
      <c r="B89" s="2633"/>
      <c r="C89" s="836" t="s">
        <v>735</v>
      </c>
      <c r="D89" s="1330">
        <f>'5.2, 5.4 - COOLING'!N57</f>
        <v>0</v>
      </c>
      <c r="E89" s="1330">
        <f>'5.2, 5.4 - COOLING'!O57</f>
        <v>0</v>
      </c>
      <c r="F89" s="1329">
        <f>'5.2, 5.4 - COOLING'!P57</f>
        <v>0</v>
      </c>
      <c r="G89" s="1087"/>
      <c r="H89" s="1460" t="str">
        <f>IF($D$8="&lt;Select One - Plan Review or Final Inspection&gt;","See instructions in cell D8",IF($D$8="Plan Review",(IF(E89="No",IF(G89="","Provide explanation for Non-Verified Requirements"),IF(E89="NA",IF(G89="","Provide explanation for this NA item"),IF(E89=0,IF(G89="","Provide information in corresponding worksheet. Identify as Y, N or NA."),"")))),IF($D$8="Final Inspection",(IF(F89="No",IF(G89="","Provide explanation for Non-Verified Requirements"),IF(F89="NA",IF(G89="","Provide explanation for this NA item"),IF(F89=0,IF(G89="","Provide information in corresponding worksheet. Identify as Y, N or NA."),"")))))))</f>
        <v>See instructions in cell D8</v>
      </c>
      <c r="I89" s="1089"/>
      <c r="J89" s="1089"/>
      <c r="Q89" s="836"/>
      <c r="R89" s="836"/>
    </row>
    <row r="90" spans="2:18" ht="96">
      <c r="B90" s="2631" t="s">
        <v>2033</v>
      </c>
      <c r="C90" s="828" t="s">
        <v>2032</v>
      </c>
      <c r="D90" s="1330" t="s">
        <v>703</v>
      </c>
      <c r="E90" s="1330" t="s">
        <v>703</v>
      </c>
      <c r="F90" s="1329" t="s">
        <v>703</v>
      </c>
      <c r="G90" s="1329" t="s">
        <v>703</v>
      </c>
      <c r="H90" s="1460"/>
      <c r="I90" s="1089"/>
      <c r="J90" s="1089"/>
      <c r="Q90" s="828"/>
      <c r="R90" s="828"/>
    </row>
    <row r="91" spans="2:18">
      <c r="B91" s="2632"/>
      <c r="C91" s="836" t="s">
        <v>734</v>
      </c>
      <c r="D91" s="1330">
        <f>'5.1, 5.3 - HEATING'!M54</f>
        <v>0</v>
      </c>
      <c r="E91" s="1330">
        <f>'5.1, 5.3 - HEATING'!N54</f>
        <v>0</v>
      </c>
      <c r="F91" s="1329">
        <f>'5.1, 5.3 - HEATING'!O54</f>
        <v>0</v>
      </c>
      <c r="G91" s="1087"/>
      <c r="H91" s="1460" t="str">
        <f>IF($D$8="&lt;Select One - Plan Review or Final Inspection&gt;","See instructions in cell D8",IF($D$8="Plan Review",(IF(E91="No",IF(G91="","Provide explanation for Non-Verified Requirements"),IF(E91="NA",IF(G91="","Provide explanation for this NA item"),IF(E91=0,IF(G91="","Provide information in corresponding worksheet. Identify as Y, N or NA."),"")))),IF($D$8="Final Inspection",(IF(F91="No",IF(G91="","Provide explanation for Non-Verified Requirements"),IF(F91="NA",IF(G91="","Provide explanation for this NA item"),IF(F91=0,IF(G91="","Provide information in corresponding worksheet. Identify as Y, N or NA."),"")))))))</f>
        <v>See instructions in cell D8</v>
      </c>
      <c r="I91" s="1461"/>
      <c r="J91" s="1089"/>
      <c r="Q91" s="836"/>
      <c r="R91" s="836"/>
    </row>
    <row r="92" spans="2:18">
      <c r="B92" s="2632"/>
      <c r="C92" s="836" t="s">
        <v>735</v>
      </c>
      <c r="D92" s="1330">
        <f>'5.2, 5.4 - COOLING'!N39</f>
        <v>0</v>
      </c>
      <c r="E92" s="1330">
        <f>'5.2, 5.4 - COOLING'!O39</f>
        <v>0</v>
      </c>
      <c r="F92" s="1329">
        <f>'5.2, 5.4 - COOLING'!P39</f>
        <v>0</v>
      </c>
      <c r="G92" s="1087"/>
      <c r="H92" s="1460" t="str">
        <f>IF($D$8="&lt;Select One - Plan Review or Final Inspection&gt;","See instructions in cell D8",IF($D$8="Plan Review",(IF(E92="No",IF(G92="","Provide explanation for Non-Verified Requirements"),IF(E92="NA",IF(G92="","Provide explanation for this NA item"),IF(E92=0,IF(G92="","Provide information in corresponding worksheet. Identify as Y, N or NA."),"")))),IF($D$8="Final Inspection",(IF(F92="No",IF(G92="","Provide explanation for Non-Verified Requirements"),IF(F92="NA",IF(G92="","Provide explanation for this NA item"),IF(F92=0,IF(G92="","Provide information in corresponding worksheet. Identify as Y, N or NA."),"")))))))</f>
        <v>See instructions in cell D8</v>
      </c>
      <c r="I92" s="1089"/>
      <c r="J92" s="1089"/>
      <c r="Q92" s="836"/>
      <c r="R92" s="836"/>
    </row>
    <row r="93" spans="2:18" ht="48">
      <c r="B93" s="2632"/>
      <c r="C93" s="828" t="s">
        <v>752</v>
      </c>
      <c r="D93" s="1330" t="s">
        <v>703</v>
      </c>
      <c r="E93" s="1330" t="s">
        <v>703</v>
      </c>
      <c r="F93" s="1329" t="s">
        <v>703</v>
      </c>
      <c r="G93" s="1329" t="s">
        <v>703</v>
      </c>
      <c r="H93" s="1460"/>
      <c r="I93" s="1089"/>
      <c r="J93" s="1089"/>
      <c r="Q93" s="828"/>
      <c r="R93" s="828"/>
    </row>
    <row r="94" spans="2:18">
      <c r="B94" s="2632"/>
      <c r="C94" s="836" t="s">
        <v>734</v>
      </c>
      <c r="D94" s="1330">
        <f>'5.1, 5.3 - HEATING'!M55</f>
        <v>0</v>
      </c>
      <c r="E94" s="1330">
        <f>'5.1, 5.3 - HEATING'!N55</f>
        <v>0</v>
      </c>
      <c r="F94" s="1329">
        <f>'5.1, 5.3 - HEATING'!O55</f>
        <v>0</v>
      </c>
      <c r="G94" s="1087"/>
      <c r="H94" s="1460" t="str">
        <f>IF($D$8="&lt;Select One - Plan Review or Final Inspection&gt;","See instructions in cell D8",IF($D$8="Plan Review",(IF(E94="No",IF(G94="","Provide explanation for Non-Verified Requirements"),IF(E94="NA",IF(G94="","Provide explanation for this NA item"),IF(E94=0,IF(G94="","Provide information in corresponding worksheet. Identify as Y, N or NA."),"")))),IF($D$8="Final Inspection",(IF(F94="No",IF(G94="","Provide explanation for Non-Verified Requirements"),IF(F94="NA",IF(G94="","Provide explanation for this NA item"),IF(F94=0,IF(G94="","Provide information in corresponding worksheet. Identify as Y, N or NA."),"")))))))</f>
        <v>See instructions in cell D8</v>
      </c>
      <c r="I94" s="1461"/>
      <c r="J94" s="1089"/>
      <c r="Q94" s="836"/>
      <c r="R94" s="836"/>
    </row>
    <row r="95" spans="2:18">
      <c r="B95" s="2634"/>
      <c r="C95" s="836" t="s">
        <v>735</v>
      </c>
      <c r="D95" s="1330">
        <f>'5.2, 5.4 - COOLING'!N40</f>
        <v>0</v>
      </c>
      <c r="E95" s="1330">
        <f>'5.2, 5.4 - COOLING'!O40</f>
        <v>0</v>
      </c>
      <c r="F95" s="1329">
        <f>'5.2, 5.4 - COOLING'!P40</f>
        <v>0</v>
      </c>
      <c r="G95" s="1087"/>
      <c r="H95" s="1460" t="str">
        <f>IF($D$8="&lt;Select One - Plan Review or Final Inspection&gt;","See instructions in cell D8",IF($D$8="Plan Review",(IF(E95="No",IF(G95="","Provide explanation for Non-Verified Requirements"),IF(E95="NA",IF(G95="","Provide explanation for this NA item"),IF(E95=0,IF(G95="","Provide information in corresponding worksheet. Identify as Y, N or NA."),"")))),IF($D$8="Final Inspection",(IF(F95="No",IF(G95="","Provide explanation for Non-Verified Requirements"),IF(F95="NA",IF(G95="","Provide explanation for this NA item"),IF(F95=0,IF(G95="","Provide information in corresponding worksheet. Identify as Y, N or NA."),"")))))))</f>
        <v>See instructions in cell D8</v>
      </c>
      <c r="I95" s="1089"/>
      <c r="J95" s="1089"/>
      <c r="Q95" s="836"/>
      <c r="R95" s="836"/>
    </row>
    <row r="96" spans="2:18" ht="48">
      <c r="B96" s="2631" t="s">
        <v>2031</v>
      </c>
      <c r="C96" s="828" t="s">
        <v>753</v>
      </c>
      <c r="D96" s="1330" t="s">
        <v>703</v>
      </c>
      <c r="E96" s="1330" t="s">
        <v>703</v>
      </c>
      <c r="F96" s="1329" t="s">
        <v>703</v>
      </c>
      <c r="G96" s="1329" t="s">
        <v>703</v>
      </c>
      <c r="H96" s="1460"/>
      <c r="I96" s="1089"/>
      <c r="J96" s="1089"/>
      <c r="Q96" s="828"/>
      <c r="R96" s="828"/>
    </row>
    <row r="97" spans="1:18">
      <c r="B97" s="2632"/>
      <c r="C97" s="836" t="s">
        <v>734</v>
      </c>
      <c r="D97" s="1330">
        <f>'5.1, 5.3 - HEATING'!M66</f>
        <v>0</v>
      </c>
      <c r="E97" s="1330">
        <f>'5.1, 5.3 - HEATING'!N66</f>
        <v>0</v>
      </c>
      <c r="F97" s="1329">
        <f>'5.1, 5.3 - HEATING'!O66</f>
        <v>0</v>
      </c>
      <c r="G97" s="1087"/>
      <c r="H97" s="1460" t="str">
        <f>IF($D$8="&lt;Select One - Plan Review or Final Inspection&gt;","See instructions in cell D8",IF($D$8="Plan Review",(IF(E97="No",IF(G97="","Provide explanation for Non-Verified Requirements"),IF(E97="NA",IF(G97="","Provide explanation for this NA item"),IF(E97=0,IF(G97="","Provide information in corresponding worksheet. Identify as Y, N or NA."),"")))),IF($D$8="Final Inspection",(IF(F97="No",IF(G97="","Provide explanation for Non-Verified Requirements"),IF(F97="NA",IF(G97="","Provide explanation for this NA item"),IF(F97=0,IF(G97="","Provide information in corresponding worksheet. Identify as Y, N or NA."),"")))))))</f>
        <v>See instructions in cell D8</v>
      </c>
      <c r="I97" s="1461"/>
      <c r="J97" s="1089"/>
      <c r="Q97" s="836"/>
      <c r="R97" s="836"/>
    </row>
    <row r="98" spans="1:18">
      <c r="B98" s="2632"/>
      <c r="C98" s="836" t="s">
        <v>735</v>
      </c>
      <c r="D98" s="1330">
        <f>'5.2, 5.4 - COOLING'!N46</f>
        <v>0</v>
      </c>
      <c r="E98" s="1330">
        <f>'5.2, 5.4 - COOLING'!O46</f>
        <v>0</v>
      </c>
      <c r="F98" s="1329">
        <f>'5.2, 5.4 - COOLING'!P46</f>
        <v>0</v>
      </c>
      <c r="G98" s="1087"/>
      <c r="H98" s="1460" t="str">
        <f>IF($D$8="&lt;Select One - Plan Review or Final Inspection&gt;","See instructions in cell D8",IF($D$8="Plan Review",(IF(E98="No",IF(G98="","Provide explanation for Non-Verified Requirements"),IF(E98="NA",IF(G98="","Provide explanation for this NA item"),IF(E98=0,IF(G98="","Provide information in corresponding worksheet. Identify as Y, N or NA."),"")))),IF($D$8="Final Inspection",(IF(F98="No",IF(G98="","Provide explanation for Non-Verified Requirements"),IF(F98="NA",IF(G98="","Provide explanation for this NA item"),IF(F98=0,IF(G98="","Provide information in corresponding worksheet. Identify as Y, N or NA."),"")))))))</f>
        <v>See instructions in cell D8</v>
      </c>
      <c r="I98" s="1089"/>
      <c r="J98" s="1089"/>
      <c r="Q98" s="836"/>
      <c r="R98" s="836"/>
    </row>
    <row r="99" spans="1:18" ht="36">
      <c r="B99" s="2632"/>
      <c r="C99" s="828" t="s">
        <v>754</v>
      </c>
      <c r="D99" s="1330" t="s">
        <v>703</v>
      </c>
      <c r="E99" s="1330" t="s">
        <v>703</v>
      </c>
      <c r="F99" s="1329" t="s">
        <v>703</v>
      </c>
      <c r="G99" s="1329" t="s">
        <v>703</v>
      </c>
      <c r="H99" s="1460"/>
      <c r="I99" s="1089"/>
      <c r="J99" s="1089"/>
      <c r="Q99" s="828"/>
      <c r="R99" s="828"/>
    </row>
    <row r="100" spans="1:18">
      <c r="B100" s="2632"/>
      <c r="C100" s="836" t="s">
        <v>734</v>
      </c>
      <c r="D100" s="1330">
        <f>'5.1, 5.3 - HEATING'!M67</f>
        <v>0</v>
      </c>
      <c r="E100" s="1330">
        <f>'5.1, 5.3 - HEATING'!N67</f>
        <v>0</v>
      </c>
      <c r="F100" s="1329">
        <f>'5.1, 5.3 - HEATING'!O67</f>
        <v>0</v>
      </c>
      <c r="G100" s="1087"/>
      <c r="H100" s="1460" t="str">
        <f>IF($D$8="&lt;Select One - Plan Review or Final Inspection&gt;","See instructions in cell D8",IF($D$8="Plan Review",(IF(E100="No",IF(G100="","Provide explanation for Non-Verified Requirements"),IF(E100="NA",IF(G100="","Provide explanation for this NA item"),IF(E100=0,IF(G100="","Provide information in corresponding worksheet. Identify as Y, N or NA."),"")))),IF($D$8="Final Inspection",(IF(F100="No",IF(G100="","Provide explanation for Non-Verified Requirements"),IF(F100="NA",IF(G100="","Provide explanation for this NA item"),IF(F100=0,IF(G100="","Provide information in corresponding worksheet. Identify as Y, N or NA."),"")))))))</f>
        <v>See instructions in cell D8</v>
      </c>
      <c r="I100" s="1461"/>
      <c r="J100" s="1089"/>
      <c r="Q100" s="836"/>
      <c r="R100" s="836"/>
    </row>
    <row r="101" spans="1:18">
      <c r="B101" s="2634"/>
      <c r="C101" s="836" t="s">
        <v>735</v>
      </c>
      <c r="D101" s="1330">
        <f>'5.2, 5.4 - COOLING'!N47</f>
        <v>0</v>
      </c>
      <c r="E101" s="1330">
        <f>'5.2, 5.4 - COOLING'!O47</f>
        <v>0</v>
      </c>
      <c r="F101" s="1329">
        <f>'5.2, 5.4 - COOLING'!P47</f>
        <v>0</v>
      </c>
      <c r="G101" s="1087"/>
      <c r="H101" s="1460" t="str">
        <f>IF($D$8="&lt;Select One - Plan Review or Final Inspection&gt;","See instructions in cell D8",IF($D$8="Plan Review",(IF(E101="No",IF(G101="","Provide explanation for Non-Verified Requirements"),IF(E101="NA",IF(G101="","Provide explanation for this NA item"),IF(E101=0,IF(G101="","Provide information in corresponding worksheet. Identify as Y, N or NA."),"")))),IF($D$8="Final Inspection",(IF(F101="No",IF(G101="","Provide explanation for Non-Verified Requirements"),IF(F101="NA",IF(G101="","Provide explanation for this NA item"),IF(F101=0,IF(G101="","Provide information in corresponding worksheet. Identify as Y, N or NA."),"")))))))</f>
        <v>See instructions in cell D8</v>
      </c>
      <c r="I101" s="1089"/>
      <c r="J101" s="1089"/>
      <c r="Q101" s="836"/>
      <c r="R101" s="836"/>
    </row>
    <row r="102" spans="1:18">
      <c r="B102" s="2638" t="s">
        <v>755</v>
      </c>
      <c r="C102" s="2639"/>
      <c r="D102" s="825"/>
      <c r="E102" s="838" t="s">
        <v>756</v>
      </c>
      <c r="F102" s="825"/>
      <c r="G102" s="825"/>
      <c r="H102" s="1460"/>
      <c r="I102" s="1089"/>
      <c r="J102" s="1089"/>
      <c r="Q102" s="1089"/>
      <c r="R102" s="1089"/>
    </row>
    <row r="103" spans="1:18" ht="60">
      <c r="B103" s="826" t="s">
        <v>757</v>
      </c>
      <c r="C103" s="827" t="s">
        <v>758</v>
      </c>
      <c r="D103" s="1330">
        <f>'6.1, 6.2, 6.3 - LIGHTING'!K97</f>
        <v>0</v>
      </c>
      <c r="E103" s="1330">
        <f>'6.1, 6.2, 6.3 - LIGHTING'!L97</f>
        <v>0</v>
      </c>
      <c r="F103" s="1329">
        <f>'6.1, 6.2, 6.3 - LIGHTING'!M97</f>
        <v>0</v>
      </c>
      <c r="G103" s="1087"/>
      <c r="H103" s="1460" t="str">
        <f t="shared" ref="H103:H111" si="4">IF($D$8="&lt;Select One - Plan Review or Final Inspection&gt;","See instructions in cell D8",IF($D$8="Plan Review",(IF(E103="No",IF(G103="","Provide explanation for Non-Verified Requirements"),IF(E103="NA",IF(G103="","Provide explanation for this NA item"),IF(E103=0,IF(G103="","Provide information in corresponding worksheet. Identify as Y, N or NA."),"")))),IF($D$8="Final Inspection",(IF(F103="No",IF(G103="","Provide explanation for Non-Verified Requirements"),IF(F103="NA",IF(G103="","Provide explanation for this NA item"),IF(F103=0,IF(G103="","Provide information in corresponding worksheet. Identify as Y, N or NA."),"")))))))</f>
        <v>See instructions in cell D8</v>
      </c>
      <c r="I103" s="1089"/>
      <c r="J103" s="1089"/>
      <c r="Q103" s="827"/>
      <c r="R103" s="827"/>
    </row>
    <row r="104" spans="1:18" ht="84">
      <c r="A104" s="829"/>
      <c r="B104" s="2640" t="s">
        <v>759</v>
      </c>
      <c r="C104" s="832" t="str">
        <f>IF('Project Info'!$C$11="","&lt;Confirm if project is participating in NYSERDA MPP on Project Info tab&gt;",IF('Project Info'!$C$11="Yes",'Prescriptive Path Checklist'!R104,'Prescriptive Path Checklist'!Q104))</f>
        <v>All light fixtures in non-apartments spaces, including hallways, stairwells, lobbies, elevators and decorative fixtures, shall have a combined lamp and ballast efficacies meeting or exceeding ENERGY STAR specifications.  Alternatively, T-5 or T-8 lamps with electronic ballasts or ENERGY STAR certified screw-in lamps may be used.</v>
      </c>
      <c r="D104" s="1330">
        <f>'6.1, 6.2, 6.3 - LIGHTING'!K98</f>
        <v>0</v>
      </c>
      <c r="E104" s="1330">
        <f>'6.1, 6.2, 6.3 - LIGHTING'!L98</f>
        <v>0</v>
      </c>
      <c r="F104" s="1330">
        <f>'6.1, 6.2, 6.3 - LIGHTING'!M98</f>
        <v>0</v>
      </c>
      <c r="G104" s="1087"/>
      <c r="H104" s="1460" t="str">
        <f t="shared" si="4"/>
        <v>See instructions in cell D8</v>
      </c>
      <c r="I104" s="1089"/>
      <c r="J104" s="1089"/>
      <c r="Q104" s="832" t="s">
        <v>2030</v>
      </c>
      <c r="R104" s="839" t="s">
        <v>2029</v>
      </c>
    </row>
    <row r="105" spans="1:18" ht="168">
      <c r="B105" s="2640"/>
      <c r="C105" s="839" t="s">
        <v>2028</v>
      </c>
      <c r="D105" s="1330">
        <f>'6.1, 6.2, 6.3 - LIGHTING'!K99</f>
        <v>0</v>
      </c>
      <c r="E105" s="1330">
        <f>'6.1, 6.2, 6.3 - LIGHTING'!L99</f>
        <v>0</v>
      </c>
      <c r="F105" s="1330">
        <f>'6.1, 6.2, 6.3 - LIGHTING'!M99</f>
        <v>0</v>
      </c>
      <c r="G105" s="1087"/>
      <c r="H105" s="1460" t="str">
        <f t="shared" si="4"/>
        <v>See instructions in cell D8</v>
      </c>
      <c r="I105" s="1089"/>
      <c r="J105" s="1089"/>
      <c r="Q105" s="839"/>
      <c r="R105" s="839"/>
    </row>
    <row r="106" spans="1:18" ht="48">
      <c r="A106" s="829"/>
      <c r="B106" s="826" t="s">
        <v>760</v>
      </c>
      <c r="C106" s="826" t="s">
        <v>761</v>
      </c>
      <c r="D106" s="1330">
        <f>'6.1, 6.2, 6.3 - LIGHTING'!K100</f>
        <v>0</v>
      </c>
      <c r="E106" s="1330">
        <f>'6.1, 6.2, 6.3 - LIGHTING'!L100</f>
        <v>0</v>
      </c>
      <c r="F106" s="1329">
        <f>'6.1, 6.2, 6.3 - LIGHTING'!M100</f>
        <v>0</v>
      </c>
      <c r="G106" s="1087"/>
      <c r="H106" s="1460" t="str">
        <f t="shared" si="4"/>
        <v>See instructions in cell D8</v>
      </c>
      <c r="I106" s="1089"/>
      <c r="J106" s="1089"/>
      <c r="Q106" s="826"/>
      <c r="R106" s="826"/>
    </row>
    <row r="107" spans="1:18" ht="36">
      <c r="A107" s="829"/>
      <c r="B107" s="2631" t="s">
        <v>762</v>
      </c>
      <c r="C107" s="827" t="s">
        <v>763</v>
      </c>
      <c r="D107" s="1330">
        <f>'6.1, 6.2, 6.3 - LIGHTING'!K101</f>
        <v>0</v>
      </c>
      <c r="E107" s="1330">
        <f>'6.1, 6.2, 6.3 - LIGHTING'!L101</f>
        <v>0</v>
      </c>
      <c r="F107" s="1329">
        <f>'6.1, 6.2, 6.3 - LIGHTING'!M101</f>
        <v>0</v>
      </c>
      <c r="G107" s="1087"/>
      <c r="H107" s="1460" t="str">
        <f t="shared" si="4"/>
        <v>See instructions in cell D8</v>
      </c>
      <c r="I107" s="1089"/>
      <c r="J107" s="1089"/>
      <c r="Q107" s="827"/>
      <c r="R107" s="827"/>
    </row>
    <row r="108" spans="1:18" ht="72">
      <c r="A108" s="829"/>
      <c r="B108" s="2632"/>
      <c r="C108" s="832" t="str">
        <f>IF('Project Info'!$C$11="","&lt;Confirm if project is participating in NYSERDA MPP on Project Info tab&gt;",IF('Project Info'!$C$11="Yes",'Prescriptive Path Checklist'!R108,'Prescriptive Path Checklist'!Q108))</f>
        <v>All outdoor lighting fixtures shall have combined lamp and ballast efficacies meeting or exceeding ENERGY STAR specifications.</v>
      </c>
      <c r="D108" s="1330">
        <f>'6.1, 6.2, 6.3 - LIGHTING'!K102</f>
        <v>0</v>
      </c>
      <c r="E108" s="1330">
        <f>'6.1, 6.2, 6.3 - LIGHTING'!L102</f>
        <v>0</v>
      </c>
      <c r="F108" s="1329">
        <f>'6.1, 6.2, 6.3 - LIGHTING'!M102</f>
        <v>0</v>
      </c>
      <c r="G108" s="1087"/>
      <c r="H108" s="1460" t="str">
        <f t="shared" si="4"/>
        <v>See instructions in cell D8</v>
      </c>
      <c r="I108" s="1089"/>
      <c r="J108" s="1089"/>
      <c r="Q108" s="832" t="s">
        <v>2027</v>
      </c>
      <c r="R108" s="827" t="s">
        <v>764</v>
      </c>
    </row>
    <row r="109" spans="1:18" ht="24">
      <c r="A109" s="829"/>
      <c r="B109" s="2634"/>
      <c r="C109" s="827" t="s">
        <v>765</v>
      </c>
      <c r="D109" s="1330">
        <f>'6.1, 6.2, 6.3 - LIGHTING'!K103</f>
        <v>0</v>
      </c>
      <c r="E109" s="1330">
        <f>'6.1, 6.2, 6.3 - LIGHTING'!L103</f>
        <v>0</v>
      </c>
      <c r="F109" s="1329">
        <f>'6.1, 6.2, 6.3 - LIGHTING'!M103</f>
        <v>0</v>
      </c>
      <c r="G109" s="1087"/>
      <c r="H109" s="1460" t="str">
        <f t="shared" si="4"/>
        <v>See instructions in cell D8</v>
      </c>
      <c r="I109" s="1089"/>
      <c r="J109" s="1089"/>
      <c r="Q109" s="827"/>
      <c r="R109" s="827"/>
    </row>
    <row r="110" spans="1:18" ht="120">
      <c r="A110" s="829"/>
      <c r="B110" s="826" t="s">
        <v>766</v>
      </c>
      <c r="C110" s="832" t="str">
        <f>IF('Project Info'!$C$11="","&lt;Confirm if project is participating in NYSERDA MPP on Project Info tab&gt;",IF('Project Info'!$C$11="Yes",'Prescriptive Path Checklist'!R110,'Prescriptive Path Checklist'!Q110))</f>
        <v>All hard-wired lighting fixtures and ceiling fans installed within apartments shall meet or exceed ENERGY STAR specifications.  ENERGY STAR certified screw-in lamps may be used in  the following applications only:  Closets, storage spaces, and other locations that are not within habitable living space.
Overall in-unit lighting power density may not exceed 0.7 W/ft2.</v>
      </c>
      <c r="D110" s="1330">
        <f>'6.1, 6.2, 6.3 - LIGHTING'!K104</f>
        <v>0</v>
      </c>
      <c r="E110" s="1330">
        <f>'6.1, 6.2, 6.3 - LIGHTING'!L104</f>
        <v>0</v>
      </c>
      <c r="F110" s="1329">
        <f>'6.1, 6.2, 6.3 - LIGHTING'!M104</f>
        <v>0</v>
      </c>
      <c r="G110" s="1087"/>
      <c r="H110" s="1460" t="str">
        <f t="shared" si="4"/>
        <v>See instructions in cell D8</v>
      </c>
      <c r="I110" s="1089"/>
      <c r="J110" s="1089"/>
      <c r="Q110" s="832" t="s">
        <v>2026</v>
      </c>
      <c r="R110" s="827" t="s">
        <v>2025</v>
      </c>
    </row>
    <row r="111" spans="1:18" ht="108">
      <c r="B111" s="826" t="s">
        <v>767</v>
      </c>
      <c r="C111" s="827" t="s">
        <v>2024</v>
      </c>
      <c r="D111" s="1330">
        <f>'6.1, 6.2, 6.3 - LIGHTING'!K28</f>
        <v>0</v>
      </c>
      <c r="E111" s="1330">
        <f>'6.1, 6.2, 6.3 - LIGHTING'!L28</f>
        <v>0</v>
      </c>
      <c r="F111" s="1329">
        <f>'6.1, 6.2, 6.3 - LIGHTING'!M28</f>
        <v>0</v>
      </c>
      <c r="G111" s="1087"/>
      <c r="H111" s="1460" t="str">
        <f t="shared" si="4"/>
        <v>See instructions in cell D8</v>
      </c>
      <c r="I111" s="1089"/>
      <c r="J111" s="1089"/>
      <c r="Q111" s="827"/>
      <c r="R111" s="827"/>
    </row>
    <row r="112" spans="1:18">
      <c r="B112" s="834" t="s">
        <v>768</v>
      </c>
      <c r="C112" s="835"/>
      <c r="D112" s="825"/>
      <c r="E112" s="825"/>
      <c r="F112" s="825"/>
      <c r="G112" s="825"/>
      <c r="H112" s="1460"/>
      <c r="I112" s="1089"/>
      <c r="J112" s="1089"/>
      <c r="Q112" s="835"/>
      <c r="R112" s="835"/>
    </row>
    <row r="113" spans="1:18" ht="84">
      <c r="A113" s="829"/>
      <c r="B113" s="840" t="s">
        <v>769</v>
      </c>
      <c r="C113" s="827" t="s">
        <v>2023</v>
      </c>
      <c r="D113" s="1330">
        <f>'7.1 - MOTORS'!J34</f>
        <v>0</v>
      </c>
      <c r="E113" s="1330">
        <f>'7.1 - MOTORS'!K34</f>
        <v>0</v>
      </c>
      <c r="F113" s="1330">
        <f>'7.1 - MOTORS'!L34</f>
        <v>0</v>
      </c>
      <c r="G113" s="1087"/>
      <c r="H113" s="1460" t="str">
        <f>IF($D$8="&lt;Select One - Plan Review or Final Inspection&gt;","See instructions in cell D8",IF($D$8="Plan Review",(IF(E113="No",IF(G113="","Provide explanation for Non-Verified Requirements"),IF(E113="NA",IF(G113="","Provide explanation for this NA item"),IF(E113=0,IF(G113="","Provide information in corresponding worksheet. Identify as Y, N or NA."),"")))),IF($D$8="Final Inspection",(IF(F113="No",IF(G113="","Provide explanation for Non-Verified Requirements"),IF(F113="NA",IF(G113="","Provide explanation for this NA item"),IF(F113=0,IF(G113="","Provide information in corresponding worksheet. Identify as Y, N or NA."),"")))))))</f>
        <v>See instructions in cell D8</v>
      </c>
      <c r="I113" s="1089"/>
      <c r="J113" s="1089"/>
      <c r="Q113" s="827"/>
      <c r="R113" s="827"/>
    </row>
    <row r="114" spans="1:18" ht="120">
      <c r="A114" s="829"/>
      <c r="B114" s="840" t="s">
        <v>2022</v>
      </c>
      <c r="C114" s="827" t="s">
        <v>2021</v>
      </c>
      <c r="D114" s="1330">
        <f>'7.1 - MOTORS'!J35</f>
        <v>0</v>
      </c>
      <c r="E114" s="1330">
        <f>'7.1 - MOTORS'!K35</f>
        <v>0</v>
      </c>
      <c r="F114" s="1330">
        <f>'7.1 - MOTORS'!L35</f>
        <v>0</v>
      </c>
      <c r="G114" s="1087"/>
      <c r="H114" s="1460" t="str">
        <f>IF($D$8="&lt;Select One - Plan Review or Final Inspection&gt;","See instructions in cell D8",IF($D$8="Plan Review",(IF(E114="No",IF(G114="","Provide explanation for Non-Verified Requirements"),IF(E114="NA",IF(G114="","Provide explanation for this NA item"),IF(E114=0,IF(G114="","Provide information in corresponding worksheet. Identify as Y, N or NA."),"")))),IF($D$8="Final Inspection",(IF(F114="No",IF(G114="","Provide explanation for Non-Verified Requirements"),IF(F114="NA",IF(G114="","Provide explanation for this NA item"),IF(F114=0,IF(G114="","Provide information in corresponding worksheet. Identify as Y, N or NA."),"")))))))</f>
        <v>See instructions in cell D8</v>
      </c>
      <c r="I114" s="1089"/>
      <c r="J114" s="1089"/>
      <c r="Q114" s="827"/>
      <c r="R114" s="827"/>
    </row>
    <row r="115" spans="1:18" ht="36">
      <c r="A115" s="829"/>
      <c r="B115" s="840" t="s">
        <v>2020</v>
      </c>
      <c r="C115" s="827" t="s">
        <v>682</v>
      </c>
      <c r="D115" s="1330">
        <f>'7.1 - MOTORS'!J36</f>
        <v>0</v>
      </c>
      <c r="E115" s="1330">
        <f>'7.1 - MOTORS'!K36</f>
        <v>0</v>
      </c>
      <c r="F115" s="1330">
        <f>'7.1 - MOTORS'!L36</f>
        <v>0</v>
      </c>
      <c r="G115" s="1087"/>
      <c r="H115" s="1460" t="str">
        <f>IF($D$8="&lt;Select One - Plan Review or Final Inspection&gt;","See instructions in cell D8",IF($D$8="Plan Review",(IF(E115="No",IF(G115="","Provide explanation for Non-Verified Requirements"),IF(E115="NA",IF(G115="","Provide explanation for this NA item"),IF(E115=0,IF(G115="","Provide information in corresponding worksheet. Identify as Y, N or NA."),"")))),IF($D$8="Final Inspection",(IF(F115="No",IF(G115="","Provide explanation for Non-Verified Requirements"),IF(F115="NA",IF(G115="","Provide explanation for this NA item"),IF(F115=0,IF(G115="","Provide information in corresponding worksheet. Identify as Y, N or NA."),"")))))))</f>
        <v>See instructions in cell D8</v>
      </c>
      <c r="I115" s="1089"/>
      <c r="J115" s="1089"/>
      <c r="Q115" s="827"/>
      <c r="R115" s="827"/>
    </row>
    <row r="116" spans="1:18">
      <c r="A116" s="829"/>
      <c r="B116" s="2638" t="s">
        <v>770</v>
      </c>
      <c r="C116" s="2639"/>
      <c r="D116" s="825"/>
      <c r="E116" s="825"/>
      <c r="F116" s="825"/>
      <c r="G116" s="825"/>
      <c r="H116" s="1460"/>
      <c r="I116" s="1089"/>
      <c r="J116" s="1089"/>
      <c r="Q116" s="1089"/>
      <c r="R116" s="1089"/>
    </row>
    <row r="117" spans="1:18" ht="84">
      <c r="A117" s="829"/>
      <c r="B117" s="826" t="s">
        <v>771</v>
      </c>
      <c r="C117" s="827" t="s">
        <v>772</v>
      </c>
      <c r="D117" s="1330">
        <f>'8.1 - INF_EXT AIR BARRIER'!G47</f>
        <v>0</v>
      </c>
      <c r="E117" s="1330">
        <f>'8.1 - INF_EXT AIR BARRIER'!H47</f>
        <v>0</v>
      </c>
      <c r="F117" s="1329">
        <f>'8.1 - INF_EXT AIR BARRIER'!I47</f>
        <v>0</v>
      </c>
      <c r="G117" s="1087"/>
      <c r="H117" s="1460" t="str">
        <f t="shared" ref="H117:H127" si="5">IF($D$8="&lt;Select One - Plan Review or Final Inspection&gt;","See instructions in cell D8",IF($D$8="Plan Review",(IF(E117="No",IF(G117="","Provide explanation for Non-Verified Requirements"),IF(E117="NA",IF(G117="","Provide explanation for this NA item"),IF(E117=0,IF(G117="","Provide information in corresponding worksheet. Identify as Y, N or NA."),"")))),IF($D$8="Final Inspection",(IF(F117="No",IF(G117="","Provide explanation for Non-Verified Requirements"),IF(F117="NA",IF(G117="","Provide explanation for this NA item"),IF(F117=0,IF(G117="","Provide information in corresponding worksheet. Identify as Y, N or NA."),"")))))))</f>
        <v>See instructions in cell D8</v>
      </c>
      <c r="I117" s="1089"/>
      <c r="J117" s="1089"/>
      <c r="Q117" s="827"/>
      <c r="R117" s="827"/>
    </row>
    <row r="118" spans="1:18" ht="48">
      <c r="B118" s="826" t="s">
        <v>773</v>
      </c>
      <c r="C118" s="826" t="s">
        <v>774</v>
      </c>
      <c r="D118" s="1330">
        <f>'8.1 - INF_BLOWER DOOR TEST'!I33</f>
        <v>0</v>
      </c>
      <c r="E118" s="1330">
        <f>'8.1 - INF_BLOWER DOOR TEST'!J33</f>
        <v>0</v>
      </c>
      <c r="F118" s="1329">
        <f>'8.1 - INF_BLOWER DOOR TEST'!K33</f>
        <v>0</v>
      </c>
      <c r="G118" s="1087"/>
      <c r="H118" s="1460" t="str">
        <f t="shared" si="5"/>
        <v>See instructions in cell D8</v>
      </c>
      <c r="I118" s="1089"/>
      <c r="J118" s="1089"/>
      <c r="Q118" s="826"/>
      <c r="R118" s="826"/>
    </row>
    <row r="119" spans="1:18" ht="48">
      <c r="B119" s="2631" t="s">
        <v>775</v>
      </c>
      <c r="C119" s="827" t="s">
        <v>776</v>
      </c>
      <c r="D119" s="1330">
        <f>'8.2 - VENT_SCHEDULE&amp;TAB REPORT'!O55</f>
        <v>0</v>
      </c>
      <c r="E119" s="1330">
        <f>'8.2 - VENT_SCHEDULE&amp;TAB REPORT'!P55</f>
        <v>0</v>
      </c>
      <c r="F119" s="1330">
        <f>'8.2 - VENT_SCHEDULE&amp;TAB REPORT'!Q55</f>
        <v>0</v>
      </c>
      <c r="G119" s="1087"/>
      <c r="H119" s="1460" t="str">
        <f t="shared" si="5"/>
        <v>See instructions in cell D8</v>
      </c>
      <c r="I119" s="1089"/>
      <c r="J119" s="1089"/>
      <c r="Q119" s="827"/>
      <c r="R119" s="827"/>
    </row>
    <row r="120" spans="1:18" ht="108">
      <c r="B120" s="2632"/>
      <c r="C120" s="827" t="s">
        <v>777</v>
      </c>
      <c r="D120" s="1330">
        <f>'8.2 - VENT_SCHEDULE&amp;TAB REPORT'!O52</f>
        <v>0</v>
      </c>
      <c r="E120" s="1330">
        <f>'8.2 - VENT_SCHEDULE&amp;TAB REPORT'!P52</f>
        <v>0</v>
      </c>
      <c r="F120" s="1330">
        <f>'8.2 - VENT_SCHEDULE&amp;TAB REPORT'!Q52</f>
        <v>0</v>
      </c>
      <c r="G120" s="1087"/>
      <c r="H120" s="1460" t="str">
        <f t="shared" si="5"/>
        <v>See instructions in cell D8</v>
      </c>
      <c r="I120" s="1089"/>
      <c r="J120" s="1089"/>
      <c r="Q120" s="827"/>
      <c r="R120" s="827"/>
    </row>
    <row r="121" spans="1:18" ht="36">
      <c r="B121" s="2632"/>
      <c r="C121" s="827" t="s">
        <v>778</v>
      </c>
      <c r="D121" s="1330">
        <f>'8.2 - VENT_SCHEDULE&amp;TAB REPORT'!O56</f>
        <v>0</v>
      </c>
      <c r="E121" s="1330">
        <f>'8.2 - VENT_SCHEDULE&amp;TAB REPORT'!P56</f>
        <v>0</v>
      </c>
      <c r="F121" s="1330">
        <f>'8.2 - VENT_SCHEDULE&amp;TAB REPORT'!Q56</f>
        <v>0</v>
      </c>
      <c r="G121" s="1087"/>
      <c r="H121" s="1460" t="str">
        <f t="shared" si="5"/>
        <v>See instructions in cell D8</v>
      </c>
      <c r="I121" s="1089"/>
      <c r="J121" s="1089"/>
      <c r="Q121" s="827"/>
      <c r="R121" s="827"/>
    </row>
    <row r="122" spans="1:18" ht="168">
      <c r="B122" s="2631" t="s">
        <v>779</v>
      </c>
      <c r="C122" s="832" t="str">
        <f>IF('Project Info'!$C$11="","&lt;Confirm if project is participating in NYSERDA MPP on Project Info tab&gt;",IF('Project Info'!$C$11="Yes",'Prescriptive Path Checklist'!R122,'Prescriptive Path Checklist'!Q122))</f>
        <v>Apartment ventilation and local exhaust systems shall be designed and tested to satisfy minimum requirements of Section 4.1 of ASHRAE 62.2-2007, without reliance on natural ventilation and without exceeding the minimum ventilation rates by more than 50%. 
Outdoor air must be provided to each unit directly from the outdoors.  Projects using exhaust ventilation systems must specify how outside air is delivered at the flow rate required by ASHRAE 62.2-2007.  Systems that rely on transfer air from pressurized hallways or corridors, adjacent to dwelling units, attics, etc., are prohibited.</v>
      </c>
      <c r="D122" s="1330">
        <f>'8.2 - VENT_SCHEDULE&amp;TAB REPORT'!O55</f>
        <v>0</v>
      </c>
      <c r="E122" s="1330">
        <f>'8.2 - VENT_SCHEDULE&amp;TAB REPORT'!P55</f>
        <v>0</v>
      </c>
      <c r="F122" s="1329">
        <f>'8.2 - VENT_SCHEDULE&amp;TAB REPORT'!Q55</f>
        <v>0</v>
      </c>
      <c r="G122" s="1087"/>
      <c r="H122" s="1460" t="str">
        <f t="shared" si="5"/>
        <v>See instructions in cell D8</v>
      </c>
      <c r="I122" s="1089"/>
      <c r="J122" s="1089"/>
      <c r="Q122" s="832" t="s">
        <v>2019</v>
      </c>
      <c r="R122" s="827" t="s">
        <v>2018</v>
      </c>
    </row>
    <row r="123" spans="1:18" ht="24">
      <c r="B123" s="2632"/>
      <c r="C123" s="828" t="s">
        <v>2017</v>
      </c>
      <c r="D123" s="1330">
        <f>'8.2 - VENT_SCHEDULE&amp;TAB REPORT'!O63</f>
        <v>0</v>
      </c>
      <c r="E123" s="1330">
        <f>'8.2 - VENT_SCHEDULE&amp;TAB REPORT'!P63</f>
        <v>0</v>
      </c>
      <c r="F123" s="1330">
        <f>'8.2 - VENT_SCHEDULE&amp;TAB REPORT'!Q63</f>
        <v>0</v>
      </c>
      <c r="G123" s="1087"/>
      <c r="H123" s="1460" t="str">
        <f t="shared" si="5"/>
        <v>See instructions in cell D8</v>
      </c>
      <c r="I123" s="1089"/>
      <c r="J123" s="1089"/>
      <c r="Q123" s="828"/>
      <c r="R123" s="828"/>
    </row>
    <row r="124" spans="1:18" ht="108">
      <c r="B124" s="2632"/>
      <c r="C124" s="827" t="s">
        <v>777</v>
      </c>
      <c r="D124" s="1330">
        <f>'8.2 - VENT_SCHEDULE&amp;TAB REPORT'!O53</f>
        <v>0</v>
      </c>
      <c r="E124" s="1330">
        <f>'8.2 - VENT_SCHEDULE&amp;TAB REPORT'!P53</f>
        <v>0</v>
      </c>
      <c r="F124" s="1330">
        <f>'8.2 - VENT_SCHEDULE&amp;TAB REPORT'!Q53</f>
        <v>0</v>
      </c>
      <c r="G124" s="1087"/>
      <c r="H124" s="1460" t="str">
        <f t="shared" si="5"/>
        <v>See instructions in cell D8</v>
      </c>
      <c r="I124" s="1089"/>
      <c r="J124" s="1089"/>
      <c r="Q124" s="827"/>
      <c r="R124" s="827"/>
    </row>
    <row r="125" spans="1:18" ht="24">
      <c r="B125" s="2632"/>
      <c r="C125" s="826" t="s">
        <v>2016</v>
      </c>
      <c r="D125" s="1330">
        <f>'8.2 - VENT_SCHEDULE&amp;TAB REPORT'!O54</f>
        <v>0</v>
      </c>
      <c r="E125" s="1330">
        <f>'8.2 - VENT_SCHEDULE&amp;TAB REPORT'!P54</f>
        <v>0</v>
      </c>
      <c r="F125" s="1329">
        <f>'8.2 - VENT_SCHEDULE&amp;TAB REPORT'!Q54</f>
        <v>0</v>
      </c>
      <c r="G125" s="1087"/>
      <c r="H125" s="1460" t="str">
        <f t="shared" si="5"/>
        <v>See instructions in cell D8</v>
      </c>
      <c r="I125" s="1089"/>
      <c r="J125" s="1089"/>
      <c r="Q125" s="826"/>
      <c r="R125" s="826"/>
    </row>
    <row r="126" spans="1:18" ht="84">
      <c r="B126" s="2631" t="s">
        <v>781</v>
      </c>
      <c r="C126" s="826" t="s">
        <v>2015</v>
      </c>
      <c r="D126" s="1330">
        <f>'8.2 - VENT_DUCT TIGHTNESS'!G32</f>
        <v>0</v>
      </c>
      <c r="E126" s="1330">
        <f>'8.2 - VENT_DUCT TIGHTNESS'!H32</f>
        <v>0</v>
      </c>
      <c r="F126" s="1329">
        <f>'8.2 - VENT_DUCT TIGHTNESS'!I32</f>
        <v>0</v>
      </c>
      <c r="G126" s="1087"/>
      <c r="H126" s="1460" t="str">
        <f t="shared" si="5"/>
        <v>See instructions in cell D8</v>
      </c>
      <c r="I126" s="1089"/>
      <c r="J126" s="1089"/>
      <c r="Q126" s="826"/>
      <c r="R126" s="826"/>
    </row>
    <row r="127" spans="1:18" ht="48">
      <c r="B127" s="2634"/>
      <c r="C127" s="826" t="s">
        <v>782</v>
      </c>
      <c r="D127" s="1330">
        <f>'8.2 - VENT_DUCT TIGHTNESS'!G33</f>
        <v>0</v>
      </c>
      <c r="E127" s="1330">
        <f>'8.2 - VENT_DUCT TIGHTNESS'!H33</f>
        <v>0</v>
      </c>
      <c r="F127" s="1329">
        <f>'8.2 - VENT_DUCT TIGHTNESS'!I33</f>
        <v>0</v>
      </c>
      <c r="G127" s="1087"/>
      <c r="H127" s="1460" t="str">
        <f t="shared" si="5"/>
        <v>See instructions in cell D8</v>
      </c>
      <c r="I127" s="1089"/>
      <c r="J127" s="1089"/>
      <c r="Q127" s="826"/>
      <c r="R127" s="826"/>
    </row>
    <row r="128" spans="1:18">
      <c r="B128" s="2638" t="s">
        <v>783</v>
      </c>
      <c r="C128" s="2639"/>
      <c r="D128" s="825"/>
      <c r="E128" s="825"/>
      <c r="F128" s="825"/>
      <c r="G128" s="825"/>
      <c r="H128" s="1460"/>
      <c r="I128" s="1089"/>
      <c r="J128" s="1089"/>
      <c r="Q128" s="1089"/>
      <c r="R128" s="1089"/>
    </row>
    <row r="129" spans="1:18" ht="72">
      <c r="A129" s="829"/>
      <c r="B129" s="826" t="s">
        <v>784</v>
      </c>
      <c r="C129" s="828" t="s">
        <v>785</v>
      </c>
      <c r="D129" s="1330">
        <f>'9.1 - METERS'!J29</f>
        <v>0</v>
      </c>
      <c r="E129" s="1330">
        <f>'9.1 - METERS'!K29</f>
        <v>0</v>
      </c>
      <c r="F129" s="1329">
        <f>'9.1 - METERS'!L29</f>
        <v>0</v>
      </c>
      <c r="G129" s="1087"/>
      <c r="H129" s="1460" t="str">
        <f>IF($D$8="&lt;Select One - Plan Review or Final Inspection&gt;","See instructions in cell D8",IF($D$8="Plan Review",(IF(E129="No",IF(G129="","Provide explanation for Non-Verified Requirements"),IF(E129="NA",IF(G129="","Provide explanation for this NA item"),IF(E129=0,IF(G129="","Provide information in corresponding worksheet. Identify as Y, N or NA."),"")))),IF($D$8="Final Inspection",(IF(F129="No",IF(G129="","Provide explanation for Non-Verified Requirements"),IF(F129="NA",IF(G129="","Provide explanation for this NA item"),IF(F129=0,IF(G129="","Provide information in corresponding worksheet. Identify as Y, N or NA."),"")))))))</f>
        <v>See instructions in cell D8</v>
      </c>
      <c r="I129" s="1089"/>
      <c r="J129" s="1089"/>
      <c r="Q129" s="828"/>
      <c r="R129" s="828"/>
    </row>
    <row r="130" spans="1:18" ht="108">
      <c r="A130" s="829"/>
      <c r="B130" s="826" t="s">
        <v>786</v>
      </c>
      <c r="C130" s="828" t="s">
        <v>787</v>
      </c>
      <c r="D130" s="1330" t="s">
        <v>363</v>
      </c>
      <c r="E130" s="1330" t="s">
        <v>363</v>
      </c>
      <c r="F130" s="1329">
        <f>'9.1 - METERS'!L32</f>
        <v>0</v>
      </c>
      <c r="G130" s="1087"/>
      <c r="H130" s="1460" t="str">
        <f>IF($D$8="&lt;Select One - Plan Review or Final Inspection&gt;","See instructions in cell D8",IF($D$8="Plan Review",(IF(E130="No",IF(G130="","Provide explanation for Non-Verified Requirements"),IF(E130="NA",IF(G130="","Provide explanation for this NA item"),IF(E130=0,IF(G130="","Provide information in corresponding worksheet. Identify as Y, N or NA."),"")))),IF($D$8="Final Inspection",(IF(F130="No",IF(G130="","Provide explanation for Non-Verified Requirements"),IF(F130="NA",IF(G130="","Provide explanation for this NA item"),IF(F130=0,IF(G130="","Provide information in corresponding worksheet. Identify as Y, N or NA."),"")))))))</f>
        <v>See instructions in cell D8</v>
      </c>
      <c r="I130" s="1089"/>
      <c r="J130" s="1089"/>
      <c r="Q130" s="828"/>
      <c r="R130" s="828"/>
    </row>
    <row r="131" spans="1:18">
      <c r="A131" s="829"/>
      <c r="B131" s="2635" t="s">
        <v>2014</v>
      </c>
      <c r="C131" s="2636"/>
      <c r="D131" s="2636"/>
      <c r="E131" s="2636"/>
      <c r="F131" s="2637"/>
      <c r="G131" s="2629"/>
      <c r="H131" s="1089"/>
      <c r="I131" s="1089"/>
      <c r="J131" s="1089"/>
      <c r="Q131" s="815"/>
      <c r="R131" s="815"/>
    </row>
    <row r="132" spans="1:18" ht="24" customHeight="1">
      <c r="B132" s="841" t="s">
        <v>2013</v>
      </c>
      <c r="C132" s="842"/>
      <c r="D132" s="842"/>
      <c r="E132" s="842"/>
      <c r="F132" s="1459"/>
      <c r="G132" s="2630"/>
      <c r="H132" s="1089"/>
      <c r="I132" s="1089"/>
      <c r="J132" s="1089"/>
      <c r="Q132" s="843"/>
      <c r="R132" s="843"/>
    </row>
    <row r="133" spans="1:18">
      <c r="B133" s="815"/>
      <c r="C133" s="815"/>
      <c r="D133" s="815"/>
      <c r="E133" s="815"/>
      <c r="F133" s="815"/>
      <c r="G133" s="815"/>
      <c r="Q133" s="843"/>
      <c r="R133" s="843"/>
    </row>
    <row r="134" spans="1:18">
      <c r="B134" s="815"/>
      <c r="C134" s="815"/>
      <c r="D134" s="815"/>
      <c r="E134" s="815"/>
      <c r="F134" s="815"/>
      <c r="G134" s="815"/>
      <c r="Q134" s="815"/>
      <c r="R134" s="815"/>
    </row>
    <row r="135" spans="1:18">
      <c r="B135" s="815"/>
      <c r="C135" s="815"/>
      <c r="D135" s="815"/>
      <c r="E135" s="815"/>
      <c r="F135" s="815"/>
      <c r="G135" s="815"/>
      <c r="Q135" s="815"/>
      <c r="R135" s="815"/>
    </row>
    <row r="136" spans="1:18">
      <c r="B136" s="815"/>
      <c r="C136" s="815"/>
      <c r="D136" s="815"/>
      <c r="E136" s="815"/>
      <c r="F136" s="815"/>
      <c r="G136" s="815"/>
      <c r="Q136" s="815"/>
      <c r="R136" s="815"/>
    </row>
    <row r="137" spans="1:18">
      <c r="B137" s="815"/>
      <c r="C137" s="815"/>
      <c r="D137" s="815"/>
      <c r="E137" s="815"/>
      <c r="F137" s="815"/>
      <c r="G137" s="815"/>
      <c r="Q137" s="815"/>
      <c r="R137" s="815"/>
    </row>
    <row r="138" spans="1:18">
      <c r="B138" s="815"/>
      <c r="C138" s="815"/>
      <c r="D138" s="815"/>
      <c r="E138" s="815"/>
      <c r="F138" s="815"/>
      <c r="G138" s="815"/>
      <c r="Q138" s="815"/>
      <c r="R138" s="815"/>
    </row>
    <row r="139" spans="1:18">
      <c r="B139" s="815"/>
      <c r="C139" s="815"/>
      <c r="D139" s="815"/>
      <c r="E139" s="815"/>
      <c r="F139" s="815"/>
      <c r="G139" s="815"/>
      <c r="Q139" s="815"/>
      <c r="R139" s="815"/>
    </row>
    <row r="140" spans="1:18">
      <c r="B140" s="815"/>
      <c r="C140" s="815"/>
      <c r="D140" s="815"/>
      <c r="E140" s="815"/>
      <c r="F140" s="815"/>
      <c r="G140" s="815"/>
      <c r="Q140" s="815"/>
      <c r="R140" s="815"/>
    </row>
    <row r="141" spans="1:18">
      <c r="B141" s="815"/>
      <c r="C141" s="815"/>
      <c r="D141" s="815"/>
      <c r="E141" s="815"/>
      <c r="F141" s="815"/>
      <c r="G141" s="815"/>
      <c r="Q141" s="815"/>
      <c r="R141" s="815"/>
    </row>
    <row r="142" spans="1:18">
      <c r="B142" s="815"/>
      <c r="C142" s="815"/>
      <c r="D142" s="815"/>
      <c r="E142" s="815"/>
      <c r="F142" s="815"/>
      <c r="G142" s="815"/>
      <c r="Q142" s="815"/>
      <c r="R142" s="815"/>
    </row>
    <row r="143" spans="1:18">
      <c r="B143" s="815"/>
      <c r="C143" s="815"/>
      <c r="D143" s="815"/>
      <c r="E143" s="815"/>
      <c r="F143" s="815"/>
      <c r="G143" s="815"/>
      <c r="Q143" s="815"/>
      <c r="R143" s="815"/>
    </row>
    <row r="144" spans="1:18">
      <c r="B144" s="815"/>
      <c r="C144" s="815"/>
      <c r="D144" s="815"/>
      <c r="E144" s="815"/>
      <c r="F144" s="815"/>
      <c r="G144" s="815"/>
      <c r="Q144" s="815"/>
      <c r="R144" s="815"/>
    </row>
    <row r="145" spans="2:18">
      <c r="B145" s="815"/>
      <c r="C145" s="815"/>
      <c r="D145" s="815"/>
      <c r="E145" s="815"/>
      <c r="F145" s="815"/>
      <c r="G145" s="815"/>
      <c r="Q145" s="815"/>
      <c r="R145" s="815"/>
    </row>
    <row r="146" spans="2:18">
      <c r="B146" s="815"/>
      <c r="C146" s="815"/>
      <c r="D146" s="815"/>
      <c r="E146" s="815"/>
      <c r="F146" s="815"/>
      <c r="G146" s="815"/>
      <c r="Q146" s="815"/>
      <c r="R146" s="815"/>
    </row>
    <row r="147" spans="2:18">
      <c r="B147" s="815"/>
      <c r="C147" s="815"/>
      <c r="D147" s="815"/>
      <c r="E147" s="815"/>
      <c r="F147" s="815"/>
      <c r="G147" s="815"/>
      <c r="Q147" s="815"/>
      <c r="R147" s="815"/>
    </row>
    <row r="148" spans="2:18">
      <c r="B148" s="815"/>
      <c r="C148" s="815"/>
      <c r="D148" s="815"/>
      <c r="E148" s="815"/>
      <c r="F148" s="815"/>
      <c r="G148" s="815"/>
      <c r="Q148" s="815"/>
      <c r="R148" s="815"/>
    </row>
    <row r="149" spans="2:18">
      <c r="B149" s="815"/>
      <c r="C149" s="815"/>
      <c r="D149" s="815"/>
      <c r="E149" s="815"/>
      <c r="F149" s="815"/>
      <c r="G149" s="815"/>
      <c r="Q149" s="815"/>
      <c r="R149" s="815"/>
    </row>
    <row r="150" spans="2:18">
      <c r="B150" s="815"/>
      <c r="C150" s="815"/>
      <c r="D150" s="815"/>
      <c r="E150" s="815"/>
      <c r="F150" s="815"/>
      <c r="G150" s="815"/>
      <c r="Q150" s="815"/>
      <c r="R150" s="815"/>
    </row>
    <row r="151" spans="2:18">
      <c r="B151" s="815"/>
      <c r="C151" s="815"/>
      <c r="D151" s="815"/>
      <c r="E151" s="815"/>
      <c r="F151" s="815"/>
      <c r="G151" s="815"/>
      <c r="Q151" s="815"/>
      <c r="R151" s="815"/>
    </row>
    <row r="152" spans="2:18">
      <c r="B152" s="815"/>
      <c r="C152" s="815"/>
      <c r="D152" s="815"/>
      <c r="E152" s="815"/>
      <c r="F152" s="815"/>
      <c r="G152" s="815"/>
      <c r="Q152" s="815"/>
      <c r="R152" s="815"/>
    </row>
    <row r="153" spans="2:18">
      <c r="B153" s="815"/>
      <c r="C153" s="815"/>
      <c r="D153" s="815"/>
      <c r="E153" s="815"/>
      <c r="F153" s="815"/>
      <c r="G153" s="815"/>
      <c r="Q153" s="815"/>
      <c r="R153" s="815"/>
    </row>
    <row r="154" spans="2:18">
      <c r="B154" s="815"/>
      <c r="C154" s="815"/>
      <c r="D154" s="815"/>
      <c r="E154" s="815"/>
      <c r="F154" s="815"/>
      <c r="G154" s="815"/>
      <c r="Q154" s="815"/>
      <c r="R154" s="815"/>
    </row>
    <row r="155" spans="2:18">
      <c r="B155" s="815"/>
      <c r="C155" s="815"/>
      <c r="D155" s="815"/>
      <c r="E155" s="815"/>
      <c r="F155" s="815"/>
      <c r="G155" s="815"/>
      <c r="Q155" s="815"/>
      <c r="R155" s="815"/>
    </row>
    <row r="156" spans="2:18">
      <c r="B156" s="815"/>
      <c r="C156" s="815"/>
      <c r="D156" s="815"/>
      <c r="E156" s="815"/>
      <c r="F156" s="815"/>
      <c r="G156" s="815"/>
      <c r="Q156" s="815"/>
      <c r="R156" s="815"/>
    </row>
    <row r="157" spans="2:18">
      <c r="B157" s="815"/>
      <c r="C157" s="815"/>
      <c r="D157" s="815"/>
      <c r="E157" s="815"/>
      <c r="F157" s="815"/>
      <c r="G157" s="815"/>
      <c r="Q157" s="815"/>
      <c r="R157" s="815"/>
    </row>
    <row r="158" spans="2:18">
      <c r="B158" s="815"/>
      <c r="C158" s="815"/>
      <c r="D158" s="815"/>
      <c r="E158" s="815"/>
      <c r="F158" s="815"/>
      <c r="G158" s="815"/>
      <c r="Q158" s="815"/>
      <c r="R158" s="815"/>
    </row>
    <row r="159" spans="2:18">
      <c r="B159" s="815"/>
      <c r="C159" s="815"/>
      <c r="D159" s="815"/>
      <c r="E159" s="815"/>
      <c r="F159" s="815"/>
      <c r="G159" s="815"/>
      <c r="Q159" s="815"/>
      <c r="R159" s="815"/>
    </row>
    <row r="160" spans="2:18">
      <c r="B160" s="815"/>
      <c r="C160" s="815"/>
      <c r="D160" s="815"/>
      <c r="E160" s="815"/>
      <c r="F160" s="815"/>
      <c r="G160" s="815"/>
      <c r="Q160" s="815"/>
      <c r="R160" s="815"/>
    </row>
    <row r="161" spans="2:18">
      <c r="B161" s="815"/>
      <c r="C161" s="815"/>
      <c r="D161" s="815"/>
      <c r="E161" s="815"/>
      <c r="F161" s="815"/>
      <c r="G161" s="815"/>
      <c r="Q161" s="815"/>
      <c r="R161" s="815"/>
    </row>
    <row r="162" spans="2:18">
      <c r="B162" s="815"/>
      <c r="C162" s="815"/>
      <c r="D162" s="815"/>
      <c r="E162" s="815"/>
      <c r="F162" s="815"/>
      <c r="G162" s="815"/>
      <c r="Q162" s="815"/>
      <c r="R162" s="815"/>
    </row>
    <row r="163" spans="2:18">
      <c r="B163" s="815"/>
      <c r="C163" s="815"/>
      <c r="D163" s="815"/>
      <c r="E163" s="815"/>
      <c r="F163" s="815"/>
      <c r="G163" s="815"/>
      <c r="Q163" s="815"/>
      <c r="R163" s="815"/>
    </row>
    <row r="164" spans="2:18">
      <c r="B164" s="815"/>
      <c r="C164" s="815"/>
      <c r="D164" s="815"/>
      <c r="E164" s="815"/>
      <c r="F164" s="815"/>
      <c r="G164" s="815"/>
      <c r="Q164" s="815"/>
      <c r="R164" s="815"/>
    </row>
    <row r="165" spans="2:18">
      <c r="B165" s="815"/>
      <c r="C165" s="815"/>
      <c r="D165" s="815"/>
      <c r="E165" s="815"/>
      <c r="F165" s="815"/>
      <c r="G165" s="815"/>
      <c r="Q165" s="815"/>
      <c r="R165" s="815"/>
    </row>
    <row r="166" spans="2:18">
      <c r="B166" s="815"/>
      <c r="C166" s="815"/>
      <c r="D166" s="815"/>
      <c r="E166" s="815"/>
      <c r="F166" s="815"/>
      <c r="G166" s="815"/>
      <c r="Q166" s="815"/>
      <c r="R166" s="815"/>
    </row>
    <row r="167" spans="2:18">
      <c r="B167" s="815"/>
      <c r="C167" s="815"/>
      <c r="D167" s="815"/>
      <c r="E167" s="815"/>
      <c r="F167" s="815"/>
      <c r="G167" s="815"/>
      <c r="Q167" s="815"/>
      <c r="R167" s="815"/>
    </row>
    <row r="168" spans="2:18">
      <c r="B168" s="815"/>
      <c r="C168" s="815"/>
      <c r="D168" s="815"/>
      <c r="E168" s="815"/>
      <c r="F168" s="815"/>
      <c r="G168" s="815"/>
      <c r="Q168" s="815"/>
      <c r="R168" s="815"/>
    </row>
    <row r="169" spans="2:18">
      <c r="B169" s="815"/>
      <c r="C169" s="815"/>
      <c r="D169" s="815"/>
      <c r="E169" s="815"/>
      <c r="F169" s="815"/>
      <c r="G169" s="815"/>
      <c r="Q169" s="815"/>
      <c r="R169" s="815"/>
    </row>
    <row r="170" spans="2:18">
      <c r="B170" s="815"/>
      <c r="C170" s="815"/>
      <c r="D170" s="815"/>
      <c r="E170" s="815"/>
      <c r="F170" s="815"/>
      <c r="G170" s="815"/>
      <c r="Q170" s="815"/>
      <c r="R170" s="815"/>
    </row>
    <row r="171" spans="2:18">
      <c r="B171" s="815"/>
      <c r="C171" s="815"/>
      <c r="D171" s="815"/>
      <c r="E171" s="815"/>
      <c r="F171" s="815"/>
      <c r="G171" s="815"/>
      <c r="Q171" s="815"/>
      <c r="R171" s="815"/>
    </row>
    <row r="172" spans="2:18">
      <c r="B172" s="815"/>
      <c r="C172" s="815"/>
      <c r="D172" s="815"/>
      <c r="E172" s="815"/>
      <c r="F172" s="815"/>
      <c r="G172" s="815"/>
      <c r="Q172" s="815"/>
      <c r="R172" s="815"/>
    </row>
    <row r="173" spans="2:18">
      <c r="B173" s="815"/>
      <c r="C173" s="815"/>
      <c r="D173" s="815"/>
      <c r="E173" s="815"/>
      <c r="F173" s="815"/>
      <c r="G173" s="815"/>
      <c r="Q173" s="815"/>
      <c r="R173" s="815"/>
    </row>
    <row r="174" spans="2:18">
      <c r="B174" s="815"/>
      <c r="C174" s="815"/>
      <c r="D174" s="815"/>
      <c r="E174" s="815"/>
      <c r="F174" s="815"/>
      <c r="G174" s="815"/>
      <c r="Q174" s="815"/>
      <c r="R174" s="815"/>
    </row>
    <row r="175" spans="2:18">
      <c r="B175" s="815"/>
      <c r="C175" s="815"/>
      <c r="D175" s="815"/>
      <c r="E175" s="815"/>
      <c r="F175" s="815"/>
      <c r="G175" s="815"/>
      <c r="Q175" s="815"/>
      <c r="R175" s="815"/>
    </row>
    <row r="176" spans="2:18">
      <c r="B176" s="815"/>
      <c r="C176" s="815"/>
      <c r="D176" s="815"/>
      <c r="E176" s="815"/>
      <c r="F176" s="815"/>
      <c r="G176" s="815"/>
      <c r="Q176" s="815"/>
      <c r="R176" s="815"/>
    </row>
    <row r="177" spans="2:18">
      <c r="B177" s="815"/>
      <c r="C177" s="815"/>
      <c r="D177" s="815"/>
      <c r="E177" s="815"/>
      <c r="F177" s="815"/>
      <c r="G177" s="815"/>
      <c r="Q177" s="815"/>
      <c r="R177" s="815"/>
    </row>
    <row r="178" spans="2:18">
      <c r="B178" s="815"/>
      <c r="C178" s="815"/>
      <c r="D178" s="815"/>
      <c r="E178" s="815"/>
      <c r="F178" s="815"/>
      <c r="G178" s="815"/>
      <c r="Q178" s="815"/>
      <c r="R178" s="815"/>
    </row>
    <row r="179" spans="2:18">
      <c r="B179" s="815"/>
      <c r="C179" s="815"/>
      <c r="D179" s="815"/>
      <c r="E179" s="815"/>
      <c r="F179" s="815"/>
      <c r="G179" s="815"/>
      <c r="Q179" s="815"/>
      <c r="R179" s="815"/>
    </row>
    <row r="180" spans="2:18">
      <c r="B180" s="815"/>
      <c r="C180" s="815"/>
      <c r="D180" s="815"/>
      <c r="E180" s="815"/>
      <c r="F180" s="815"/>
      <c r="G180" s="815"/>
      <c r="Q180" s="815"/>
      <c r="R180" s="815"/>
    </row>
    <row r="181" spans="2:18">
      <c r="B181" s="815"/>
      <c r="C181" s="815"/>
      <c r="D181" s="815"/>
      <c r="E181" s="815"/>
      <c r="F181" s="815"/>
      <c r="G181" s="815"/>
      <c r="Q181" s="815"/>
      <c r="R181" s="815"/>
    </row>
    <row r="182" spans="2:18">
      <c r="B182" s="815"/>
      <c r="C182" s="815"/>
      <c r="D182" s="815"/>
      <c r="E182" s="815"/>
      <c r="F182" s="815"/>
      <c r="G182" s="815"/>
      <c r="Q182" s="815"/>
      <c r="R182" s="815"/>
    </row>
    <row r="183" spans="2:18">
      <c r="B183" s="815"/>
      <c r="C183" s="815"/>
      <c r="D183" s="815"/>
      <c r="E183" s="815"/>
      <c r="F183" s="815"/>
      <c r="G183" s="815"/>
      <c r="Q183" s="815"/>
      <c r="R183" s="815"/>
    </row>
    <row r="184" spans="2:18">
      <c r="B184" s="815"/>
      <c r="C184" s="815"/>
      <c r="D184" s="815"/>
      <c r="E184" s="815"/>
      <c r="F184" s="815"/>
      <c r="G184" s="815"/>
      <c r="Q184" s="815"/>
      <c r="R184" s="815"/>
    </row>
    <row r="185" spans="2:18">
      <c r="B185" s="815"/>
      <c r="C185" s="815"/>
      <c r="D185" s="815"/>
      <c r="E185" s="815"/>
      <c r="F185" s="815"/>
      <c r="G185" s="815"/>
      <c r="Q185" s="815"/>
      <c r="R185" s="815"/>
    </row>
    <row r="186" spans="2:18">
      <c r="B186" s="815"/>
      <c r="C186" s="815"/>
      <c r="D186" s="815"/>
      <c r="E186" s="815"/>
      <c r="F186" s="815"/>
      <c r="G186" s="815"/>
      <c r="Q186" s="815"/>
      <c r="R186" s="815"/>
    </row>
    <row r="187" spans="2:18">
      <c r="B187" s="815"/>
      <c r="C187" s="815"/>
      <c r="D187" s="815"/>
      <c r="E187" s="815"/>
      <c r="F187" s="815"/>
      <c r="G187" s="815"/>
      <c r="Q187" s="815"/>
      <c r="R187" s="815"/>
    </row>
    <row r="188" spans="2:18">
      <c r="B188" s="815"/>
      <c r="C188" s="815"/>
      <c r="D188" s="815"/>
      <c r="E188" s="815"/>
      <c r="F188" s="815"/>
      <c r="G188" s="815"/>
      <c r="Q188" s="815"/>
      <c r="R188" s="815"/>
    </row>
    <row r="189" spans="2:18">
      <c r="B189" s="815"/>
      <c r="C189" s="815"/>
      <c r="D189" s="815"/>
      <c r="E189" s="815"/>
      <c r="F189" s="815"/>
      <c r="G189" s="815"/>
      <c r="Q189" s="815"/>
      <c r="R189" s="815"/>
    </row>
    <row r="190" spans="2:18">
      <c r="B190" s="815"/>
      <c r="C190" s="815"/>
      <c r="D190" s="815"/>
      <c r="E190" s="815"/>
      <c r="F190" s="815"/>
      <c r="G190" s="815"/>
      <c r="Q190" s="815"/>
      <c r="R190" s="815"/>
    </row>
    <row r="191" spans="2:18">
      <c r="B191" s="815"/>
      <c r="C191" s="815"/>
      <c r="D191" s="815"/>
      <c r="E191" s="815"/>
      <c r="F191" s="815"/>
      <c r="G191" s="815"/>
      <c r="Q191" s="815"/>
      <c r="R191" s="815"/>
    </row>
    <row r="192" spans="2:18">
      <c r="B192" s="815"/>
      <c r="C192" s="815"/>
      <c r="D192" s="815"/>
      <c r="E192" s="815"/>
      <c r="F192" s="815"/>
      <c r="G192" s="815"/>
      <c r="Q192" s="815"/>
      <c r="R192" s="815"/>
    </row>
    <row r="193" spans="2:18">
      <c r="B193" s="815"/>
      <c r="C193" s="815"/>
      <c r="D193" s="815"/>
      <c r="E193" s="815"/>
      <c r="F193" s="815"/>
      <c r="G193" s="815"/>
      <c r="Q193" s="815"/>
      <c r="R193" s="815"/>
    </row>
    <row r="194" spans="2:18">
      <c r="B194" s="815"/>
      <c r="C194" s="815"/>
      <c r="D194" s="815"/>
      <c r="E194" s="815"/>
      <c r="F194" s="815"/>
      <c r="G194" s="815"/>
      <c r="Q194" s="815"/>
      <c r="R194" s="815"/>
    </row>
    <row r="195" spans="2:18">
      <c r="B195" s="815"/>
      <c r="C195" s="815"/>
      <c r="D195" s="815"/>
      <c r="E195" s="815"/>
      <c r="F195" s="815"/>
      <c r="G195" s="815"/>
      <c r="Q195" s="815"/>
      <c r="R195" s="815"/>
    </row>
    <row r="196" spans="2:18">
      <c r="B196" s="815"/>
      <c r="C196" s="815"/>
      <c r="D196" s="815"/>
      <c r="E196" s="815"/>
      <c r="F196" s="815"/>
      <c r="G196" s="815"/>
      <c r="Q196" s="815"/>
      <c r="R196" s="815"/>
    </row>
    <row r="197" spans="2:18">
      <c r="B197" s="815"/>
      <c r="C197" s="815"/>
      <c r="D197" s="815"/>
      <c r="E197" s="815"/>
      <c r="F197" s="815"/>
      <c r="G197" s="815"/>
      <c r="Q197" s="815"/>
      <c r="R197" s="815"/>
    </row>
    <row r="198" spans="2:18">
      <c r="B198" s="815"/>
      <c r="C198" s="815"/>
      <c r="D198" s="815"/>
      <c r="E198" s="815"/>
      <c r="F198" s="815"/>
      <c r="G198" s="815"/>
      <c r="Q198" s="815"/>
      <c r="R198" s="815"/>
    </row>
    <row r="199" spans="2:18">
      <c r="B199" s="815"/>
      <c r="C199" s="815"/>
      <c r="D199" s="815"/>
      <c r="E199" s="815"/>
      <c r="F199" s="815"/>
      <c r="G199" s="815"/>
      <c r="Q199" s="815"/>
      <c r="R199" s="815"/>
    </row>
    <row r="200" spans="2:18">
      <c r="B200" s="815"/>
      <c r="C200" s="815"/>
      <c r="D200" s="815"/>
      <c r="E200" s="815"/>
      <c r="F200" s="815"/>
      <c r="G200" s="815"/>
      <c r="Q200" s="815"/>
      <c r="R200" s="815"/>
    </row>
    <row r="201" spans="2:18">
      <c r="B201" s="815"/>
      <c r="C201" s="815"/>
      <c r="D201" s="815"/>
      <c r="E201" s="815"/>
      <c r="F201" s="815"/>
      <c r="G201" s="815"/>
      <c r="Q201" s="815"/>
      <c r="R201" s="815"/>
    </row>
    <row r="202" spans="2:18">
      <c r="B202" s="815"/>
      <c r="C202" s="815"/>
      <c r="D202" s="815"/>
      <c r="E202" s="815"/>
      <c r="F202" s="815"/>
      <c r="G202" s="815"/>
      <c r="Q202" s="815"/>
      <c r="R202" s="815"/>
    </row>
    <row r="203" spans="2:18">
      <c r="B203" s="815"/>
      <c r="C203" s="815"/>
      <c r="D203" s="815"/>
      <c r="E203" s="815"/>
      <c r="F203" s="815"/>
      <c r="G203" s="815"/>
      <c r="Q203" s="815"/>
      <c r="R203" s="815"/>
    </row>
    <row r="204" spans="2:18" ht="18">
      <c r="B204" s="844"/>
      <c r="C204" s="815"/>
      <c r="D204" s="815"/>
      <c r="E204" s="815"/>
      <c r="F204" s="815"/>
      <c r="G204" s="815"/>
      <c r="Q204" s="815"/>
      <c r="R204" s="815"/>
    </row>
    <row r="205" spans="2:18">
      <c r="B205" s="815"/>
      <c r="C205" s="815"/>
      <c r="D205" s="815"/>
      <c r="E205" s="815"/>
      <c r="F205" s="815"/>
      <c r="G205" s="815"/>
      <c r="Q205" s="815"/>
      <c r="R205" s="815"/>
    </row>
    <row r="206" spans="2:18">
      <c r="B206" s="815"/>
      <c r="C206" s="815"/>
      <c r="D206" s="815"/>
      <c r="E206" s="815"/>
      <c r="F206" s="815"/>
      <c r="G206" s="815"/>
      <c r="Q206" s="815"/>
      <c r="R206" s="815"/>
    </row>
    <row r="207" spans="2:18">
      <c r="B207" s="815"/>
      <c r="C207" s="815"/>
      <c r="D207" s="815"/>
      <c r="E207" s="815"/>
      <c r="F207" s="815"/>
      <c r="G207" s="815"/>
      <c r="Q207" s="815"/>
      <c r="R207" s="815"/>
    </row>
    <row r="208" spans="2:18">
      <c r="B208" s="815"/>
      <c r="C208" s="815"/>
      <c r="D208" s="815"/>
      <c r="E208" s="815"/>
      <c r="F208" s="815"/>
      <c r="G208" s="815"/>
      <c r="Q208" s="815"/>
      <c r="R208" s="815"/>
    </row>
    <row r="209" spans="2:18">
      <c r="B209" s="815"/>
      <c r="C209" s="815"/>
      <c r="D209" s="815"/>
      <c r="E209" s="815"/>
      <c r="F209" s="815"/>
      <c r="G209" s="815"/>
      <c r="Q209" s="815"/>
      <c r="R209" s="815"/>
    </row>
    <row r="210" spans="2:18">
      <c r="B210" s="815"/>
      <c r="C210" s="815"/>
      <c r="D210" s="815"/>
      <c r="E210" s="815"/>
      <c r="F210" s="815"/>
      <c r="G210" s="815"/>
      <c r="Q210" s="815"/>
      <c r="R210" s="815"/>
    </row>
    <row r="211" spans="2:18">
      <c r="B211" s="815"/>
      <c r="C211" s="815"/>
      <c r="D211" s="815"/>
      <c r="E211" s="815"/>
      <c r="F211" s="815"/>
      <c r="G211" s="815"/>
      <c r="Q211" s="815"/>
      <c r="R211" s="815"/>
    </row>
    <row r="212" spans="2:18">
      <c r="B212" s="815"/>
      <c r="C212" s="815"/>
      <c r="D212" s="815"/>
      <c r="E212" s="815"/>
      <c r="F212" s="815"/>
      <c r="G212" s="815"/>
      <c r="Q212" s="815"/>
      <c r="R212" s="815"/>
    </row>
    <row r="213" spans="2:18">
      <c r="B213" s="815"/>
      <c r="C213" s="815"/>
      <c r="D213" s="815"/>
      <c r="E213" s="815"/>
      <c r="F213" s="815"/>
      <c r="G213" s="815"/>
      <c r="Q213" s="815"/>
      <c r="R213" s="815"/>
    </row>
    <row r="214" spans="2:18">
      <c r="B214" s="815"/>
      <c r="C214" s="815"/>
      <c r="D214" s="815"/>
      <c r="E214" s="815"/>
      <c r="F214" s="815"/>
      <c r="G214" s="815"/>
      <c r="Q214" s="815"/>
      <c r="R214" s="815"/>
    </row>
    <row r="215" spans="2:18">
      <c r="B215" s="815"/>
      <c r="C215" s="815"/>
      <c r="D215" s="815"/>
      <c r="E215" s="815"/>
      <c r="F215" s="815"/>
      <c r="G215" s="815"/>
      <c r="Q215" s="815"/>
      <c r="R215" s="815"/>
    </row>
    <row r="216" spans="2:18">
      <c r="B216" s="815"/>
      <c r="C216" s="815"/>
      <c r="D216" s="815"/>
      <c r="E216" s="815"/>
      <c r="F216" s="815"/>
      <c r="G216" s="815"/>
      <c r="Q216" s="815"/>
      <c r="R216" s="815"/>
    </row>
    <row r="217" spans="2:18">
      <c r="B217" s="815"/>
      <c r="C217" s="815"/>
      <c r="D217" s="815"/>
      <c r="E217" s="815"/>
      <c r="F217" s="815"/>
      <c r="G217" s="815"/>
      <c r="Q217" s="815"/>
      <c r="R217" s="815"/>
    </row>
    <row r="218" spans="2:18">
      <c r="B218" s="815"/>
      <c r="C218" s="815"/>
      <c r="D218" s="815"/>
      <c r="E218" s="815"/>
      <c r="F218" s="815"/>
      <c r="G218" s="815"/>
      <c r="Q218" s="815"/>
      <c r="R218" s="815"/>
    </row>
    <row r="219" spans="2:18">
      <c r="B219" s="815"/>
      <c r="C219" s="815"/>
      <c r="D219" s="815"/>
      <c r="E219" s="815"/>
      <c r="F219" s="815"/>
      <c r="G219" s="815"/>
      <c r="Q219" s="815"/>
      <c r="R219" s="815"/>
    </row>
    <row r="220" spans="2:18">
      <c r="B220" s="815"/>
      <c r="C220" s="815"/>
      <c r="D220" s="815"/>
      <c r="E220" s="815"/>
      <c r="F220" s="815"/>
      <c r="G220" s="815"/>
      <c r="Q220" s="815"/>
      <c r="R220" s="815"/>
    </row>
    <row r="221" spans="2:18">
      <c r="B221" s="815"/>
      <c r="C221" s="815"/>
      <c r="D221" s="815"/>
      <c r="E221" s="815"/>
      <c r="F221" s="815"/>
      <c r="G221" s="815"/>
      <c r="Q221" s="815"/>
      <c r="R221" s="815"/>
    </row>
    <row r="222" spans="2:18">
      <c r="B222" s="815"/>
      <c r="C222" s="815"/>
      <c r="D222" s="815"/>
      <c r="E222" s="815"/>
      <c r="F222" s="815"/>
      <c r="G222" s="815"/>
      <c r="Q222" s="815"/>
      <c r="R222" s="815"/>
    </row>
    <row r="223" spans="2:18">
      <c r="B223" s="815"/>
      <c r="C223" s="815"/>
      <c r="D223" s="815"/>
      <c r="E223" s="815"/>
      <c r="F223" s="815"/>
      <c r="G223" s="815"/>
      <c r="Q223" s="815"/>
      <c r="R223" s="815"/>
    </row>
    <row r="224" spans="2:18">
      <c r="B224" s="815"/>
      <c r="C224" s="815"/>
      <c r="D224" s="815"/>
      <c r="E224" s="815"/>
      <c r="F224" s="815"/>
      <c r="G224" s="815"/>
      <c r="Q224" s="815"/>
      <c r="R224" s="815"/>
    </row>
    <row r="225" spans="2:18">
      <c r="B225" s="815"/>
      <c r="C225" s="815"/>
      <c r="D225" s="815"/>
      <c r="E225" s="815"/>
      <c r="F225" s="815"/>
      <c r="G225" s="815"/>
      <c r="Q225" s="815"/>
      <c r="R225" s="815"/>
    </row>
    <row r="226" spans="2:18">
      <c r="B226" s="815"/>
      <c r="C226" s="815"/>
      <c r="D226" s="815"/>
      <c r="E226" s="815"/>
      <c r="F226" s="815"/>
      <c r="G226" s="815"/>
      <c r="Q226" s="815"/>
      <c r="R226" s="815"/>
    </row>
    <row r="227" spans="2:18">
      <c r="B227" s="815"/>
      <c r="C227" s="815"/>
      <c r="D227" s="815"/>
      <c r="E227" s="815"/>
      <c r="F227" s="815"/>
      <c r="G227" s="815"/>
      <c r="Q227" s="815"/>
      <c r="R227" s="815"/>
    </row>
    <row r="228" spans="2:18">
      <c r="B228" s="815"/>
      <c r="C228" s="815"/>
      <c r="D228" s="815"/>
      <c r="E228" s="815"/>
      <c r="F228" s="815"/>
      <c r="G228" s="815"/>
      <c r="Q228" s="815"/>
      <c r="R228" s="815"/>
    </row>
    <row r="229" spans="2:18">
      <c r="B229" s="815"/>
      <c r="C229" s="815"/>
      <c r="D229" s="815"/>
      <c r="E229" s="815"/>
      <c r="F229" s="815"/>
      <c r="G229" s="815"/>
      <c r="Q229" s="815"/>
      <c r="R229" s="815"/>
    </row>
    <row r="230" spans="2:18">
      <c r="B230" s="815"/>
      <c r="C230" s="815"/>
      <c r="D230" s="815"/>
      <c r="E230" s="815"/>
      <c r="F230" s="815"/>
      <c r="G230" s="815"/>
      <c r="Q230" s="815"/>
      <c r="R230" s="815"/>
    </row>
    <row r="231" spans="2:18">
      <c r="B231" s="815"/>
      <c r="C231" s="815"/>
      <c r="D231" s="815"/>
      <c r="E231" s="815"/>
      <c r="F231" s="815"/>
      <c r="G231" s="815"/>
      <c r="Q231" s="815"/>
      <c r="R231" s="815"/>
    </row>
    <row r="232" spans="2:18">
      <c r="B232" s="815"/>
      <c r="C232" s="815"/>
      <c r="D232" s="815"/>
      <c r="E232" s="815"/>
      <c r="F232" s="815"/>
      <c r="G232" s="815"/>
      <c r="Q232" s="815"/>
      <c r="R232" s="815"/>
    </row>
    <row r="233" spans="2:18">
      <c r="B233" s="815"/>
      <c r="C233" s="815"/>
      <c r="D233" s="815"/>
      <c r="E233" s="815"/>
      <c r="F233" s="815"/>
      <c r="G233" s="815"/>
      <c r="Q233" s="815"/>
      <c r="R233" s="815"/>
    </row>
    <row r="234" spans="2:18">
      <c r="B234" s="815"/>
      <c r="C234" s="815"/>
      <c r="D234" s="815"/>
      <c r="E234" s="815"/>
      <c r="F234" s="815"/>
      <c r="G234" s="815"/>
      <c r="Q234" s="815"/>
      <c r="R234" s="815"/>
    </row>
    <row r="235" spans="2:18">
      <c r="B235" s="815"/>
      <c r="C235" s="815"/>
      <c r="D235" s="815"/>
      <c r="E235" s="815"/>
      <c r="F235" s="815"/>
      <c r="G235" s="815"/>
      <c r="Q235" s="815"/>
      <c r="R235" s="815"/>
    </row>
    <row r="236" spans="2:18">
      <c r="B236" s="815"/>
      <c r="C236" s="815"/>
      <c r="D236" s="815"/>
      <c r="E236" s="815"/>
      <c r="F236" s="815"/>
      <c r="G236" s="815"/>
      <c r="Q236" s="815"/>
      <c r="R236" s="815"/>
    </row>
    <row r="237" spans="2:18">
      <c r="B237" s="815"/>
      <c r="C237" s="815"/>
      <c r="D237" s="815"/>
      <c r="E237" s="815"/>
      <c r="F237" s="815"/>
      <c r="G237" s="815"/>
      <c r="Q237" s="815"/>
      <c r="R237" s="815"/>
    </row>
    <row r="238" spans="2:18">
      <c r="B238" s="815"/>
      <c r="C238" s="815"/>
      <c r="D238" s="815"/>
      <c r="E238" s="815"/>
      <c r="F238" s="815"/>
      <c r="G238" s="815"/>
      <c r="Q238" s="815"/>
      <c r="R238" s="815"/>
    </row>
    <row r="239" spans="2:18">
      <c r="B239" s="815"/>
      <c r="C239" s="815"/>
      <c r="D239" s="815"/>
      <c r="E239" s="815"/>
      <c r="F239" s="815"/>
      <c r="G239" s="815"/>
      <c r="Q239" s="815"/>
      <c r="R239" s="815"/>
    </row>
    <row r="240" spans="2:18">
      <c r="B240" s="815"/>
      <c r="C240" s="815"/>
      <c r="D240" s="815"/>
      <c r="E240" s="815"/>
      <c r="F240" s="815"/>
      <c r="G240" s="815"/>
      <c r="Q240" s="815"/>
      <c r="R240" s="815"/>
    </row>
    <row r="241" spans="2:18">
      <c r="B241" s="815"/>
      <c r="C241" s="815"/>
      <c r="D241" s="815"/>
      <c r="E241" s="815"/>
      <c r="F241" s="815"/>
      <c r="G241" s="815"/>
      <c r="Q241" s="815"/>
      <c r="R241" s="815"/>
    </row>
    <row r="242" spans="2:18">
      <c r="B242" s="815"/>
      <c r="C242" s="815"/>
      <c r="D242" s="815"/>
      <c r="E242" s="815"/>
      <c r="F242" s="815"/>
      <c r="G242" s="815"/>
      <c r="Q242" s="815"/>
      <c r="R242" s="815"/>
    </row>
    <row r="243" spans="2:18">
      <c r="B243" s="815"/>
      <c r="C243" s="815"/>
      <c r="D243" s="815"/>
      <c r="E243" s="815"/>
      <c r="F243" s="815"/>
      <c r="G243" s="815"/>
      <c r="Q243" s="815"/>
      <c r="R243" s="815"/>
    </row>
    <row r="244" spans="2:18">
      <c r="B244" s="815"/>
      <c r="C244" s="815"/>
      <c r="D244" s="815"/>
      <c r="E244" s="815"/>
      <c r="F244" s="815"/>
      <c r="G244" s="815"/>
      <c r="Q244" s="815"/>
      <c r="R244" s="815"/>
    </row>
    <row r="245" spans="2:18">
      <c r="B245" s="815"/>
      <c r="C245" s="815"/>
      <c r="D245" s="815"/>
      <c r="E245" s="815"/>
      <c r="F245" s="815"/>
      <c r="G245" s="815"/>
      <c r="Q245" s="815"/>
      <c r="R245" s="815"/>
    </row>
    <row r="246" spans="2:18">
      <c r="B246" s="815"/>
      <c r="C246" s="815"/>
      <c r="D246" s="815"/>
      <c r="E246" s="815"/>
      <c r="F246" s="815"/>
      <c r="G246" s="815"/>
      <c r="Q246" s="815"/>
      <c r="R246" s="815"/>
    </row>
    <row r="247" spans="2:18">
      <c r="B247" s="815"/>
      <c r="C247" s="815"/>
      <c r="D247" s="815"/>
      <c r="E247" s="815"/>
      <c r="F247" s="815"/>
      <c r="G247" s="815"/>
      <c r="Q247" s="815"/>
      <c r="R247" s="815"/>
    </row>
    <row r="248" spans="2:18">
      <c r="B248" s="815"/>
      <c r="C248" s="815"/>
      <c r="D248" s="815"/>
      <c r="E248" s="815"/>
      <c r="F248" s="815"/>
      <c r="G248" s="815"/>
      <c r="Q248" s="815"/>
      <c r="R248" s="815"/>
    </row>
    <row r="249" spans="2:18">
      <c r="B249" s="815"/>
      <c r="C249" s="815"/>
      <c r="D249" s="815"/>
      <c r="E249" s="815"/>
      <c r="F249" s="815"/>
      <c r="G249" s="815"/>
      <c r="Q249" s="815"/>
      <c r="R249" s="815"/>
    </row>
    <row r="250" spans="2:18">
      <c r="B250" s="815"/>
      <c r="C250" s="815"/>
      <c r="D250" s="815"/>
      <c r="E250" s="815"/>
      <c r="F250" s="815"/>
      <c r="G250" s="815"/>
      <c r="Q250" s="815"/>
      <c r="R250" s="815"/>
    </row>
    <row r="251" spans="2:18">
      <c r="B251" s="815"/>
      <c r="C251" s="815"/>
      <c r="D251" s="815"/>
      <c r="E251" s="815"/>
      <c r="F251" s="815"/>
      <c r="G251" s="815"/>
      <c r="Q251" s="815"/>
      <c r="R251" s="815"/>
    </row>
    <row r="252" spans="2:18">
      <c r="B252" s="815"/>
      <c r="C252" s="815"/>
      <c r="D252" s="815"/>
      <c r="E252" s="815"/>
      <c r="F252" s="815"/>
      <c r="G252" s="815"/>
      <c r="Q252" s="815"/>
      <c r="R252" s="815"/>
    </row>
    <row r="253" spans="2:18">
      <c r="B253" s="815"/>
      <c r="C253" s="815"/>
      <c r="D253" s="815"/>
      <c r="E253" s="815"/>
      <c r="F253" s="815"/>
      <c r="G253" s="815"/>
      <c r="Q253" s="815"/>
      <c r="R253" s="815"/>
    </row>
    <row r="254" spans="2:18">
      <c r="B254" s="815"/>
      <c r="C254" s="815"/>
      <c r="D254" s="815"/>
      <c r="E254" s="815"/>
      <c r="F254" s="815"/>
      <c r="G254" s="815"/>
      <c r="Q254" s="815"/>
      <c r="R254" s="815"/>
    </row>
    <row r="255" spans="2:18">
      <c r="B255" s="815"/>
      <c r="C255" s="815"/>
      <c r="D255" s="815"/>
      <c r="E255" s="815"/>
      <c r="F255" s="815"/>
      <c r="G255" s="815"/>
      <c r="Q255" s="815"/>
      <c r="R255" s="815"/>
    </row>
    <row r="256" spans="2:18">
      <c r="B256" s="815"/>
      <c r="C256" s="815"/>
      <c r="D256" s="815"/>
      <c r="E256" s="815"/>
      <c r="F256" s="815"/>
      <c r="G256" s="815"/>
      <c r="Q256" s="815"/>
      <c r="R256" s="815"/>
    </row>
    <row r="257" spans="2:18">
      <c r="B257" s="815"/>
      <c r="C257" s="815"/>
      <c r="D257" s="815"/>
      <c r="E257" s="815"/>
      <c r="F257" s="815"/>
      <c r="G257" s="815"/>
      <c r="Q257" s="815"/>
      <c r="R257" s="815"/>
    </row>
    <row r="258" spans="2:18">
      <c r="B258" s="815"/>
      <c r="C258" s="815"/>
      <c r="D258" s="815"/>
      <c r="E258" s="815"/>
      <c r="F258" s="815"/>
      <c r="G258" s="815"/>
      <c r="Q258" s="815"/>
      <c r="R258" s="815"/>
    </row>
    <row r="259" spans="2:18">
      <c r="B259" s="815"/>
      <c r="C259" s="815"/>
      <c r="D259" s="815"/>
      <c r="E259" s="815"/>
      <c r="F259" s="815"/>
      <c r="G259" s="815"/>
      <c r="Q259" s="815"/>
      <c r="R259" s="815"/>
    </row>
    <row r="260" spans="2:18">
      <c r="B260" s="815"/>
      <c r="C260" s="815"/>
      <c r="D260" s="815"/>
      <c r="E260" s="815"/>
      <c r="F260" s="815"/>
      <c r="G260" s="815"/>
      <c r="Q260" s="815"/>
      <c r="R260" s="815"/>
    </row>
    <row r="261" spans="2:18">
      <c r="B261" s="815"/>
      <c r="C261" s="815"/>
      <c r="D261" s="815"/>
      <c r="E261" s="815"/>
      <c r="F261" s="815"/>
      <c r="G261" s="815"/>
      <c r="Q261" s="815"/>
      <c r="R261" s="815"/>
    </row>
    <row r="262" spans="2:18">
      <c r="B262" s="815"/>
      <c r="C262" s="815"/>
      <c r="D262" s="815"/>
      <c r="E262" s="815"/>
      <c r="F262" s="815"/>
      <c r="G262" s="815"/>
      <c r="Q262" s="815"/>
      <c r="R262" s="815"/>
    </row>
    <row r="263" spans="2:18">
      <c r="B263" s="815"/>
      <c r="C263" s="815"/>
      <c r="D263" s="815"/>
      <c r="E263" s="815"/>
      <c r="F263" s="815"/>
      <c r="G263" s="815"/>
      <c r="Q263" s="815"/>
      <c r="R263" s="815"/>
    </row>
    <row r="264" spans="2:18">
      <c r="B264" s="815"/>
      <c r="C264" s="815"/>
      <c r="D264" s="815"/>
      <c r="E264" s="815"/>
      <c r="F264" s="815"/>
      <c r="G264" s="815"/>
      <c r="Q264" s="815"/>
      <c r="R264" s="815"/>
    </row>
    <row r="265" spans="2:18">
      <c r="B265" s="815"/>
      <c r="C265" s="815"/>
      <c r="D265" s="815"/>
      <c r="E265" s="815"/>
      <c r="F265" s="815"/>
      <c r="G265" s="815"/>
      <c r="Q265" s="815"/>
      <c r="R265" s="815"/>
    </row>
    <row r="266" spans="2:18">
      <c r="B266" s="815"/>
      <c r="C266" s="815"/>
      <c r="D266" s="815"/>
      <c r="E266" s="815"/>
      <c r="F266" s="815"/>
      <c r="G266" s="815"/>
      <c r="Q266" s="815"/>
      <c r="R266" s="815"/>
    </row>
    <row r="267" spans="2:18">
      <c r="B267" s="815"/>
      <c r="C267" s="815"/>
      <c r="D267" s="815"/>
      <c r="E267" s="815"/>
      <c r="F267" s="815"/>
      <c r="G267" s="815"/>
      <c r="Q267" s="815"/>
      <c r="R267" s="815"/>
    </row>
    <row r="268" spans="2:18">
      <c r="B268" s="815"/>
      <c r="C268" s="815"/>
      <c r="D268" s="815"/>
      <c r="E268" s="815"/>
      <c r="F268" s="815"/>
      <c r="G268" s="815"/>
      <c r="Q268" s="815"/>
      <c r="R268" s="815"/>
    </row>
    <row r="269" spans="2:18">
      <c r="B269" s="815"/>
      <c r="C269" s="815"/>
      <c r="D269" s="815"/>
      <c r="E269" s="815"/>
      <c r="F269" s="815"/>
      <c r="G269" s="815"/>
      <c r="Q269" s="815"/>
      <c r="R269" s="815"/>
    </row>
    <row r="270" spans="2:18">
      <c r="B270" s="815"/>
      <c r="C270" s="815"/>
      <c r="D270" s="815"/>
      <c r="E270" s="815"/>
      <c r="F270" s="815"/>
      <c r="G270" s="815"/>
      <c r="Q270" s="815"/>
      <c r="R270" s="815"/>
    </row>
    <row r="271" spans="2:18">
      <c r="B271" s="815"/>
      <c r="C271" s="815"/>
      <c r="D271" s="815"/>
      <c r="E271" s="815"/>
      <c r="F271" s="815"/>
      <c r="G271" s="815"/>
      <c r="Q271" s="815"/>
      <c r="R271" s="815"/>
    </row>
    <row r="272" spans="2:18">
      <c r="B272" s="815"/>
      <c r="C272" s="815"/>
      <c r="D272" s="815"/>
      <c r="E272" s="815"/>
      <c r="F272" s="815"/>
      <c r="G272" s="815"/>
      <c r="Q272" s="815"/>
      <c r="R272" s="815"/>
    </row>
    <row r="273" spans="2:18">
      <c r="B273" s="815"/>
      <c r="C273" s="815"/>
      <c r="D273" s="815"/>
      <c r="E273" s="815"/>
      <c r="F273" s="815"/>
      <c r="G273" s="815"/>
      <c r="Q273" s="815"/>
      <c r="R273" s="815"/>
    </row>
    <row r="274" spans="2:18">
      <c r="B274" s="815"/>
      <c r="C274" s="815"/>
      <c r="D274" s="815"/>
      <c r="E274" s="815"/>
      <c r="F274" s="815"/>
      <c r="G274" s="815"/>
      <c r="Q274" s="815"/>
      <c r="R274" s="815"/>
    </row>
    <row r="275" spans="2:18">
      <c r="B275" s="815"/>
      <c r="C275" s="815"/>
      <c r="D275" s="815"/>
      <c r="E275" s="815"/>
      <c r="F275" s="815"/>
      <c r="G275" s="815"/>
      <c r="Q275" s="815"/>
      <c r="R275" s="815"/>
    </row>
    <row r="276" spans="2:18">
      <c r="B276" s="815"/>
      <c r="C276" s="815"/>
      <c r="D276" s="815"/>
      <c r="E276" s="815"/>
      <c r="F276" s="815"/>
      <c r="G276" s="815"/>
      <c r="Q276" s="815"/>
      <c r="R276" s="815"/>
    </row>
    <row r="277" spans="2:18">
      <c r="B277" s="815"/>
      <c r="C277" s="815"/>
      <c r="D277" s="815"/>
      <c r="E277" s="815"/>
      <c r="F277" s="815"/>
      <c r="G277" s="815"/>
      <c r="Q277" s="815"/>
      <c r="R277" s="815"/>
    </row>
    <row r="278" spans="2:18">
      <c r="B278" s="815"/>
      <c r="C278" s="815"/>
      <c r="D278" s="815"/>
      <c r="E278" s="815"/>
      <c r="F278" s="815"/>
      <c r="G278" s="815"/>
      <c r="Q278" s="815"/>
      <c r="R278" s="815"/>
    </row>
    <row r="279" spans="2:18">
      <c r="B279" s="815"/>
      <c r="C279" s="815"/>
      <c r="D279" s="815"/>
      <c r="E279" s="815"/>
      <c r="F279" s="815"/>
      <c r="G279" s="815"/>
      <c r="Q279" s="815"/>
      <c r="R279" s="815"/>
    </row>
    <row r="280" spans="2:18">
      <c r="B280" s="815"/>
      <c r="C280" s="815"/>
      <c r="D280" s="815"/>
      <c r="E280" s="815"/>
      <c r="F280" s="815"/>
      <c r="G280" s="815"/>
      <c r="Q280" s="815"/>
      <c r="R280" s="815"/>
    </row>
    <row r="281" spans="2:18">
      <c r="B281" s="815"/>
      <c r="C281" s="815"/>
      <c r="D281" s="815"/>
      <c r="E281" s="815"/>
      <c r="F281" s="815"/>
      <c r="G281" s="815"/>
      <c r="Q281" s="815"/>
      <c r="R281" s="815"/>
    </row>
    <row r="282" spans="2:18">
      <c r="B282" s="815"/>
      <c r="C282" s="815"/>
      <c r="D282" s="815"/>
      <c r="E282" s="815"/>
      <c r="F282" s="815"/>
      <c r="G282" s="815"/>
      <c r="Q282" s="815"/>
      <c r="R282" s="815"/>
    </row>
    <row r="283" spans="2:18">
      <c r="B283" s="815"/>
      <c r="C283" s="815"/>
      <c r="D283" s="815"/>
      <c r="E283" s="815"/>
      <c r="F283" s="815"/>
      <c r="G283" s="815"/>
      <c r="Q283" s="815"/>
      <c r="R283" s="815"/>
    </row>
    <row r="284" spans="2:18">
      <c r="B284" s="815"/>
      <c r="C284" s="815"/>
      <c r="D284" s="815"/>
      <c r="E284" s="815"/>
      <c r="F284" s="815"/>
      <c r="G284" s="815"/>
      <c r="Q284" s="815"/>
      <c r="R284" s="815"/>
    </row>
  </sheetData>
  <sheetProtection formatCells="0" formatColumns="0" formatRows="0"/>
  <mergeCells count="31">
    <mergeCell ref="B26:C26"/>
    <mergeCell ref="B11:C11"/>
    <mergeCell ref="B2:F2"/>
    <mergeCell ref="B3:F3"/>
    <mergeCell ref="D8:E8"/>
    <mergeCell ref="B20:B21"/>
    <mergeCell ref="B18:C18"/>
    <mergeCell ref="B12:B17"/>
    <mergeCell ref="B62:B63"/>
    <mergeCell ref="B48:B49"/>
    <mergeCell ref="B56:C56"/>
    <mergeCell ref="B27:B47"/>
    <mergeCell ref="B107:B109"/>
    <mergeCell ref="B104:B105"/>
    <mergeCell ref="B87:B89"/>
    <mergeCell ref="B57:B59"/>
    <mergeCell ref="B64:B65"/>
    <mergeCell ref="G131:G132"/>
    <mergeCell ref="B122:B125"/>
    <mergeCell ref="B66:B68"/>
    <mergeCell ref="B90:B95"/>
    <mergeCell ref="B131:F131"/>
    <mergeCell ref="B72:B80"/>
    <mergeCell ref="B83:B86"/>
    <mergeCell ref="B128:C128"/>
    <mergeCell ref="B126:B127"/>
    <mergeCell ref="B116:C116"/>
    <mergeCell ref="B119:B121"/>
    <mergeCell ref="B96:B101"/>
    <mergeCell ref="B69:B71"/>
    <mergeCell ref="B102:C102"/>
  </mergeCells>
  <conditionalFormatting sqref="E133:F65535 E122:F122 E116:F118 E106:F112 E1:F3 E62:F103 F6:F15 E6:E7 E56:F60 E9:E15 E16:F18 E26:F54 E125:G130">
    <cfRule type="cellIs" dxfId="33" priority="10" stopIfTrue="1" operator="equal">
      <formula>"No"</formula>
    </cfRule>
  </conditionalFormatting>
  <conditionalFormatting sqref="E19:F25">
    <cfRule type="cellIs" dxfId="32" priority="9" stopIfTrue="1" operator="equal">
      <formula>"No"</formula>
    </cfRule>
  </conditionalFormatting>
  <conditionalFormatting sqref="G122 G116:G119 G106:G112 G1:G3 G62:G103 G5:G18 G26:G60 G133:G65535">
    <cfRule type="cellIs" dxfId="31" priority="8" stopIfTrue="1" operator="equal">
      <formula>"No"</formula>
    </cfRule>
  </conditionalFormatting>
  <conditionalFormatting sqref="G19:G25">
    <cfRule type="cellIs" dxfId="30" priority="7" stopIfTrue="1" operator="equal">
      <formula>"No"</formula>
    </cfRule>
  </conditionalFormatting>
  <conditionalFormatting sqref="E4:F4">
    <cfRule type="cellIs" dxfId="29" priority="6" stopIfTrue="1" operator="equal">
      <formula>"No"</formula>
    </cfRule>
  </conditionalFormatting>
  <conditionalFormatting sqref="G4">
    <cfRule type="cellIs" dxfId="28" priority="5" stopIfTrue="1" operator="equal">
      <formula>"No"</formula>
    </cfRule>
  </conditionalFormatting>
  <conditionalFormatting sqref="E55:F55">
    <cfRule type="cellIs" dxfId="27" priority="4" stopIfTrue="1" operator="equal">
      <formula>"No"</formula>
    </cfRule>
  </conditionalFormatting>
  <conditionalFormatting sqref="D8">
    <cfRule type="cellIs" dxfId="26" priority="3" stopIfTrue="1" operator="equal">
      <formula>"No"</formula>
    </cfRule>
  </conditionalFormatting>
  <conditionalFormatting sqref="E132:F132">
    <cfRule type="cellIs" dxfId="25" priority="2" stopIfTrue="1" operator="equal">
      <formula>"No"</formula>
    </cfRule>
  </conditionalFormatting>
  <conditionalFormatting sqref="G131">
    <cfRule type="cellIs" dxfId="24" priority="1" stopIfTrue="1" operator="equal">
      <formula>"No"</formula>
    </cfRule>
  </conditionalFormatting>
  <dataValidations count="2">
    <dataValidation type="list" allowBlank="1" showInputMessage="1" showErrorMessage="1" sqref="D8:E8 IZ8:JA8 SV8:SW8 ACR8:ACS8 AMN8:AMO8 AWJ8:AWK8 BGF8:BGG8 BQB8:BQC8 BZX8:BZY8 CJT8:CJU8 CTP8:CTQ8 DDL8:DDM8 DNH8:DNI8 DXD8:DXE8 EGZ8:EHA8 EQV8:EQW8 FAR8:FAS8 FKN8:FKO8 FUJ8:FUK8 GEF8:GEG8 GOB8:GOC8 GXX8:GXY8 HHT8:HHU8 HRP8:HRQ8 IBL8:IBM8 ILH8:ILI8 IVD8:IVE8 JEZ8:JFA8 JOV8:JOW8 JYR8:JYS8 KIN8:KIO8 KSJ8:KSK8 LCF8:LCG8 LMB8:LMC8 LVX8:LVY8 MFT8:MFU8 MPP8:MPQ8 MZL8:MZM8 NJH8:NJI8 NTD8:NTE8 OCZ8:ODA8 OMV8:OMW8 OWR8:OWS8 PGN8:PGO8 PQJ8:PQK8 QAF8:QAG8 QKB8:QKC8 QTX8:QTY8 RDT8:RDU8 RNP8:RNQ8 RXL8:RXM8 SHH8:SHI8 SRD8:SRE8 TAZ8:TBA8 TKV8:TKW8 TUR8:TUS8 UEN8:UEO8 UOJ8:UOK8 UYF8:UYG8 VIB8:VIC8 VRX8:VRY8 WBT8:WBU8 WLP8:WLQ8 WVL8:WVM8 D65543:E65543 IZ65544:JA65544 SV65544:SW65544 ACR65544:ACS65544 AMN65544:AMO65544 AWJ65544:AWK65544 BGF65544:BGG65544 BQB65544:BQC65544 BZX65544:BZY65544 CJT65544:CJU65544 CTP65544:CTQ65544 DDL65544:DDM65544 DNH65544:DNI65544 DXD65544:DXE65544 EGZ65544:EHA65544 EQV65544:EQW65544 FAR65544:FAS65544 FKN65544:FKO65544 FUJ65544:FUK65544 GEF65544:GEG65544 GOB65544:GOC65544 GXX65544:GXY65544 HHT65544:HHU65544 HRP65544:HRQ65544 IBL65544:IBM65544 ILH65544:ILI65544 IVD65544:IVE65544 JEZ65544:JFA65544 JOV65544:JOW65544 JYR65544:JYS65544 KIN65544:KIO65544 KSJ65544:KSK65544 LCF65544:LCG65544 LMB65544:LMC65544 LVX65544:LVY65544 MFT65544:MFU65544 MPP65544:MPQ65544 MZL65544:MZM65544 NJH65544:NJI65544 NTD65544:NTE65544 OCZ65544:ODA65544 OMV65544:OMW65544 OWR65544:OWS65544 PGN65544:PGO65544 PQJ65544:PQK65544 QAF65544:QAG65544 QKB65544:QKC65544 QTX65544:QTY65544 RDT65544:RDU65544 RNP65544:RNQ65544 RXL65544:RXM65544 SHH65544:SHI65544 SRD65544:SRE65544 TAZ65544:TBA65544 TKV65544:TKW65544 TUR65544:TUS65544 UEN65544:UEO65544 UOJ65544:UOK65544 UYF65544:UYG65544 VIB65544:VIC65544 VRX65544:VRY65544 WBT65544:WBU65544 WLP65544:WLQ65544 WVL65544:WVM65544 D131079:E131079 IZ131080:JA131080 SV131080:SW131080 ACR131080:ACS131080 AMN131080:AMO131080 AWJ131080:AWK131080 BGF131080:BGG131080 BQB131080:BQC131080 BZX131080:BZY131080 CJT131080:CJU131080 CTP131080:CTQ131080 DDL131080:DDM131080 DNH131080:DNI131080 DXD131080:DXE131080 EGZ131080:EHA131080 EQV131080:EQW131080 FAR131080:FAS131080 FKN131080:FKO131080 FUJ131080:FUK131080 GEF131080:GEG131080 GOB131080:GOC131080 GXX131080:GXY131080 HHT131080:HHU131080 HRP131080:HRQ131080 IBL131080:IBM131080 ILH131080:ILI131080 IVD131080:IVE131080 JEZ131080:JFA131080 JOV131080:JOW131080 JYR131080:JYS131080 KIN131080:KIO131080 KSJ131080:KSK131080 LCF131080:LCG131080 LMB131080:LMC131080 LVX131080:LVY131080 MFT131080:MFU131080 MPP131080:MPQ131080 MZL131080:MZM131080 NJH131080:NJI131080 NTD131080:NTE131080 OCZ131080:ODA131080 OMV131080:OMW131080 OWR131080:OWS131080 PGN131080:PGO131080 PQJ131080:PQK131080 QAF131080:QAG131080 QKB131080:QKC131080 QTX131080:QTY131080 RDT131080:RDU131080 RNP131080:RNQ131080 RXL131080:RXM131080 SHH131080:SHI131080 SRD131080:SRE131080 TAZ131080:TBA131080 TKV131080:TKW131080 TUR131080:TUS131080 UEN131080:UEO131080 UOJ131080:UOK131080 UYF131080:UYG131080 VIB131080:VIC131080 VRX131080:VRY131080 WBT131080:WBU131080 WLP131080:WLQ131080 WVL131080:WVM131080 D196615:E196615 IZ196616:JA196616 SV196616:SW196616 ACR196616:ACS196616 AMN196616:AMO196616 AWJ196616:AWK196616 BGF196616:BGG196616 BQB196616:BQC196616 BZX196616:BZY196616 CJT196616:CJU196616 CTP196616:CTQ196616 DDL196616:DDM196616 DNH196616:DNI196616 DXD196616:DXE196616 EGZ196616:EHA196616 EQV196616:EQW196616 FAR196616:FAS196616 FKN196616:FKO196616 FUJ196616:FUK196616 GEF196616:GEG196616 GOB196616:GOC196616 GXX196616:GXY196616 HHT196616:HHU196616 HRP196616:HRQ196616 IBL196616:IBM196616 ILH196616:ILI196616 IVD196616:IVE196616 JEZ196616:JFA196616 JOV196616:JOW196616 JYR196616:JYS196616 KIN196616:KIO196616 KSJ196616:KSK196616 LCF196616:LCG196616 LMB196616:LMC196616 LVX196616:LVY196616 MFT196616:MFU196616 MPP196616:MPQ196616 MZL196616:MZM196616 NJH196616:NJI196616 NTD196616:NTE196616 OCZ196616:ODA196616 OMV196616:OMW196616 OWR196616:OWS196616 PGN196616:PGO196616 PQJ196616:PQK196616 QAF196616:QAG196616 QKB196616:QKC196616 QTX196616:QTY196616 RDT196616:RDU196616 RNP196616:RNQ196616 RXL196616:RXM196616 SHH196616:SHI196616 SRD196616:SRE196616 TAZ196616:TBA196616 TKV196616:TKW196616 TUR196616:TUS196616 UEN196616:UEO196616 UOJ196616:UOK196616 UYF196616:UYG196616 VIB196616:VIC196616 VRX196616:VRY196616 WBT196616:WBU196616 WLP196616:WLQ196616 WVL196616:WVM196616 D262151:E262151 IZ262152:JA262152 SV262152:SW262152 ACR262152:ACS262152 AMN262152:AMO262152 AWJ262152:AWK262152 BGF262152:BGG262152 BQB262152:BQC262152 BZX262152:BZY262152 CJT262152:CJU262152 CTP262152:CTQ262152 DDL262152:DDM262152 DNH262152:DNI262152 DXD262152:DXE262152 EGZ262152:EHA262152 EQV262152:EQW262152 FAR262152:FAS262152 FKN262152:FKO262152 FUJ262152:FUK262152 GEF262152:GEG262152 GOB262152:GOC262152 GXX262152:GXY262152 HHT262152:HHU262152 HRP262152:HRQ262152 IBL262152:IBM262152 ILH262152:ILI262152 IVD262152:IVE262152 JEZ262152:JFA262152 JOV262152:JOW262152 JYR262152:JYS262152 KIN262152:KIO262152 KSJ262152:KSK262152 LCF262152:LCG262152 LMB262152:LMC262152 LVX262152:LVY262152 MFT262152:MFU262152 MPP262152:MPQ262152 MZL262152:MZM262152 NJH262152:NJI262152 NTD262152:NTE262152 OCZ262152:ODA262152 OMV262152:OMW262152 OWR262152:OWS262152 PGN262152:PGO262152 PQJ262152:PQK262152 QAF262152:QAG262152 QKB262152:QKC262152 QTX262152:QTY262152 RDT262152:RDU262152 RNP262152:RNQ262152 RXL262152:RXM262152 SHH262152:SHI262152 SRD262152:SRE262152 TAZ262152:TBA262152 TKV262152:TKW262152 TUR262152:TUS262152 UEN262152:UEO262152 UOJ262152:UOK262152 UYF262152:UYG262152 VIB262152:VIC262152 VRX262152:VRY262152 WBT262152:WBU262152 WLP262152:WLQ262152 WVL262152:WVM262152 D327687:E327687 IZ327688:JA327688 SV327688:SW327688 ACR327688:ACS327688 AMN327688:AMO327688 AWJ327688:AWK327688 BGF327688:BGG327688 BQB327688:BQC327688 BZX327688:BZY327688 CJT327688:CJU327688 CTP327688:CTQ327688 DDL327688:DDM327688 DNH327688:DNI327688 DXD327688:DXE327688 EGZ327688:EHA327688 EQV327688:EQW327688 FAR327688:FAS327688 FKN327688:FKO327688 FUJ327688:FUK327688 GEF327688:GEG327688 GOB327688:GOC327688 GXX327688:GXY327688 HHT327688:HHU327688 HRP327688:HRQ327688 IBL327688:IBM327688 ILH327688:ILI327688 IVD327688:IVE327688 JEZ327688:JFA327688 JOV327688:JOW327688 JYR327688:JYS327688 KIN327688:KIO327688 KSJ327688:KSK327688 LCF327688:LCG327688 LMB327688:LMC327688 LVX327688:LVY327688 MFT327688:MFU327688 MPP327688:MPQ327688 MZL327688:MZM327688 NJH327688:NJI327688 NTD327688:NTE327688 OCZ327688:ODA327688 OMV327688:OMW327688 OWR327688:OWS327688 PGN327688:PGO327688 PQJ327688:PQK327688 QAF327688:QAG327688 QKB327688:QKC327688 QTX327688:QTY327688 RDT327688:RDU327688 RNP327688:RNQ327688 RXL327688:RXM327688 SHH327688:SHI327688 SRD327688:SRE327688 TAZ327688:TBA327688 TKV327688:TKW327688 TUR327688:TUS327688 UEN327688:UEO327688 UOJ327688:UOK327688 UYF327688:UYG327688 VIB327688:VIC327688 VRX327688:VRY327688 WBT327688:WBU327688 WLP327688:WLQ327688 WVL327688:WVM327688 D393223:E393223 IZ393224:JA393224 SV393224:SW393224 ACR393224:ACS393224 AMN393224:AMO393224 AWJ393224:AWK393224 BGF393224:BGG393224 BQB393224:BQC393224 BZX393224:BZY393224 CJT393224:CJU393224 CTP393224:CTQ393224 DDL393224:DDM393224 DNH393224:DNI393224 DXD393224:DXE393224 EGZ393224:EHA393224 EQV393224:EQW393224 FAR393224:FAS393224 FKN393224:FKO393224 FUJ393224:FUK393224 GEF393224:GEG393224 GOB393224:GOC393224 GXX393224:GXY393224 HHT393224:HHU393224 HRP393224:HRQ393224 IBL393224:IBM393224 ILH393224:ILI393224 IVD393224:IVE393224 JEZ393224:JFA393224 JOV393224:JOW393224 JYR393224:JYS393224 KIN393224:KIO393224 KSJ393224:KSK393224 LCF393224:LCG393224 LMB393224:LMC393224 LVX393224:LVY393224 MFT393224:MFU393224 MPP393224:MPQ393224 MZL393224:MZM393224 NJH393224:NJI393224 NTD393224:NTE393224 OCZ393224:ODA393224 OMV393224:OMW393224 OWR393224:OWS393224 PGN393224:PGO393224 PQJ393224:PQK393224 QAF393224:QAG393224 QKB393224:QKC393224 QTX393224:QTY393224 RDT393224:RDU393224 RNP393224:RNQ393224 RXL393224:RXM393224 SHH393224:SHI393224 SRD393224:SRE393224 TAZ393224:TBA393224 TKV393224:TKW393224 TUR393224:TUS393224 UEN393224:UEO393224 UOJ393224:UOK393224 UYF393224:UYG393224 VIB393224:VIC393224 VRX393224:VRY393224 WBT393224:WBU393224 WLP393224:WLQ393224 WVL393224:WVM393224 D458759:E458759 IZ458760:JA458760 SV458760:SW458760 ACR458760:ACS458760 AMN458760:AMO458760 AWJ458760:AWK458760 BGF458760:BGG458760 BQB458760:BQC458760 BZX458760:BZY458760 CJT458760:CJU458760 CTP458760:CTQ458760 DDL458760:DDM458760 DNH458760:DNI458760 DXD458760:DXE458760 EGZ458760:EHA458760 EQV458760:EQW458760 FAR458760:FAS458760 FKN458760:FKO458760 FUJ458760:FUK458760 GEF458760:GEG458760 GOB458760:GOC458760 GXX458760:GXY458760 HHT458760:HHU458760 HRP458760:HRQ458760 IBL458760:IBM458760 ILH458760:ILI458760 IVD458760:IVE458760 JEZ458760:JFA458760 JOV458760:JOW458760 JYR458760:JYS458760 KIN458760:KIO458760 KSJ458760:KSK458760 LCF458760:LCG458760 LMB458760:LMC458760 LVX458760:LVY458760 MFT458760:MFU458760 MPP458760:MPQ458760 MZL458760:MZM458760 NJH458760:NJI458760 NTD458760:NTE458760 OCZ458760:ODA458760 OMV458760:OMW458760 OWR458760:OWS458760 PGN458760:PGO458760 PQJ458760:PQK458760 QAF458760:QAG458760 QKB458760:QKC458760 QTX458760:QTY458760 RDT458760:RDU458760 RNP458760:RNQ458760 RXL458760:RXM458760 SHH458760:SHI458760 SRD458760:SRE458760 TAZ458760:TBA458760 TKV458760:TKW458760 TUR458760:TUS458760 UEN458760:UEO458760 UOJ458760:UOK458760 UYF458760:UYG458760 VIB458760:VIC458760 VRX458760:VRY458760 WBT458760:WBU458760 WLP458760:WLQ458760 WVL458760:WVM458760 D524295:E524295 IZ524296:JA524296 SV524296:SW524296 ACR524296:ACS524296 AMN524296:AMO524296 AWJ524296:AWK524296 BGF524296:BGG524296 BQB524296:BQC524296 BZX524296:BZY524296 CJT524296:CJU524296 CTP524296:CTQ524296 DDL524296:DDM524296 DNH524296:DNI524296 DXD524296:DXE524296 EGZ524296:EHA524296 EQV524296:EQW524296 FAR524296:FAS524296 FKN524296:FKO524296 FUJ524296:FUK524296 GEF524296:GEG524296 GOB524296:GOC524296 GXX524296:GXY524296 HHT524296:HHU524296 HRP524296:HRQ524296 IBL524296:IBM524296 ILH524296:ILI524296 IVD524296:IVE524296 JEZ524296:JFA524296 JOV524296:JOW524296 JYR524296:JYS524296 KIN524296:KIO524296 KSJ524296:KSK524296 LCF524296:LCG524296 LMB524296:LMC524296 LVX524296:LVY524296 MFT524296:MFU524296 MPP524296:MPQ524296 MZL524296:MZM524296 NJH524296:NJI524296 NTD524296:NTE524296 OCZ524296:ODA524296 OMV524296:OMW524296 OWR524296:OWS524296 PGN524296:PGO524296 PQJ524296:PQK524296 QAF524296:QAG524296 QKB524296:QKC524296 QTX524296:QTY524296 RDT524296:RDU524296 RNP524296:RNQ524296 RXL524296:RXM524296 SHH524296:SHI524296 SRD524296:SRE524296 TAZ524296:TBA524296 TKV524296:TKW524296 TUR524296:TUS524296 UEN524296:UEO524296 UOJ524296:UOK524296 UYF524296:UYG524296 VIB524296:VIC524296 VRX524296:VRY524296 WBT524296:WBU524296 WLP524296:WLQ524296 WVL524296:WVM524296 D589831:E589831 IZ589832:JA589832 SV589832:SW589832 ACR589832:ACS589832 AMN589832:AMO589832 AWJ589832:AWK589832 BGF589832:BGG589832 BQB589832:BQC589832 BZX589832:BZY589832 CJT589832:CJU589832 CTP589832:CTQ589832 DDL589832:DDM589832 DNH589832:DNI589832 DXD589832:DXE589832 EGZ589832:EHA589832 EQV589832:EQW589832 FAR589832:FAS589832 FKN589832:FKO589832 FUJ589832:FUK589832 GEF589832:GEG589832 GOB589832:GOC589832 GXX589832:GXY589832 HHT589832:HHU589832 HRP589832:HRQ589832 IBL589832:IBM589832 ILH589832:ILI589832 IVD589832:IVE589832 JEZ589832:JFA589832 JOV589832:JOW589832 JYR589832:JYS589832 KIN589832:KIO589832 KSJ589832:KSK589832 LCF589832:LCG589832 LMB589832:LMC589832 LVX589832:LVY589832 MFT589832:MFU589832 MPP589832:MPQ589832 MZL589832:MZM589832 NJH589832:NJI589832 NTD589832:NTE589832 OCZ589832:ODA589832 OMV589832:OMW589832 OWR589832:OWS589832 PGN589832:PGO589832 PQJ589832:PQK589832 QAF589832:QAG589832 QKB589832:QKC589832 QTX589832:QTY589832 RDT589832:RDU589832 RNP589832:RNQ589832 RXL589832:RXM589832 SHH589832:SHI589832 SRD589832:SRE589832 TAZ589832:TBA589832 TKV589832:TKW589832 TUR589832:TUS589832 UEN589832:UEO589832 UOJ589832:UOK589832 UYF589832:UYG589832 VIB589832:VIC589832 VRX589832:VRY589832 WBT589832:WBU589832 WLP589832:WLQ589832 WVL589832:WVM589832 D655367:E655367 IZ655368:JA655368 SV655368:SW655368 ACR655368:ACS655368 AMN655368:AMO655368 AWJ655368:AWK655368 BGF655368:BGG655368 BQB655368:BQC655368 BZX655368:BZY655368 CJT655368:CJU655368 CTP655368:CTQ655368 DDL655368:DDM655368 DNH655368:DNI655368 DXD655368:DXE655368 EGZ655368:EHA655368 EQV655368:EQW655368 FAR655368:FAS655368 FKN655368:FKO655368 FUJ655368:FUK655368 GEF655368:GEG655368 GOB655368:GOC655368 GXX655368:GXY655368 HHT655368:HHU655368 HRP655368:HRQ655368 IBL655368:IBM655368 ILH655368:ILI655368 IVD655368:IVE655368 JEZ655368:JFA655368 JOV655368:JOW655368 JYR655368:JYS655368 KIN655368:KIO655368 KSJ655368:KSK655368 LCF655368:LCG655368 LMB655368:LMC655368 LVX655368:LVY655368 MFT655368:MFU655368 MPP655368:MPQ655368 MZL655368:MZM655368 NJH655368:NJI655368 NTD655368:NTE655368 OCZ655368:ODA655368 OMV655368:OMW655368 OWR655368:OWS655368 PGN655368:PGO655368 PQJ655368:PQK655368 QAF655368:QAG655368 QKB655368:QKC655368 QTX655368:QTY655368 RDT655368:RDU655368 RNP655368:RNQ655368 RXL655368:RXM655368 SHH655368:SHI655368 SRD655368:SRE655368 TAZ655368:TBA655368 TKV655368:TKW655368 TUR655368:TUS655368 UEN655368:UEO655368 UOJ655368:UOK655368 UYF655368:UYG655368 VIB655368:VIC655368 VRX655368:VRY655368 WBT655368:WBU655368 WLP655368:WLQ655368 WVL655368:WVM655368 D720903:E720903 IZ720904:JA720904 SV720904:SW720904 ACR720904:ACS720904 AMN720904:AMO720904 AWJ720904:AWK720904 BGF720904:BGG720904 BQB720904:BQC720904 BZX720904:BZY720904 CJT720904:CJU720904 CTP720904:CTQ720904 DDL720904:DDM720904 DNH720904:DNI720904 DXD720904:DXE720904 EGZ720904:EHA720904 EQV720904:EQW720904 FAR720904:FAS720904 FKN720904:FKO720904 FUJ720904:FUK720904 GEF720904:GEG720904 GOB720904:GOC720904 GXX720904:GXY720904 HHT720904:HHU720904 HRP720904:HRQ720904 IBL720904:IBM720904 ILH720904:ILI720904 IVD720904:IVE720904 JEZ720904:JFA720904 JOV720904:JOW720904 JYR720904:JYS720904 KIN720904:KIO720904 KSJ720904:KSK720904 LCF720904:LCG720904 LMB720904:LMC720904 LVX720904:LVY720904 MFT720904:MFU720904 MPP720904:MPQ720904 MZL720904:MZM720904 NJH720904:NJI720904 NTD720904:NTE720904 OCZ720904:ODA720904 OMV720904:OMW720904 OWR720904:OWS720904 PGN720904:PGO720904 PQJ720904:PQK720904 QAF720904:QAG720904 QKB720904:QKC720904 QTX720904:QTY720904 RDT720904:RDU720904 RNP720904:RNQ720904 RXL720904:RXM720904 SHH720904:SHI720904 SRD720904:SRE720904 TAZ720904:TBA720904 TKV720904:TKW720904 TUR720904:TUS720904 UEN720904:UEO720904 UOJ720904:UOK720904 UYF720904:UYG720904 VIB720904:VIC720904 VRX720904:VRY720904 WBT720904:WBU720904 WLP720904:WLQ720904 WVL720904:WVM720904 D786439:E786439 IZ786440:JA786440 SV786440:SW786440 ACR786440:ACS786440 AMN786440:AMO786440 AWJ786440:AWK786440 BGF786440:BGG786440 BQB786440:BQC786440 BZX786440:BZY786440 CJT786440:CJU786440 CTP786440:CTQ786440 DDL786440:DDM786440 DNH786440:DNI786440 DXD786440:DXE786440 EGZ786440:EHA786440 EQV786440:EQW786440 FAR786440:FAS786440 FKN786440:FKO786440 FUJ786440:FUK786440 GEF786440:GEG786440 GOB786440:GOC786440 GXX786440:GXY786440 HHT786440:HHU786440 HRP786440:HRQ786440 IBL786440:IBM786440 ILH786440:ILI786440 IVD786440:IVE786440 JEZ786440:JFA786440 JOV786440:JOW786440 JYR786440:JYS786440 KIN786440:KIO786440 KSJ786440:KSK786440 LCF786440:LCG786440 LMB786440:LMC786440 LVX786440:LVY786440 MFT786440:MFU786440 MPP786440:MPQ786440 MZL786440:MZM786440 NJH786440:NJI786440 NTD786440:NTE786440 OCZ786440:ODA786440 OMV786440:OMW786440 OWR786440:OWS786440 PGN786440:PGO786440 PQJ786440:PQK786440 QAF786440:QAG786440 QKB786440:QKC786440 QTX786440:QTY786440 RDT786440:RDU786440 RNP786440:RNQ786440 RXL786440:RXM786440 SHH786440:SHI786440 SRD786440:SRE786440 TAZ786440:TBA786440 TKV786440:TKW786440 TUR786440:TUS786440 UEN786440:UEO786440 UOJ786440:UOK786440 UYF786440:UYG786440 VIB786440:VIC786440 VRX786440:VRY786440 WBT786440:WBU786440 WLP786440:WLQ786440 WVL786440:WVM786440 D851975:E851975 IZ851976:JA851976 SV851976:SW851976 ACR851976:ACS851976 AMN851976:AMO851976 AWJ851976:AWK851976 BGF851976:BGG851976 BQB851976:BQC851976 BZX851976:BZY851976 CJT851976:CJU851976 CTP851976:CTQ851976 DDL851976:DDM851976 DNH851976:DNI851976 DXD851976:DXE851976 EGZ851976:EHA851976 EQV851976:EQW851976 FAR851976:FAS851976 FKN851976:FKO851976 FUJ851976:FUK851976 GEF851976:GEG851976 GOB851976:GOC851976 GXX851976:GXY851976 HHT851976:HHU851976 HRP851976:HRQ851976 IBL851976:IBM851976 ILH851976:ILI851976 IVD851976:IVE851976 JEZ851976:JFA851976 JOV851976:JOW851976 JYR851976:JYS851976 KIN851976:KIO851976 KSJ851976:KSK851976 LCF851976:LCG851976 LMB851976:LMC851976 LVX851976:LVY851976 MFT851976:MFU851976 MPP851976:MPQ851976 MZL851976:MZM851976 NJH851976:NJI851976 NTD851976:NTE851976 OCZ851976:ODA851976 OMV851976:OMW851976 OWR851976:OWS851976 PGN851976:PGO851976 PQJ851976:PQK851976 QAF851976:QAG851976 QKB851976:QKC851976 QTX851976:QTY851976 RDT851976:RDU851976 RNP851976:RNQ851976 RXL851976:RXM851976 SHH851976:SHI851976 SRD851976:SRE851976 TAZ851976:TBA851976 TKV851976:TKW851976 TUR851976:TUS851976 UEN851976:UEO851976 UOJ851976:UOK851976 UYF851976:UYG851976 VIB851976:VIC851976 VRX851976:VRY851976 WBT851976:WBU851976 WLP851976:WLQ851976 WVL851976:WVM851976 D917511:E917511 IZ917512:JA917512 SV917512:SW917512 ACR917512:ACS917512 AMN917512:AMO917512 AWJ917512:AWK917512 BGF917512:BGG917512 BQB917512:BQC917512 BZX917512:BZY917512 CJT917512:CJU917512 CTP917512:CTQ917512 DDL917512:DDM917512 DNH917512:DNI917512 DXD917512:DXE917512 EGZ917512:EHA917512 EQV917512:EQW917512 FAR917512:FAS917512 FKN917512:FKO917512 FUJ917512:FUK917512 GEF917512:GEG917512 GOB917512:GOC917512 GXX917512:GXY917512 HHT917512:HHU917512 HRP917512:HRQ917512 IBL917512:IBM917512 ILH917512:ILI917512 IVD917512:IVE917512 JEZ917512:JFA917512 JOV917512:JOW917512 JYR917512:JYS917512 KIN917512:KIO917512 KSJ917512:KSK917512 LCF917512:LCG917512 LMB917512:LMC917512 LVX917512:LVY917512 MFT917512:MFU917512 MPP917512:MPQ917512 MZL917512:MZM917512 NJH917512:NJI917512 NTD917512:NTE917512 OCZ917512:ODA917512 OMV917512:OMW917512 OWR917512:OWS917512 PGN917512:PGO917512 PQJ917512:PQK917512 QAF917512:QAG917512 QKB917512:QKC917512 QTX917512:QTY917512 RDT917512:RDU917512 RNP917512:RNQ917512 RXL917512:RXM917512 SHH917512:SHI917512 SRD917512:SRE917512 TAZ917512:TBA917512 TKV917512:TKW917512 TUR917512:TUS917512 UEN917512:UEO917512 UOJ917512:UOK917512 UYF917512:UYG917512 VIB917512:VIC917512 VRX917512:VRY917512 WBT917512:WBU917512 WLP917512:WLQ917512 WVL917512:WVM917512 D983047:E983047 IZ983048:JA983048 SV983048:SW983048 ACR983048:ACS983048 AMN983048:AMO983048 AWJ983048:AWK983048 BGF983048:BGG983048 BQB983048:BQC983048 BZX983048:BZY983048 CJT983048:CJU983048 CTP983048:CTQ983048 DDL983048:DDM983048 DNH983048:DNI983048 DXD983048:DXE983048 EGZ983048:EHA983048 EQV983048:EQW983048 FAR983048:FAS983048 FKN983048:FKO983048 FUJ983048:FUK983048 GEF983048:GEG983048 GOB983048:GOC983048 GXX983048:GXY983048 HHT983048:HHU983048 HRP983048:HRQ983048 IBL983048:IBM983048 ILH983048:ILI983048 IVD983048:IVE983048 JEZ983048:JFA983048 JOV983048:JOW983048 JYR983048:JYS983048 KIN983048:KIO983048 KSJ983048:KSK983048 LCF983048:LCG983048 LMB983048:LMC983048 LVX983048:LVY983048 MFT983048:MFU983048 MPP983048:MPQ983048 MZL983048:MZM983048 NJH983048:NJI983048 NTD983048:NTE983048 OCZ983048:ODA983048 OMV983048:OMW983048 OWR983048:OWS983048 PGN983048:PGO983048 PQJ983048:PQK983048 QAF983048:QAG983048 QKB983048:QKC983048 QTX983048:QTY983048 RDT983048:RDU983048 RNP983048:RNQ983048 RXL983048:RXM983048 SHH983048:SHI983048 SRD983048:SRE983048 TAZ983048:TBA983048 TKV983048:TKW983048 TUR983048:TUS983048 UEN983048:UEO983048 UOJ983048:UOK983048 UYF983048:UYG983048 VIB983048:VIC983048 VRX983048:VRY983048 WBT983048:WBU983048 WLP983048:WLQ983048 WVL983048:WVM983048">
      <formula1>"&lt;Select One - Plan Review or Final Inspection&gt;,Plan Review,Final Inspection"</formula1>
    </dataValidation>
    <dataValidation type="list" allowBlank="1" showInputMessage="1" showErrorMessage="1" sqref="E9 JA9 SW9 ACS9 AMO9 AWK9 BGG9 BQC9 BZY9 CJU9 CTQ9 DDM9 DNI9 DXE9 EHA9 EQW9 FAS9 FKO9 FUK9 GEG9 GOC9 GXY9 HHU9 HRQ9 IBM9 ILI9 IVE9 JFA9 JOW9 JYS9 KIO9 KSK9 LCG9 LMC9 LVY9 MFU9 MPQ9 MZM9 NJI9 NTE9 ODA9 OMW9 OWS9 PGO9 PQK9 QAG9 QKC9 QTY9 RDU9 RNQ9 RXM9 SHI9 SRE9 TBA9 TKW9 TUS9 UEO9 UOK9 UYG9 VIC9 VRY9 WBU9 WLQ9 WVM9 E65544 JA65545 SW65545 ACS65545 AMO65545 AWK65545 BGG65545 BQC65545 BZY65545 CJU65545 CTQ65545 DDM65545 DNI65545 DXE65545 EHA65545 EQW65545 FAS65545 FKO65545 FUK65545 GEG65545 GOC65545 GXY65545 HHU65545 HRQ65545 IBM65545 ILI65545 IVE65545 JFA65545 JOW65545 JYS65545 KIO65545 KSK65545 LCG65545 LMC65545 LVY65545 MFU65545 MPQ65545 MZM65545 NJI65545 NTE65545 ODA65545 OMW65545 OWS65545 PGO65545 PQK65545 QAG65545 QKC65545 QTY65545 RDU65545 RNQ65545 RXM65545 SHI65545 SRE65545 TBA65545 TKW65545 TUS65545 UEO65545 UOK65545 UYG65545 VIC65545 VRY65545 WBU65545 WLQ65545 WVM65545 E131080 JA131081 SW131081 ACS131081 AMO131081 AWK131081 BGG131081 BQC131081 BZY131081 CJU131081 CTQ131081 DDM131081 DNI131081 DXE131081 EHA131081 EQW131081 FAS131081 FKO131081 FUK131081 GEG131081 GOC131081 GXY131081 HHU131081 HRQ131081 IBM131081 ILI131081 IVE131081 JFA131081 JOW131081 JYS131081 KIO131081 KSK131081 LCG131081 LMC131081 LVY131081 MFU131081 MPQ131081 MZM131081 NJI131081 NTE131081 ODA131081 OMW131081 OWS131081 PGO131081 PQK131081 QAG131081 QKC131081 QTY131081 RDU131081 RNQ131081 RXM131081 SHI131081 SRE131081 TBA131081 TKW131081 TUS131081 UEO131081 UOK131081 UYG131081 VIC131081 VRY131081 WBU131081 WLQ131081 WVM131081 E196616 JA196617 SW196617 ACS196617 AMO196617 AWK196617 BGG196617 BQC196617 BZY196617 CJU196617 CTQ196617 DDM196617 DNI196617 DXE196617 EHA196617 EQW196617 FAS196617 FKO196617 FUK196617 GEG196617 GOC196617 GXY196617 HHU196617 HRQ196617 IBM196617 ILI196617 IVE196617 JFA196617 JOW196617 JYS196617 KIO196617 KSK196617 LCG196617 LMC196617 LVY196617 MFU196617 MPQ196617 MZM196617 NJI196617 NTE196617 ODA196617 OMW196617 OWS196617 PGO196617 PQK196617 QAG196617 QKC196617 QTY196617 RDU196617 RNQ196617 RXM196617 SHI196617 SRE196617 TBA196617 TKW196617 TUS196617 UEO196617 UOK196617 UYG196617 VIC196617 VRY196617 WBU196617 WLQ196617 WVM196617 E262152 JA262153 SW262153 ACS262153 AMO262153 AWK262153 BGG262153 BQC262153 BZY262153 CJU262153 CTQ262153 DDM262153 DNI262153 DXE262153 EHA262153 EQW262153 FAS262153 FKO262153 FUK262153 GEG262153 GOC262153 GXY262153 HHU262153 HRQ262153 IBM262153 ILI262153 IVE262153 JFA262153 JOW262153 JYS262153 KIO262153 KSK262153 LCG262153 LMC262153 LVY262153 MFU262153 MPQ262153 MZM262153 NJI262153 NTE262153 ODA262153 OMW262153 OWS262153 PGO262153 PQK262153 QAG262153 QKC262153 QTY262153 RDU262153 RNQ262153 RXM262153 SHI262153 SRE262153 TBA262153 TKW262153 TUS262153 UEO262153 UOK262153 UYG262153 VIC262153 VRY262153 WBU262153 WLQ262153 WVM262153 E327688 JA327689 SW327689 ACS327689 AMO327689 AWK327689 BGG327689 BQC327689 BZY327689 CJU327689 CTQ327689 DDM327689 DNI327689 DXE327689 EHA327689 EQW327689 FAS327689 FKO327689 FUK327689 GEG327689 GOC327689 GXY327689 HHU327689 HRQ327689 IBM327689 ILI327689 IVE327689 JFA327689 JOW327689 JYS327689 KIO327689 KSK327689 LCG327689 LMC327689 LVY327689 MFU327689 MPQ327689 MZM327689 NJI327689 NTE327689 ODA327689 OMW327689 OWS327689 PGO327689 PQK327689 QAG327689 QKC327689 QTY327689 RDU327689 RNQ327689 RXM327689 SHI327689 SRE327689 TBA327689 TKW327689 TUS327689 UEO327689 UOK327689 UYG327689 VIC327689 VRY327689 WBU327689 WLQ327689 WVM327689 E393224 JA393225 SW393225 ACS393225 AMO393225 AWK393225 BGG393225 BQC393225 BZY393225 CJU393225 CTQ393225 DDM393225 DNI393225 DXE393225 EHA393225 EQW393225 FAS393225 FKO393225 FUK393225 GEG393225 GOC393225 GXY393225 HHU393225 HRQ393225 IBM393225 ILI393225 IVE393225 JFA393225 JOW393225 JYS393225 KIO393225 KSK393225 LCG393225 LMC393225 LVY393225 MFU393225 MPQ393225 MZM393225 NJI393225 NTE393225 ODA393225 OMW393225 OWS393225 PGO393225 PQK393225 QAG393225 QKC393225 QTY393225 RDU393225 RNQ393225 RXM393225 SHI393225 SRE393225 TBA393225 TKW393225 TUS393225 UEO393225 UOK393225 UYG393225 VIC393225 VRY393225 WBU393225 WLQ393225 WVM393225 E458760 JA458761 SW458761 ACS458761 AMO458761 AWK458761 BGG458761 BQC458761 BZY458761 CJU458761 CTQ458761 DDM458761 DNI458761 DXE458761 EHA458761 EQW458761 FAS458761 FKO458761 FUK458761 GEG458761 GOC458761 GXY458761 HHU458761 HRQ458761 IBM458761 ILI458761 IVE458761 JFA458761 JOW458761 JYS458761 KIO458761 KSK458761 LCG458761 LMC458761 LVY458761 MFU458761 MPQ458761 MZM458761 NJI458761 NTE458761 ODA458761 OMW458761 OWS458761 PGO458761 PQK458761 QAG458761 QKC458761 QTY458761 RDU458761 RNQ458761 RXM458761 SHI458761 SRE458761 TBA458761 TKW458761 TUS458761 UEO458761 UOK458761 UYG458761 VIC458761 VRY458761 WBU458761 WLQ458761 WVM458761 E524296 JA524297 SW524297 ACS524297 AMO524297 AWK524297 BGG524297 BQC524297 BZY524297 CJU524297 CTQ524297 DDM524297 DNI524297 DXE524297 EHA524297 EQW524297 FAS524297 FKO524297 FUK524297 GEG524297 GOC524297 GXY524297 HHU524297 HRQ524297 IBM524297 ILI524297 IVE524297 JFA524297 JOW524297 JYS524297 KIO524297 KSK524297 LCG524297 LMC524297 LVY524297 MFU524297 MPQ524297 MZM524297 NJI524297 NTE524297 ODA524297 OMW524297 OWS524297 PGO524297 PQK524297 QAG524297 QKC524297 QTY524297 RDU524297 RNQ524297 RXM524297 SHI524297 SRE524297 TBA524297 TKW524297 TUS524297 UEO524297 UOK524297 UYG524297 VIC524297 VRY524297 WBU524297 WLQ524297 WVM524297 E589832 JA589833 SW589833 ACS589833 AMO589833 AWK589833 BGG589833 BQC589833 BZY589833 CJU589833 CTQ589833 DDM589833 DNI589833 DXE589833 EHA589833 EQW589833 FAS589833 FKO589833 FUK589833 GEG589833 GOC589833 GXY589833 HHU589833 HRQ589833 IBM589833 ILI589833 IVE589833 JFA589833 JOW589833 JYS589833 KIO589833 KSK589833 LCG589833 LMC589833 LVY589833 MFU589833 MPQ589833 MZM589833 NJI589833 NTE589833 ODA589833 OMW589833 OWS589833 PGO589833 PQK589833 QAG589833 QKC589833 QTY589833 RDU589833 RNQ589833 RXM589833 SHI589833 SRE589833 TBA589833 TKW589833 TUS589833 UEO589833 UOK589833 UYG589833 VIC589833 VRY589833 WBU589833 WLQ589833 WVM589833 E655368 JA655369 SW655369 ACS655369 AMO655369 AWK655369 BGG655369 BQC655369 BZY655369 CJU655369 CTQ655369 DDM655369 DNI655369 DXE655369 EHA655369 EQW655369 FAS655369 FKO655369 FUK655369 GEG655369 GOC655369 GXY655369 HHU655369 HRQ655369 IBM655369 ILI655369 IVE655369 JFA655369 JOW655369 JYS655369 KIO655369 KSK655369 LCG655369 LMC655369 LVY655369 MFU655369 MPQ655369 MZM655369 NJI655369 NTE655369 ODA655369 OMW655369 OWS655369 PGO655369 PQK655369 QAG655369 QKC655369 QTY655369 RDU655369 RNQ655369 RXM655369 SHI655369 SRE655369 TBA655369 TKW655369 TUS655369 UEO655369 UOK655369 UYG655369 VIC655369 VRY655369 WBU655369 WLQ655369 WVM655369 E720904 JA720905 SW720905 ACS720905 AMO720905 AWK720905 BGG720905 BQC720905 BZY720905 CJU720905 CTQ720905 DDM720905 DNI720905 DXE720905 EHA720905 EQW720905 FAS720905 FKO720905 FUK720905 GEG720905 GOC720905 GXY720905 HHU720905 HRQ720905 IBM720905 ILI720905 IVE720905 JFA720905 JOW720905 JYS720905 KIO720905 KSK720905 LCG720905 LMC720905 LVY720905 MFU720905 MPQ720905 MZM720905 NJI720905 NTE720905 ODA720905 OMW720905 OWS720905 PGO720905 PQK720905 QAG720905 QKC720905 QTY720905 RDU720905 RNQ720905 RXM720905 SHI720905 SRE720905 TBA720905 TKW720905 TUS720905 UEO720905 UOK720905 UYG720905 VIC720905 VRY720905 WBU720905 WLQ720905 WVM720905 E786440 JA786441 SW786441 ACS786441 AMO786441 AWK786441 BGG786441 BQC786441 BZY786441 CJU786441 CTQ786441 DDM786441 DNI786441 DXE786441 EHA786441 EQW786441 FAS786441 FKO786441 FUK786441 GEG786441 GOC786441 GXY786441 HHU786441 HRQ786441 IBM786441 ILI786441 IVE786441 JFA786441 JOW786441 JYS786441 KIO786441 KSK786441 LCG786441 LMC786441 LVY786441 MFU786441 MPQ786441 MZM786441 NJI786441 NTE786441 ODA786441 OMW786441 OWS786441 PGO786441 PQK786441 QAG786441 QKC786441 QTY786441 RDU786441 RNQ786441 RXM786441 SHI786441 SRE786441 TBA786441 TKW786441 TUS786441 UEO786441 UOK786441 UYG786441 VIC786441 VRY786441 WBU786441 WLQ786441 WVM786441 E851976 JA851977 SW851977 ACS851977 AMO851977 AWK851977 BGG851977 BQC851977 BZY851977 CJU851977 CTQ851977 DDM851977 DNI851977 DXE851977 EHA851977 EQW851977 FAS851977 FKO851977 FUK851977 GEG851977 GOC851977 GXY851977 HHU851977 HRQ851977 IBM851977 ILI851977 IVE851977 JFA851977 JOW851977 JYS851977 KIO851977 KSK851977 LCG851977 LMC851977 LVY851977 MFU851977 MPQ851977 MZM851977 NJI851977 NTE851977 ODA851977 OMW851977 OWS851977 PGO851977 PQK851977 QAG851977 QKC851977 QTY851977 RDU851977 RNQ851977 RXM851977 SHI851977 SRE851977 TBA851977 TKW851977 TUS851977 UEO851977 UOK851977 UYG851977 VIC851977 VRY851977 WBU851977 WLQ851977 WVM851977 E917512 JA917513 SW917513 ACS917513 AMO917513 AWK917513 BGG917513 BQC917513 BZY917513 CJU917513 CTQ917513 DDM917513 DNI917513 DXE917513 EHA917513 EQW917513 FAS917513 FKO917513 FUK917513 GEG917513 GOC917513 GXY917513 HHU917513 HRQ917513 IBM917513 ILI917513 IVE917513 JFA917513 JOW917513 JYS917513 KIO917513 KSK917513 LCG917513 LMC917513 LVY917513 MFU917513 MPQ917513 MZM917513 NJI917513 NTE917513 ODA917513 OMW917513 OWS917513 PGO917513 PQK917513 QAG917513 QKC917513 QTY917513 RDU917513 RNQ917513 RXM917513 SHI917513 SRE917513 TBA917513 TKW917513 TUS917513 UEO917513 UOK917513 UYG917513 VIC917513 VRY917513 WBU917513 WLQ917513 WVM917513 E983048 JA983049 SW983049 ACS983049 AMO983049 AWK983049 BGG983049 BQC983049 BZY983049 CJU983049 CTQ983049 DDM983049 DNI983049 DXE983049 EHA983049 EQW983049 FAS983049 FKO983049 FUK983049 GEG983049 GOC983049 GXY983049 HHU983049 HRQ983049 IBM983049 ILI983049 IVE983049 JFA983049 JOW983049 JYS983049 KIO983049 KSK983049 LCG983049 LMC983049 LVY983049 MFU983049 MPQ983049 MZM983049 NJI983049 NTE983049 ODA983049 OMW983049 OWS983049 PGO983049 PQK983049 QAG983049 QKC983049 QTY983049 RDU983049 RNQ983049 RXM983049 SHI983049 SRE983049 TBA983049 TKW983049 TUS983049 UEO983049 UOK983049 UYG983049 VIC983049 VRY983049 WBU983049 WLQ983049 WVM983049">
      <formula1>$K$122:$K$124</formula1>
    </dataValidation>
  </dataValidations>
  <hyperlinks>
    <hyperlink ref="B132" r:id="rId1"/>
  </hyperlinks>
  <pageMargins left="0.75" right="0.75" top="1" bottom="1" header="0.5" footer="0.5"/>
  <pageSetup scale="71" fitToHeight="6" orientation="portrait" r:id="rId2"/>
  <headerFooter alignWithMargins="0">
    <oddFooter>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CCFF"/>
  </sheetPr>
  <dimension ref="B2:W129"/>
  <sheetViews>
    <sheetView showGridLines="0" zoomScale="90" zoomScaleNormal="90" zoomScaleSheetLayoutView="100" workbookViewId="0"/>
  </sheetViews>
  <sheetFormatPr defaultRowHeight="15"/>
  <cols>
    <col min="1" max="1" width="9.140625" style="815"/>
    <col min="2" max="2" width="32.42578125" style="1324" customWidth="1"/>
    <col min="3" max="4" width="37.28515625" style="1324" customWidth="1"/>
    <col min="5" max="5" width="12.7109375" style="1324" customWidth="1"/>
    <col min="6" max="8" width="25.42578125" style="1324" hidden="1" customWidth="1"/>
    <col min="9" max="11" width="25.42578125" style="1324" customWidth="1"/>
    <col min="12" max="13" width="25.42578125" style="1324" hidden="1" customWidth="1"/>
    <col min="14" max="22" width="25.42578125" style="1324" customWidth="1"/>
    <col min="23" max="16384" width="9.140625" style="815"/>
  </cols>
  <sheetData>
    <row r="2" spans="2:22">
      <c r="B2" s="1088" t="s">
        <v>2101</v>
      </c>
      <c r="C2" s="790"/>
      <c r="D2" s="790"/>
    </row>
    <row r="3" spans="2:22" ht="28.5" customHeight="1">
      <c r="B3" s="2648" t="s">
        <v>789</v>
      </c>
      <c r="C3" s="1090" t="s">
        <v>790</v>
      </c>
      <c r="D3" s="799"/>
      <c r="E3" s="799"/>
      <c r="F3" s="1092" t="s">
        <v>790</v>
      </c>
      <c r="G3" s="1093"/>
      <c r="H3" s="1093"/>
      <c r="I3" s="1093"/>
      <c r="J3" s="1093"/>
      <c r="K3" s="1093"/>
      <c r="L3" s="1093"/>
      <c r="M3" s="1487"/>
      <c r="N3" s="799"/>
      <c r="O3" s="799"/>
      <c r="P3" s="799"/>
      <c r="Q3" s="799"/>
      <c r="R3" s="799"/>
      <c r="S3" s="799"/>
      <c r="T3" s="799"/>
      <c r="U3" s="799"/>
      <c r="V3" s="799"/>
    </row>
    <row r="4" spans="2:22">
      <c r="B4" s="2649"/>
      <c r="C4" s="1094" t="str">
        <f>IF('Project Info'!C7="","&lt;select climate zone on 'Project Info' tab&gt;","Climate Zone "&amp;'Project Info'!C7)</f>
        <v>Climate Zone 5</v>
      </c>
      <c r="D4" s="1485"/>
      <c r="E4" s="1485"/>
      <c r="F4" s="1096" t="s">
        <v>851</v>
      </c>
      <c r="G4" s="1096" t="s">
        <v>852</v>
      </c>
      <c r="H4" s="1096" t="s">
        <v>853</v>
      </c>
      <c r="I4" s="1096" t="s">
        <v>504</v>
      </c>
      <c r="J4" s="1096" t="s">
        <v>505</v>
      </c>
      <c r="K4" s="1096" t="s">
        <v>506</v>
      </c>
      <c r="L4" s="1096" t="s">
        <v>854</v>
      </c>
      <c r="M4" s="1096" t="s">
        <v>855</v>
      </c>
      <c r="N4" s="799"/>
      <c r="O4" s="799"/>
      <c r="P4" s="799"/>
      <c r="Q4" s="799"/>
      <c r="R4" s="799"/>
      <c r="S4" s="799"/>
      <c r="T4" s="799"/>
      <c r="U4" s="799"/>
      <c r="V4" s="799"/>
    </row>
    <row r="5" spans="2:22" ht="22.5">
      <c r="B5" s="1486" t="s">
        <v>791</v>
      </c>
      <c r="C5" s="1098" t="str">
        <f>HLOOKUP($C$4,$F$4:$M$37,2,FALSE)</f>
        <v xml:space="preserve">ENERGY STAR certified </v>
      </c>
      <c r="D5" s="1485"/>
      <c r="E5" s="1485"/>
      <c r="F5" s="1484" t="s">
        <v>2097</v>
      </c>
      <c r="G5" s="1484" t="s">
        <v>2097</v>
      </c>
      <c r="H5" s="1484" t="s">
        <v>2097</v>
      </c>
      <c r="I5" s="1484" t="s">
        <v>2097</v>
      </c>
      <c r="J5" s="1484" t="s">
        <v>2097</v>
      </c>
      <c r="K5" s="1484" t="s">
        <v>2097</v>
      </c>
      <c r="L5" s="1484" t="s">
        <v>2097</v>
      </c>
      <c r="M5" s="1484" t="s">
        <v>2097</v>
      </c>
      <c r="N5" s="799"/>
      <c r="O5" s="799"/>
      <c r="P5" s="799"/>
      <c r="Q5" s="799"/>
      <c r="R5" s="799"/>
      <c r="S5" s="799"/>
      <c r="T5" s="799"/>
      <c r="U5" s="799"/>
      <c r="V5" s="799"/>
    </row>
    <row r="6" spans="2:22" ht="27.75" customHeight="1">
      <c r="B6" s="1483" t="s">
        <v>793</v>
      </c>
      <c r="C6" s="1100" t="str">
        <f>HLOOKUP($C$4,$F$4:$M$37,3,FALSE)</f>
        <v xml:space="preserve">ENERGY STAR certified </v>
      </c>
      <c r="D6" s="799"/>
      <c r="E6" s="799"/>
      <c r="F6" s="1102" t="s">
        <v>2099</v>
      </c>
      <c r="G6" s="1102" t="s">
        <v>2099</v>
      </c>
      <c r="H6" s="1102" t="s">
        <v>2099</v>
      </c>
      <c r="I6" s="1484" t="s">
        <v>2097</v>
      </c>
      <c r="J6" s="1484" t="s">
        <v>2097</v>
      </c>
      <c r="K6" s="1484" t="s">
        <v>2097</v>
      </c>
      <c r="L6" s="1102" t="s">
        <v>2099</v>
      </c>
      <c r="M6" s="1102" t="s">
        <v>2099</v>
      </c>
      <c r="N6" s="799"/>
      <c r="O6" s="799"/>
      <c r="P6" s="799"/>
      <c r="Q6" s="799"/>
      <c r="R6" s="799"/>
      <c r="S6" s="799"/>
      <c r="T6" s="799"/>
      <c r="U6" s="799"/>
      <c r="V6" s="799"/>
    </row>
    <row r="7" spans="2:22" ht="39" customHeight="1">
      <c r="B7" s="1483" t="s">
        <v>794</v>
      </c>
      <c r="C7" s="1100" t="str">
        <f>HLOOKUP($C$4,$F$4:$M$37,4,FALSE)</f>
        <v xml:space="preserve">ENERGY STAR certified </v>
      </c>
      <c r="D7" s="799"/>
      <c r="E7" s="799"/>
      <c r="F7" s="1394" t="s">
        <v>2100</v>
      </c>
      <c r="G7" s="1394" t="s">
        <v>2100</v>
      </c>
      <c r="H7" s="1394" t="s">
        <v>2097</v>
      </c>
      <c r="I7" s="1484" t="s">
        <v>2097</v>
      </c>
      <c r="J7" s="1484" t="s">
        <v>2097</v>
      </c>
      <c r="K7" s="1484" t="s">
        <v>2097</v>
      </c>
      <c r="L7" s="1102" t="s">
        <v>2099</v>
      </c>
      <c r="M7" s="1102" t="s">
        <v>2099</v>
      </c>
      <c r="N7" s="799"/>
      <c r="O7" s="799"/>
      <c r="P7" s="799"/>
      <c r="Q7" s="799"/>
      <c r="R7" s="799"/>
      <c r="S7" s="799"/>
      <c r="T7" s="799"/>
      <c r="U7" s="799"/>
      <c r="V7" s="799"/>
    </row>
    <row r="8" spans="2:22">
      <c r="B8" s="1483" t="s">
        <v>795</v>
      </c>
      <c r="C8" s="1100" t="str">
        <f>HLOOKUP($C$4,$F$4:$M$37,5,FALSE)</f>
        <v>11.5 EER/12.0 IEER</v>
      </c>
      <c r="D8" s="799"/>
      <c r="E8" s="799"/>
      <c r="F8" s="1394" t="s">
        <v>305</v>
      </c>
      <c r="G8" s="1394" t="s">
        <v>305</v>
      </c>
      <c r="H8" s="1394" t="s">
        <v>305</v>
      </c>
      <c r="I8" s="1394" t="s">
        <v>305</v>
      </c>
      <c r="J8" s="1394" t="s">
        <v>305</v>
      </c>
      <c r="K8" s="1394" t="s">
        <v>305</v>
      </c>
      <c r="L8" s="1394" t="s">
        <v>305</v>
      </c>
      <c r="M8" s="1394" t="s">
        <v>305</v>
      </c>
      <c r="N8" s="799"/>
      <c r="O8" s="799"/>
      <c r="P8" s="799"/>
      <c r="Q8" s="799"/>
      <c r="R8" s="799"/>
      <c r="S8" s="799"/>
      <c r="T8" s="799"/>
      <c r="U8" s="799"/>
      <c r="V8" s="799"/>
    </row>
    <row r="9" spans="2:22" ht="30" customHeight="1">
      <c r="B9" s="1483" t="s">
        <v>796</v>
      </c>
      <c r="C9" s="1100" t="str">
        <f>HLOOKUP($C$4,$F$4:$M$37,6,FALSE)</f>
        <v>10.0 EER/10.5 IEER</v>
      </c>
      <c r="D9" s="799"/>
      <c r="E9" s="799"/>
      <c r="F9" s="1394" t="s">
        <v>306</v>
      </c>
      <c r="G9" s="1394" t="s">
        <v>306</v>
      </c>
      <c r="H9" s="1394" t="s">
        <v>306</v>
      </c>
      <c r="I9" s="1394" t="s">
        <v>306</v>
      </c>
      <c r="J9" s="1394" t="s">
        <v>306</v>
      </c>
      <c r="K9" s="1394" t="s">
        <v>306</v>
      </c>
      <c r="L9" s="1394" t="s">
        <v>306</v>
      </c>
      <c r="M9" s="1394" t="s">
        <v>306</v>
      </c>
      <c r="N9" s="799"/>
      <c r="O9" s="799"/>
      <c r="P9" s="799"/>
      <c r="Q9" s="799"/>
      <c r="R9" s="799"/>
      <c r="S9" s="799"/>
      <c r="T9" s="799"/>
      <c r="U9" s="799"/>
      <c r="V9" s="799"/>
    </row>
    <row r="10" spans="2:22" ht="25.5">
      <c r="B10" s="1483" t="s">
        <v>797</v>
      </c>
      <c r="C10" s="1100" t="str">
        <f>HLOOKUP($C$4,$F$4:$M$37,7,FALSE)</f>
        <v xml:space="preserve">Not permitted in any space using this approach </v>
      </c>
      <c r="D10" s="799"/>
      <c r="E10" s="799"/>
      <c r="F10" s="1394" t="s">
        <v>2098</v>
      </c>
      <c r="G10" s="1102" t="s">
        <v>798</v>
      </c>
      <c r="H10" s="1102" t="s">
        <v>798</v>
      </c>
      <c r="I10" s="1102" t="s">
        <v>798</v>
      </c>
      <c r="J10" s="1102" t="s">
        <v>798</v>
      </c>
      <c r="K10" s="1102" t="s">
        <v>798</v>
      </c>
      <c r="L10" s="1102" t="s">
        <v>798</v>
      </c>
      <c r="M10" s="1102" t="s">
        <v>798</v>
      </c>
      <c r="N10" s="799"/>
      <c r="O10" s="799"/>
      <c r="P10" s="799"/>
      <c r="Q10" s="799"/>
      <c r="R10" s="799"/>
      <c r="S10" s="799"/>
      <c r="T10" s="799"/>
      <c r="U10" s="799"/>
      <c r="V10" s="799"/>
    </row>
    <row r="11" spans="2:22" ht="22.5">
      <c r="B11" s="1483" t="s">
        <v>799</v>
      </c>
      <c r="C11" s="1100" t="str">
        <f>HLOOKUP($C$4,$F$4:$M$37,8,FALSE)</f>
        <v xml:space="preserve">ENERGY STAR certified </v>
      </c>
      <c r="D11" s="799"/>
      <c r="E11" s="799"/>
      <c r="F11" s="1394" t="s">
        <v>2096</v>
      </c>
      <c r="G11" s="1394" t="s">
        <v>2096</v>
      </c>
      <c r="H11" s="1394" t="s">
        <v>2096</v>
      </c>
      <c r="I11" s="1484" t="s">
        <v>2097</v>
      </c>
      <c r="J11" s="1484" t="s">
        <v>2097</v>
      </c>
      <c r="K11" s="1484" t="s">
        <v>2097</v>
      </c>
      <c r="L11" s="1394" t="s">
        <v>2096</v>
      </c>
      <c r="M11" s="1394" t="s">
        <v>2096</v>
      </c>
      <c r="N11" s="799"/>
      <c r="O11" s="799"/>
      <c r="P11" s="799"/>
      <c r="Q11" s="799"/>
      <c r="R11" s="799"/>
      <c r="S11" s="799"/>
      <c r="T11" s="799"/>
      <c r="U11" s="799"/>
      <c r="V11" s="799"/>
    </row>
    <row r="12" spans="2:22" ht="25.5">
      <c r="B12" s="1483" t="s">
        <v>800</v>
      </c>
      <c r="C12" s="1100" t="str">
        <f>HLOOKUP($C$4,$F$4:$M$37,9,FALSE)</f>
        <v>80% Et (gas)    or 81% Et (oil)</v>
      </c>
      <c r="D12" s="799"/>
      <c r="E12" s="799"/>
      <c r="F12" s="1394" t="s">
        <v>801</v>
      </c>
      <c r="G12" s="1394" t="s">
        <v>801</v>
      </c>
      <c r="H12" s="1394" t="s">
        <v>801</v>
      </c>
      <c r="I12" s="1394" t="s">
        <v>801</v>
      </c>
      <c r="J12" s="1394" t="s">
        <v>801</v>
      </c>
      <c r="K12" s="1394" t="s">
        <v>801</v>
      </c>
      <c r="L12" s="1394" t="s">
        <v>801</v>
      </c>
      <c r="M12" s="1394" t="s">
        <v>801</v>
      </c>
      <c r="N12" s="799"/>
      <c r="O12" s="799"/>
      <c r="P12" s="799"/>
      <c r="Q12" s="799"/>
      <c r="R12" s="799"/>
      <c r="S12" s="799"/>
      <c r="T12" s="799"/>
      <c r="U12" s="799"/>
      <c r="V12" s="799"/>
    </row>
    <row r="13" spans="2:22" ht="27.75" customHeight="1">
      <c r="B13" s="1483" t="s">
        <v>802</v>
      </c>
      <c r="C13" s="1100" t="str">
        <f>HLOOKUP($C$4,$F$4:$M$37,10,FALSE)</f>
        <v>13.8 – (0.300 X Cap/1000) EER</v>
      </c>
      <c r="D13" s="799"/>
      <c r="E13" s="799"/>
      <c r="F13" s="1394" t="s">
        <v>803</v>
      </c>
      <c r="G13" s="1394" t="s">
        <v>803</v>
      </c>
      <c r="H13" s="1394" t="s">
        <v>803</v>
      </c>
      <c r="I13" s="1394" t="s">
        <v>803</v>
      </c>
      <c r="J13" s="1394" t="s">
        <v>803</v>
      </c>
      <c r="K13" s="1394" t="s">
        <v>803</v>
      </c>
      <c r="L13" s="1394" t="s">
        <v>803</v>
      </c>
      <c r="M13" s="1394" t="s">
        <v>803</v>
      </c>
      <c r="N13" s="799"/>
      <c r="O13" s="799"/>
      <c r="P13" s="799"/>
      <c r="Q13" s="799"/>
      <c r="R13" s="799"/>
      <c r="S13" s="799"/>
      <c r="T13" s="799"/>
      <c r="U13" s="799"/>
      <c r="V13" s="799"/>
    </row>
    <row r="14" spans="2:22" ht="51">
      <c r="B14" s="1483" t="s">
        <v>804</v>
      </c>
      <c r="C14" s="1100" t="str">
        <f>HLOOKUP($C$4,$F$4:$M$37,11,FALSE)</f>
        <v>Cooling: 14.0– (0.3 X Cap/1000) EER        Heating:  3.7– (0.052 X Cap/1000) COP</v>
      </c>
      <c r="D14" s="799"/>
      <c r="E14" s="799"/>
      <c r="F14" s="1394" t="s">
        <v>805</v>
      </c>
      <c r="G14" s="1394" t="s">
        <v>805</v>
      </c>
      <c r="H14" s="1394" t="s">
        <v>805</v>
      </c>
      <c r="I14" s="1394" t="s">
        <v>805</v>
      </c>
      <c r="J14" s="1394" t="s">
        <v>805</v>
      </c>
      <c r="K14" s="1394" t="s">
        <v>805</v>
      </c>
      <c r="L14" s="1394" t="s">
        <v>805</v>
      </c>
      <c r="M14" s="1394" t="s">
        <v>805</v>
      </c>
      <c r="N14" s="799"/>
      <c r="O14" s="799"/>
      <c r="P14" s="799"/>
      <c r="Q14" s="799"/>
      <c r="R14" s="799"/>
      <c r="S14" s="799"/>
      <c r="T14" s="799"/>
      <c r="U14" s="799"/>
      <c r="V14" s="799"/>
    </row>
    <row r="15" spans="2:22" ht="25.5">
      <c r="B15" s="1483" t="s">
        <v>313</v>
      </c>
      <c r="C15" s="1100" t="str">
        <f>HLOOKUP($C$4,$F$4:$M$37,12,FALSE)</f>
        <v xml:space="preserve">ENERGY STAR certified
9.25HSPF </v>
      </c>
      <c r="D15" s="799"/>
      <c r="E15" s="799"/>
      <c r="F15" s="1394" t="s">
        <v>2095</v>
      </c>
      <c r="G15" s="1394" t="s">
        <v>2095</v>
      </c>
      <c r="H15" s="1394" t="s">
        <v>2094</v>
      </c>
      <c r="I15" s="1394" t="s">
        <v>2093</v>
      </c>
      <c r="J15" s="1394" t="s">
        <v>2092</v>
      </c>
      <c r="K15" s="1394" t="s">
        <v>2091</v>
      </c>
      <c r="L15" s="1394" t="s">
        <v>2090</v>
      </c>
      <c r="M15" s="1394" t="s">
        <v>2090</v>
      </c>
      <c r="N15" s="799"/>
      <c r="O15" s="799"/>
      <c r="P15" s="799"/>
      <c r="Q15" s="799"/>
      <c r="R15" s="799"/>
      <c r="S15" s="799"/>
      <c r="T15" s="799"/>
      <c r="U15" s="799"/>
      <c r="V15" s="799"/>
    </row>
    <row r="16" spans="2:22" ht="45" customHeight="1">
      <c r="B16" s="1483" t="s">
        <v>809</v>
      </c>
      <c r="C16" s="1100" t="str">
        <f>HLOOKUP($C$4,$F$4:$M$37,13,FALSE)</f>
        <v>Cooling: 11.1 EER/11.6 IEER                     Heating: 3.3 COP (@47°F DB)</v>
      </c>
      <c r="D16" s="799"/>
      <c r="E16" s="799"/>
      <c r="F16" s="1394" t="s">
        <v>810</v>
      </c>
      <c r="G16" s="1394" t="s">
        <v>810</v>
      </c>
      <c r="H16" s="1394" t="s">
        <v>810</v>
      </c>
      <c r="I16" s="1394" t="s">
        <v>810</v>
      </c>
      <c r="J16" s="1394" t="s">
        <v>810</v>
      </c>
      <c r="K16" s="1394" t="s">
        <v>810</v>
      </c>
      <c r="L16" s="1394" t="s">
        <v>810</v>
      </c>
      <c r="M16" s="1394" t="s">
        <v>810</v>
      </c>
      <c r="N16" s="799"/>
      <c r="O16" s="799"/>
      <c r="P16" s="799"/>
      <c r="Q16" s="799"/>
      <c r="R16" s="799"/>
      <c r="S16" s="799"/>
      <c r="T16" s="799"/>
      <c r="U16" s="799"/>
      <c r="V16" s="799"/>
    </row>
    <row r="17" spans="2:22" ht="38.25">
      <c r="B17" s="1483" t="s">
        <v>314</v>
      </c>
      <c r="C17" s="1100" t="str">
        <f>HLOOKUP($C$4,$F$4:$M$37,14,FALSE)</f>
        <v>Cooling:   9.6 EER/9.6 IEER                      Heating: 3.2 COP (@47°F DB)</v>
      </c>
      <c r="D17" s="799"/>
      <c r="E17" s="799"/>
      <c r="F17" s="1394" t="s">
        <v>811</v>
      </c>
      <c r="G17" s="1394" t="s">
        <v>811</v>
      </c>
      <c r="H17" s="1394" t="s">
        <v>811</v>
      </c>
      <c r="I17" s="1394" t="s">
        <v>811</v>
      </c>
      <c r="J17" s="1394" t="s">
        <v>811</v>
      </c>
      <c r="K17" s="1394" t="s">
        <v>811</v>
      </c>
      <c r="L17" s="1394" t="s">
        <v>811</v>
      </c>
      <c r="M17" s="1394" t="s">
        <v>811</v>
      </c>
      <c r="N17" s="799"/>
      <c r="O17" s="799"/>
      <c r="P17" s="799"/>
      <c r="Q17" s="799"/>
      <c r="R17" s="799"/>
      <c r="S17" s="799"/>
      <c r="T17" s="799"/>
      <c r="U17" s="799"/>
      <c r="V17" s="799"/>
    </row>
    <row r="18" spans="2:22" ht="38.25">
      <c r="B18" s="1483" t="s">
        <v>812</v>
      </c>
      <c r="C18" s="1100" t="str">
        <f>HLOOKUP($C$4,$F$4:$M$37,15,FALSE)</f>
        <v>Cooling: 14.0 EER(86°F entering water) Heating: 4.2 COP(68°F entering water)</v>
      </c>
      <c r="D18" s="799"/>
      <c r="E18" s="799"/>
      <c r="F18" s="1102" t="s">
        <v>813</v>
      </c>
      <c r="G18" s="1102" t="s">
        <v>813</v>
      </c>
      <c r="H18" s="1102" t="s">
        <v>813</v>
      </c>
      <c r="I18" s="1102" t="s">
        <v>813</v>
      </c>
      <c r="J18" s="1102" t="s">
        <v>813</v>
      </c>
      <c r="K18" s="1102" t="s">
        <v>813</v>
      </c>
      <c r="L18" s="1102" t="s">
        <v>813</v>
      </c>
      <c r="M18" s="1102" t="s">
        <v>813</v>
      </c>
      <c r="N18" s="799"/>
      <c r="O18" s="799"/>
      <c r="P18" s="799"/>
      <c r="Q18" s="799"/>
      <c r="R18" s="799"/>
      <c r="S18" s="799"/>
      <c r="T18" s="799"/>
      <c r="U18" s="799"/>
      <c r="V18" s="799"/>
    </row>
    <row r="19" spans="2:22">
      <c r="B19" s="1483" t="s">
        <v>319</v>
      </c>
      <c r="C19" s="1100" t="str">
        <f>HLOOKUP($C$4,$F$4:$M$37,16,FALSE)</f>
        <v>ENERGY STAR certified</v>
      </c>
      <c r="D19" s="799"/>
      <c r="E19" s="799"/>
      <c r="F19" s="1102" t="s">
        <v>2089</v>
      </c>
      <c r="G19" s="1102" t="s">
        <v>2089</v>
      </c>
      <c r="H19" s="1102" t="s">
        <v>2089</v>
      </c>
      <c r="I19" s="1394" t="s">
        <v>2088</v>
      </c>
      <c r="J19" s="1394" t="s">
        <v>2088</v>
      </c>
      <c r="K19" s="1394" t="s">
        <v>814</v>
      </c>
      <c r="L19" s="1394" t="s">
        <v>814</v>
      </c>
      <c r="M19" s="1394" t="s">
        <v>814</v>
      </c>
      <c r="N19" s="799"/>
      <c r="O19" s="799"/>
      <c r="P19" s="799"/>
      <c r="Q19" s="799"/>
      <c r="R19" s="799"/>
      <c r="S19" s="799"/>
      <c r="T19" s="799"/>
      <c r="U19" s="799"/>
      <c r="V19" s="799"/>
    </row>
    <row r="20" spans="2:22" ht="38.25">
      <c r="B20" s="1483" t="s">
        <v>815</v>
      </c>
      <c r="C20" s="1100" t="str">
        <f>HLOOKUP($C$4,$F$4:$M$37,17,FALSE)</f>
        <v>86% Et  (89% Et if using heat pumps)</v>
      </c>
      <c r="D20" s="799"/>
      <c r="E20" s="799"/>
      <c r="F20" s="1394" t="s">
        <v>2087</v>
      </c>
      <c r="G20" s="1394" t="s">
        <v>2087</v>
      </c>
      <c r="H20" s="1394" t="s">
        <v>2087</v>
      </c>
      <c r="I20" s="1102" t="s">
        <v>816</v>
      </c>
      <c r="J20" s="1102" t="s">
        <v>816</v>
      </c>
      <c r="K20" s="1102" t="s">
        <v>816</v>
      </c>
      <c r="L20" s="1394" t="s">
        <v>2087</v>
      </c>
      <c r="M20" s="1394" t="s">
        <v>2087</v>
      </c>
      <c r="N20" s="799"/>
      <c r="O20" s="799"/>
      <c r="P20" s="799"/>
      <c r="Q20" s="799"/>
      <c r="R20" s="799"/>
      <c r="S20" s="799"/>
      <c r="T20" s="799"/>
      <c r="U20" s="799"/>
      <c r="V20" s="799"/>
    </row>
    <row r="21" spans="2:22" ht="45" customHeight="1">
      <c r="B21" s="1483" t="s">
        <v>321</v>
      </c>
      <c r="C21" s="1100" t="str">
        <f>HLOOKUP($C$4,$F$4:$M$37,18,FALSE)</f>
        <v>See Tables 6.8.1I and 6.8.1J of ASHRAE 90.1-2010</v>
      </c>
      <c r="D21" s="799"/>
      <c r="E21" s="799"/>
      <c r="F21" s="1394" t="s">
        <v>817</v>
      </c>
      <c r="G21" s="1394" t="s">
        <v>817</v>
      </c>
      <c r="H21" s="1394" t="s">
        <v>817</v>
      </c>
      <c r="I21" s="1394" t="s">
        <v>817</v>
      </c>
      <c r="J21" s="1394" t="s">
        <v>817</v>
      </c>
      <c r="K21" s="1394" t="s">
        <v>817</v>
      </c>
      <c r="L21" s="1394" t="s">
        <v>817</v>
      </c>
      <c r="M21" s="1394" t="s">
        <v>817</v>
      </c>
      <c r="N21" s="799"/>
      <c r="O21" s="799"/>
      <c r="P21" s="799"/>
      <c r="Q21" s="799"/>
      <c r="R21" s="799"/>
      <c r="S21" s="799"/>
      <c r="T21" s="799"/>
      <c r="U21" s="799"/>
      <c r="V21" s="799"/>
    </row>
    <row r="22" spans="2:22" ht="22.5">
      <c r="B22" s="1483" t="s">
        <v>818</v>
      </c>
      <c r="C22" s="1100" t="str">
        <f>HLOOKUP($C$4,$F$4:$M$37,19,FALSE)</f>
        <v xml:space="preserve">10.0 EER / 12.5 IPLV </v>
      </c>
      <c r="D22" s="799"/>
      <c r="E22" s="799"/>
      <c r="F22" s="1102" t="s">
        <v>819</v>
      </c>
      <c r="G22" s="1102" t="s">
        <v>819</v>
      </c>
      <c r="H22" s="1102" t="s">
        <v>819</v>
      </c>
      <c r="I22" s="1102" t="s">
        <v>819</v>
      </c>
      <c r="J22" s="1102" t="s">
        <v>819</v>
      </c>
      <c r="K22" s="1102" t="s">
        <v>819</v>
      </c>
      <c r="L22" s="1102" t="s">
        <v>819</v>
      </c>
      <c r="M22" s="1102" t="s">
        <v>819</v>
      </c>
      <c r="N22" s="799"/>
      <c r="O22" s="799"/>
      <c r="P22" s="799"/>
      <c r="Q22" s="799"/>
      <c r="R22" s="799"/>
      <c r="S22" s="799"/>
      <c r="T22" s="799"/>
      <c r="U22" s="799"/>
      <c r="V22" s="799"/>
    </row>
    <row r="23" spans="2:22" ht="25.5">
      <c r="B23" s="1483" t="s">
        <v>820</v>
      </c>
      <c r="C23" s="1100" t="str">
        <f>HLOOKUP($C$4,$F$4:$M$37,20,FALSE)</f>
        <v xml:space="preserve">0.780 kW/ton (Full load) /  0.630 kW/ton (IPLV) </v>
      </c>
      <c r="D23" s="799"/>
      <c r="E23" s="799"/>
      <c r="F23" s="1394" t="s">
        <v>821</v>
      </c>
      <c r="G23" s="1394" t="s">
        <v>821</v>
      </c>
      <c r="H23" s="1394" t="s">
        <v>821</v>
      </c>
      <c r="I23" s="1394" t="s">
        <v>821</v>
      </c>
      <c r="J23" s="1394" t="s">
        <v>821</v>
      </c>
      <c r="K23" s="1394" t="s">
        <v>821</v>
      </c>
      <c r="L23" s="1394" t="s">
        <v>821</v>
      </c>
      <c r="M23" s="1394" t="s">
        <v>821</v>
      </c>
      <c r="N23" s="799"/>
      <c r="O23" s="799"/>
      <c r="P23" s="799"/>
      <c r="Q23" s="799"/>
      <c r="R23" s="799"/>
      <c r="S23" s="799"/>
      <c r="T23" s="799"/>
      <c r="U23" s="799"/>
      <c r="V23" s="799"/>
    </row>
    <row r="24" spans="2:22" ht="25.5">
      <c r="B24" s="1483" t="s">
        <v>822</v>
      </c>
      <c r="C24" s="1100" t="str">
        <f>HLOOKUP($C$4,$F$4:$M$37,21,FALSE)</f>
        <v xml:space="preserve">0.775 kW/ton (Full load) /  0.615 kW/ton (IPLV) </v>
      </c>
      <c r="D24" s="799"/>
      <c r="E24" s="799"/>
      <c r="F24" s="1394" t="s">
        <v>823</v>
      </c>
      <c r="G24" s="1394" t="s">
        <v>823</v>
      </c>
      <c r="H24" s="1394" t="s">
        <v>823</v>
      </c>
      <c r="I24" s="1394" t="s">
        <v>823</v>
      </c>
      <c r="J24" s="1394" t="s">
        <v>823</v>
      </c>
      <c r="K24" s="1394" t="s">
        <v>823</v>
      </c>
      <c r="L24" s="1394" t="s">
        <v>823</v>
      </c>
      <c r="M24" s="1394" t="s">
        <v>823</v>
      </c>
      <c r="N24" s="799"/>
      <c r="O24" s="799"/>
      <c r="P24" s="799"/>
      <c r="Q24" s="799"/>
      <c r="R24" s="799"/>
      <c r="S24" s="799"/>
      <c r="T24" s="799"/>
      <c r="U24" s="799"/>
      <c r="V24" s="799"/>
    </row>
    <row r="25" spans="2:22" ht="25.5">
      <c r="B25" s="1483" t="s">
        <v>824</v>
      </c>
      <c r="C25" s="1100" t="str">
        <f>HLOOKUP($C$4,$F$4:$M$37,22,FALSE)</f>
        <v xml:space="preserve">0.680 kW/ton (Full load) /  0.580 kW/ton (IPLV) </v>
      </c>
      <c r="D25" s="799"/>
      <c r="E25" s="799"/>
      <c r="F25" s="1102" t="s">
        <v>825</v>
      </c>
      <c r="G25" s="1102" t="s">
        <v>825</v>
      </c>
      <c r="H25" s="1102" t="s">
        <v>825</v>
      </c>
      <c r="I25" s="1102" t="s">
        <v>825</v>
      </c>
      <c r="J25" s="1102" t="s">
        <v>825</v>
      </c>
      <c r="K25" s="1102" t="s">
        <v>825</v>
      </c>
      <c r="L25" s="1102" t="s">
        <v>825</v>
      </c>
      <c r="M25" s="1102" t="s">
        <v>825</v>
      </c>
      <c r="N25" s="799"/>
      <c r="O25" s="799"/>
      <c r="P25" s="799"/>
      <c r="Q25" s="799"/>
      <c r="R25" s="799"/>
      <c r="S25" s="799"/>
      <c r="T25" s="799"/>
      <c r="U25" s="799"/>
      <c r="V25" s="799"/>
    </row>
    <row r="26" spans="2:22" ht="25.5">
      <c r="B26" s="1482" t="s">
        <v>826</v>
      </c>
      <c r="C26" s="1100" t="str">
        <f>HLOOKUP($C$4,$F$4:$M$37,23,FALSE)</f>
        <v xml:space="preserve">0.620 kW/ton (Full load) /  0.540 kW/ton (IPLV) </v>
      </c>
      <c r="D26" s="799"/>
      <c r="E26" s="799"/>
      <c r="F26" s="1102" t="s">
        <v>827</v>
      </c>
      <c r="G26" s="1102" t="s">
        <v>827</v>
      </c>
      <c r="H26" s="1102" t="s">
        <v>827</v>
      </c>
      <c r="I26" s="1102" t="s">
        <v>827</v>
      </c>
      <c r="J26" s="1102" t="s">
        <v>827</v>
      </c>
      <c r="K26" s="1102" t="s">
        <v>827</v>
      </c>
      <c r="L26" s="1102" t="s">
        <v>827</v>
      </c>
      <c r="M26" s="1102" t="s">
        <v>827</v>
      </c>
      <c r="N26" s="799"/>
      <c r="O26" s="799"/>
      <c r="P26" s="799"/>
      <c r="Q26" s="799"/>
      <c r="R26" s="799"/>
      <c r="S26" s="799"/>
      <c r="T26" s="799"/>
      <c r="U26" s="799"/>
      <c r="V26" s="799"/>
    </row>
    <row r="27" spans="2:22" ht="25.5">
      <c r="B27" s="1481" t="s">
        <v>828</v>
      </c>
      <c r="C27" s="1100" t="str">
        <f>HLOOKUP($C$4,$F$4:$M$37,24,FALSE)</f>
        <v>0.634 kW/ton (Full load) /  0.596 kW/ton (IPLV)</v>
      </c>
      <c r="D27" s="799"/>
      <c r="E27" s="799"/>
      <c r="F27" s="1394" t="s">
        <v>829</v>
      </c>
      <c r="G27" s="1394" t="s">
        <v>829</v>
      </c>
      <c r="H27" s="1394" t="s">
        <v>829</v>
      </c>
      <c r="I27" s="1394" t="s">
        <v>829</v>
      </c>
      <c r="J27" s="1394" t="s">
        <v>829</v>
      </c>
      <c r="K27" s="1394" t="s">
        <v>829</v>
      </c>
      <c r="L27" s="1394" t="s">
        <v>829</v>
      </c>
      <c r="M27" s="1394" t="s">
        <v>829</v>
      </c>
      <c r="N27" s="799"/>
      <c r="O27" s="799"/>
      <c r="P27" s="799"/>
      <c r="Q27" s="799"/>
      <c r="R27" s="799"/>
      <c r="S27" s="799"/>
      <c r="T27" s="799"/>
      <c r="U27" s="799"/>
      <c r="V27" s="799"/>
    </row>
    <row r="28" spans="2:22" ht="25.5">
      <c r="B28" s="1481" t="s">
        <v>830</v>
      </c>
      <c r="C28" s="1100" t="str">
        <f>HLOOKUP($C$4,$F$4:$M$37,25,FALSE)</f>
        <v>0.576 kW/ton (Full load) /  0.549 kW/ton (IPLV)</v>
      </c>
      <c r="D28" s="799"/>
      <c r="E28" s="799"/>
      <c r="F28" s="1394" t="s">
        <v>831</v>
      </c>
      <c r="G28" s="1394" t="s">
        <v>831</v>
      </c>
      <c r="H28" s="1394" t="s">
        <v>831</v>
      </c>
      <c r="I28" s="1394" t="s">
        <v>831</v>
      </c>
      <c r="J28" s="1394" t="s">
        <v>831</v>
      </c>
      <c r="K28" s="1394" t="s">
        <v>831</v>
      </c>
      <c r="L28" s="1394" t="s">
        <v>831</v>
      </c>
      <c r="M28" s="1394" t="s">
        <v>831</v>
      </c>
      <c r="N28" s="799"/>
      <c r="O28" s="799"/>
      <c r="P28" s="799"/>
      <c r="Q28" s="799"/>
      <c r="R28" s="799"/>
      <c r="S28" s="799"/>
      <c r="T28" s="799"/>
      <c r="U28" s="799"/>
      <c r="V28" s="799"/>
    </row>
    <row r="29" spans="2:22" ht="25.5">
      <c r="B29" s="1481" t="s">
        <v>832</v>
      </c>
      <c r="C29" s="1100" t="str">
        <f>HLOOKUP($C$4,$F$4:$M$37,26,FALSE)</f>
        <v>0.570 kW/ton (Full load) /  0.539 kW/ton (IPLV)</v>
      </c>
      <c r="D29" s="799"/>
      <c r="E29" s="799"/>
      <c r="F29" s="1394" t="s">
        <v>833</v>
      </c>
      <c r="G29" s="1394" t="s">
        <v>833</v>
      </c>
      <c r="H29" s="1394" t="s">
        <v>833</v>
      </c>
      <c r="I29" s="1394" t="s">
        <v>833</v>
      </c>
      <c r="J29" s="1394" t="s">
        <v>833</v>
      </c>
      <c r="K29" s="1394" t="s">
        <v>833</v>
      </c>
      <c r="L29" s="1394" t="s">
        <v>833</v>
      </c>
      <c r="M29" s="1394" t="s">
        <v>833</v>
      </c>
      <c r="N29" s="799"/>
      <c r="O29" s="799"/>
      <c r="P29" s="799"/>
      <c r="Q29" s="799"/>
      <c r="R29" s="799"/>
      <c r="S29" s="799"/>
      <c r="T29" s="799"/>
      <c r="U29" s="799"/>
      <c r="V29" s="799"/>
    </row>
    <row r="30" spans="2:22" ht="22.5">
      <c r="B30" s="1481" t="s">
        <v>834</v>
      </c>
      <c r="C30" s="1100" t="str">
        <f>HLOOKUP($C$4,$F$4:$M$37,27,FALSE)</f>
        <v>0.6 COP</v>
      </c>
      <c r="D30" s="799"/>
      <c r="E30" s="799"/>
      <c r="F30" s="1394" t="s">
        <v>835</v>
      </c>
      <c r="G30" s="1394" t="s">
        <v>835</v>
      </c>
      <c r="H30" s="1394" t="s">
        <v>835</v>
      </c>
      <c r="I30" s="1394" t="s">
        <v>835</v>
      </c>
      <c r="J30" s="1394" t="s">
        <v>835</v>
      </c>
      <c r="K30" s="1394" t="s">
        <v>835</v>
      </c>
      <c r="L30" s="1394" t="s">
        <v>835</v>
      </c>
      <c r="M30" s="1394" t="s">
        <v>835</v>
      </c>
      <c r="N30" s="799"/>
      <c r="O30" s="799"/>
      <c r="P30" s="799"/>
      <c r="Q30" s="799"/>
      <c r="R30" s="799"/>
      <c r="S30" s="799"/>
      <c r="T30" s="799"/>
      <c r="U30" s="799"/>
      <c r="V30" s="799"/>
    </row>
    <row r="31" spans="2:22" ht="22.5">
      <c r="B31" s="1481" t="s">
        <v>836</v>
      </c>
      <c r="C31" s="1100" t="str">
        <f>HLOOKUP($C$4,$F$4:$M$37,28,FALSE)</f>
        <v>0.70 COP</v>
      </c>
      <c r="D31" s="799"/>
      <c r="E31" s="799"/>
      <c r="F31" s="1394" t="s">
        <v>21</v>
      </c>
      <c r="G31" s="1394" t="s">
        <v>21</v>
      </c>
      <c r="H31" s="1394" t="s">
        <v>21</v>
      </c>
      <c r="I31" s="1394" t="s">
        <v>21</v>
      </c>
      <c r="J31" s="1394" t="s">
        <v>21</v>
      </c>
      <c r="K31" s="1394" t="s">
        <v>21</v>
      </c>
      <c r="L31" s="1394" t="s">
        <v>21</v>
      </c>
      <c r="M31" s="1394" t="s">
        <v>21</v>
      </c>
      <c r="N31" s="799"/>
      <c r="O31" s="799"/>
      <c r="P31" s="799"/>
      <c r="Q31" s="799"/>
      <c r="R31" s="799"/>
      <c r="S31" s="799"/>
      <c r="T31" s="799"/>
      <c r="U31" s="799"/>
      <c r="V31" s="799"/>
    </row>
    <row r="32" spans="2:22" ht="22.5">
      <c r="B32" s="1481" t="s">
        <v>837</v>
      </c>
      <c r="C32" s="1100" t="str">
        <f>HLOOKUP($C$4,$F$4:$M$37,29,FALSE)</f>
        <v>1.00 COP / 1.05 IPLV</v>
      </c>
      <c r="D32" s="799"/>
      <c r="E32" s="799"/>
      <c r="F32" s="1394" t="s">
        <v>19</v>
      </c>
      <c r="G32" s="1394" t="s">
        <v>19</v>
      </c>
      <c r="H32" s="1394" t="s">
        <v>19</v>
      </c>
      <c r="I32" s="1394" t="s">
        <v>19</v>
      </c>
      <c r="J32" s="1394" t="s">
        <v>19</v>
      </c>
      <c r="K32" s="1394" t="s">
        <v>19</v>
      </c>
      <c r="L32" s="1394" t="s">
        <v>19</v>
      </c>
      <c r="M32" s="1394" t="s">
        <v>19</v>
      </c>
      <c r="N32" s="799"/>
      <c r="O32" s="799"/>
      <c r="P32" s="799"/>
      <c r="Q32" s="799"/>
      <c r="R32" s="799"/>
      <c r="S32" s="799"/>
      <c r="T32" s="799"/>
      <c r="U32" s="799"/>
      <c r="V32" s="799"/>
    </row>
    <row r="33" spans="2:23" ht="22.5">
      <c r="B33" s="1481" t="s">
        <v>838</v>
      </c>
      <c r="C33" s="1100" t="str">
        <f>HLOOKUP($C$4,$F$4:$M$37,30,FALSE)</f>
        <v>1.00 COP / 1.00 IPLV</v>
      </c>
      <c r="D33" s="799"/>
      <c r="E33" s="799"/>
      <c r="F33" s="1394" t="s">
        <v>20</v>
      </c>
      <c r="G33" s="1394" t="s">
        <v>20</v>
      </c>
      <c r="H33" s="1394" t="s">
        <v>20</v>
      </c>
      <c r="I33" s="1394" t="s">
        <v>20</v>
      </c>
      <c r="J33" s="1394" t="s">
        <v>20</v>
      </c>
      <c r="K33" s="1394" t="s">
        <v>20</v>
      </c>
      <c r="L33" s="1394" t="s">
        <v>20</v>
      </c>
      <c r="M33" s="1394" t="s">
        <v>20</v>
      </c>
      <c r="N33" s="799"/>
      <c r="O33" s="799"/>
      <c r="P33" s="799"/>
      <c r="Q33" s="799"/>
      <c r="R33" s="799"/>
      <c r="S33" s="799"/>
      <c r="T33" s="799"/>
      <c r="U33" s="799"/>
      <c r="V33" s="799"/>
    </row>
    <row r="34" spans="2:23" ht="54.75" customHeight="1">
      <c r="B34" s="1481" t="s">
        <v>839</v>
      </c>
      <c r="C34" s="1100" t="str">
        <f>HLOOKUP($C$4,$F$4:$M$37,31,FALSE)</f>
        <v>&gt;40 gpm/hp (@95°F entering water, 85°F leaving water, 75°F web entering air)</v>
      </c>
      <c r="D34" s="799"/>
      <c r="E34" s="799"/>
      <c r="F34" s="1394" t="s">
        <v>840</v>
      </c>
      <c r="G34" s="1394" t="s">
        <v>840</v>
      </c>
      <c r="H34" s="1394" t="s">
        <v>840</v>
      </c>
      <c r="I34" s="1394" t="s">
        <v>840</v>
      </c>
      <c r="J34" s="1394" t="s">
        <v>840</v>
      </c>
      <c r="K34" s="1394" t="s">
        <v>840</v>
      </c>
      <c r="L34" s="1394" t="s">
        <v>352</v>
      </c>
      <c r="M34" s="1394" t="s">
        <v>352</v>
      </c>
      <c r="N34" s="799"/>
      <c r="O34" s="799"/>
      <c r="P34" s="799"/>
      <c r="Q34" s="799"/>
      <c r="R34" s="799"/>
      <c r="S34" s="799"/>
      <c r="T34" s="799"/>
      <c r="U34" s="799"/>
      <c r="V34" s="799"/>
    </row>
    <row r="35" spans="2:23" ht="38.25">
      <c r="B35" s="1481" t="s">
        <v>841</v>
      </c>
      <c r="C35" s="1100" t="str">
        <f>HLOOKUP($C$4,$F$4:$M$37,32,FALSE)</f>
        <v>&gt;15 gpm/hp (@102°F entering water, 90°F leaving water, 75°F wb entering air)</v>
      </c>
      <c r="D35" s="799"/>
      <c r="E35" s="799"/>
      <c r="F35" s="1394" t="s">
        <v>353</v>
      </c>
      <c r="G35" s="1394" t="s">
        <v>353</v>
      </c>
      <c r="H35" s="1394" t="s">
        <v>353</v>
      </c>
      <c r="I35" s="1394" t="s">
        <v>353</v>
      </c>
      <c r="J35" s="1394" t="s">
        <v>353</v>
      </c>
      <c r="K35" s="1394" t="s">
        <v>353</v>
      </c>
      <c r="L35" s="1394" t="s">
        <v>353</v>
      </c>
      <c r="M35" s="1394" t="s">
        <v>353</v>
      </c>
      <c r="N35" s="799"/>
      <c r="O35" s="799"/>
      <c r="P35" s="799"/>
      <c r="Q35" s="799"/>
      <c r="R35" s="799"/>
      <c r="S35" s="799"/>
      <c r="T35" s="799"/>
      <c r="U35" s="799"/>
      <c r="V35" s="799"/>
    </row>
    <row r="36" spans="2:23" ht="49.5" customHeight="1">
      <c r="B36" s="1481" t="s">
        <v>842</v>
      </c>
      <c r="C36" s="1100" t="str">
        <f>HLOOKUP($C$4,$F$4:$M$37,33,FALSE)</f>
        <v>&gt;22 gpm/hp (@95°F entering water, 85°F leaving water, 75°F wb entering air)</v>
      </c>
      <c r="D36" s="799"/>
      <c r="E36" s="799"/>
      <c r="F36" s="1394" t="s">
        <v>354</v>
      </c>
      <c r="G36" s="1394" t="s">
        <v>354</v>
      </c>
      <c r="H36" s="1394" t="s">
        <v>354</v>
      </c>
      <c r="I36" s="1394" t="s">
        <v>354</v>
      </c>
      <c r="J36" s="1394" t="s">
        <v>354</v>
      </c>
      <c r="K36" s="1394" t="s">
        <v>354</v>
      </c>
      <c r="L36" s="1394" t="s">
        <v>354</v>
      </c>
      <c r="M36" s="1394" t="s">
        <v>354</v>
      </c>
      <c r="N36" s="799"/>
      <c r="O36" s="799"/>
      <c r="P36" s="799"/>
      <c r="Q36" s="799"/>
      <c r="R36" s="799"/>
      <c r="S36" s="799"/>
      <c r="T36" s="799"/>
      <c r="U36" s="799"/>
      <c r="V36" s="799"/>
    </row>
    <row r="37" spans="2:23" ht="38.25">
      <c r="B37" s="1481" t="s">
        <v>843</v>
      </c>
      <c r="C37" s="1100" t="str">
        <f>HLOOKUP($C$4,$F$4:$M$37,34,FALSE)</f>
        <v>&gt;8 gpm/hp (@102°F entering water, 90°F leaving water, 75°F wb entering air)</v>
      </c>
      <c r="D37" s="799"/>
      <c r="E37" s="799"/>
      <c r="F37" s="1394" t="s">
        <v>355</v>
      </c>
      <c r="G37" s="1394" t="s">
        <v>355</v>
      </c>
      <c r="H37" s="1394" t="s">
        <v>355</v>
      </c>
      <c r="I37" s="1394" t="s">
        <v>355</v>
      </c>
      <c r="J37" s="1394" t="s">
        <v>355</v>
      </c>
      <c r="K37" s="1394" t="s">
        <v>355</v>
      </c>
      <c r="L37" s="1394" t="s">
        <v>355</v>
      </c>
      <c r="M37" s="1394" t="s">
        <v>355</v>
      </c>
      <c r="N37" s="799"/>
      <c r="O37" s="799"/>
      <c r="P37" s="799"/>
      <c r="Q37" s="799"/>
      <c r="R37" s="799"/>
      <c r="S37" s="799"/>
      <c r="T37" s="799"/>
      <c r="U37" s="799"/>
      <c r="V37" s="799"/>
    </row>
    <row r="38" spans="2:23">
      <c r="B38" s="2654" t="s">
        <v>844</v>
      </c>
      <c r="C38" s="2654"/>
      <c r="D38" s="2654"/>
      <c r="E38" s="2654"/>
      <c r="F38" s="2654"/>
      <c r="G38" s="2654"/>
      <c r="H38" s="2654"/>
      <c r="I38" s="2654"/>
      <c r="J38" s="2654"/>
      <c r="K38" s="2654"/>
      <c r="L38" s="2654"/>
      <c r="M38" s="2654"/>
      <c r="N38" s="2654"/>
      <c r="O38" s="2654"/>
      <c r="P38" s="2654"/>
      <c r="Q38" s="2654"/>
      <c r="R38" s="2654"/>
      <c r="S38" s="2654"/>
      <c r="T38" s="2654"/>
      <c r="U38" s="2654"/>
      <c r="V38" s="2654"/>
      <c r="W38" s="2654"/>
    </row>
    <row r="39" spans="2:23">
      <c r="B39" s="2654" t="s">
        <v>2086</v>
      </c>
      <c r="C39" s="2654"/>
      <c r="D39" s="2654"/>
      <c r="E39" s="2654"/>
      <c r="F39" s="2654"/>
      <c r="G39" s="2654"/>
      <c r="H39" s="2654"/>
      <c r="I39" s="2654"/>
      <c r="J39" s="2654"/>
      <c r="K39" s="2654"/>
      <c r="L39" s="2654"/>
      <c r="M39" s="2654"/>
      <c r="N39" s="2654"/>
      <c r="O39" s="2654"/>
      <c r="P39" s="2654"/>
      <c r="Q39" s="2654"/>
      <c r="R39" s="2654"/>
      <c r="S39" s="2654"/>
      <c r="T39" s="2654"/>
      <c r="U39" s="2654"/>
      <c r="V39" s="2654"/>
      <c r="W39" s="2654"/>
    </row>
    <row r="40" spans="2:23">
      <c r="B40" s="2654" t="s">
        <v>846</v>
      </c>
      <c r="C40" s="2654"/>
      <c r="D40" s="2654"/>
      <c r="E40" s="2654"/>
      <c r="F40" s="2654"/>
      <c r="G40" s="2654"/>
      <c r="H40" s="2654"/>
      <c r="I40" s="2654"/>
      <c r="J40" s="2654"/>
      <c r="K40" s="2654"/>
      <c r="L40" s="2654"/>
      <c r="M40" s="2654"/>
      <c r="N40" s="2654"/>
      <c r="O40" s="2654"/>
      <c r="P40" s="2654"/>
      <c r="Q40" s="2654"/>
      <c r="R40" s="2654"/>
      <c r="S40" s="2654"/>
      <c r="T40" s="2654"/>
      <c r="U40" s="2654"/>
      <c r="V40" s="2654"/>
      <c r="W40" s="2654"/>
    </row>
    <row r="41" spans="2:23">
      <c r="B41" s="799"/>
      <c r="C41" s="799"/>
      <c r="D41" s="799"/>
      <c r="E41" s="799"/>
      <c r="F41" s="799"/>
      <c r="G41" s="799"/>
      <c r="H41" s="799"/>
      <c r="I41" s="799"/>
      <c r="J41" s="799"/>
      <c r="K41" s="799"/>
      <c r="L41" s="799"/>
      <c r="M41" s="799"/>
      <c r="N41" s="799"/>
      <c r="O41" s="799"/>
      <c r="P41" s="799"/>
      <c r="Q41" s="799"/>
      <c r="R41" s="799"/>
      <c r="S41" s="799"/>
      <c r="T41" s="799"/>
      <c r="U41" s="799"/>
      <c r="V41" s="799"/>
    </row>
    <row r="42" spans="2:23">
      <c r="B42" s="1088" t="s">
        <v>847</v>
      </c>
      <c r="C42" s="1091"/>
      <c r="D42" s="1091"/>
      <c r="E42" s="799"/>
      <c r="F42" s="799"/>
      <c r="G42" s="799"/>
      <c r="H42" s="799"/>
      <c r="I42" s="799"/>
      <c r="J42" s="799"/>
      <c r="K42" s="799"/>
      <c r="L42" s="799"/>
      <c r="M42" s="799"/>
      <c r="N42" s="799"/>
      <c r="O42" s="799"/>
      <c r="P42" s="799"/>
      <c r="Q42" s="799"/>
      <c r="R42" s="799"/>
      <c r="S42" s="799"/>
      <c r="T42" s="799"/>
      <c r="U42" s="799"/>
      <c r="V42" s="799"/>
    </row>
    <row r="43" spans="2:23">
      <c r="B43" s="2655" t="s">
        <v>848</v>
      </c>
      <c r="C43" s="1332" t="s">
        <v>849</v>
      </c>
      <c r="D43" s="1332" t="s">
        <v>850</v>
      </c>
      <c r="E43" s="1478"/>
      <c r="F43" s="2651" t="s">
        <v>849</v>
      </c>
      <c r="G43" s="2652"/>
      <c r="H43" s="2652"/>
      <c r="I43" s="2652"/>
      <c r="J43" s="2652"/>
      <c r="K43" s="2652"/>
      <c r="L43" s="2652"/>
      <c r="M43" s="2653"/>
      <c r="N43" s="799"/>
      <c r="O43" s="2651" t="s">
        <v>850</v>
      </c>
      <c r="P43" s="2652"/>
      <c r="Q43" s="2652"/>
      <c r="R43" s="2652"/>
      <c r="S43" s="2652"/>
      <c r="T43" s="2652"/>
      <c r="U43" s="2652"/>
      <c r="V43" s="2653"/>
    </row>
    <row r="44" spans="2:23">
      <c r="B44" s="2655"/>
      <c r="C44" s="1109" t="str">
        <f>IF('Project Info'!C7="","&lt;select climate zone on 'Project Info' tab&gt;","Climate Zone "&amp;'Project Info'!C7)</f>
        <v>Climate Zone 5</v>
      </c>
      <c r="D44" s="1109" t="str">
        <f>IF('Project Info'!C7="","&lt;select climate zone on 'Project Info' tab&gt;","Climate Zone "&amp;'Project Info'!C7)</f>
        <v>Climate Zone 5</v>
      </c>
      <c r="E44" s="1478"/>
      <c r="F44" s="1096" t="s">
        <v>851</v>
      </c>
      <c r="G44" s="1096" t="s">
        <v>852</v>
      </c>
      <c r="H44" s="1096" t="s">
        <v>853</v>
      </c>
      <c r="I44" s="1096" t="s">
        <v>504</v>
      </c>
      <c r="J44" s="1096" t="s">
        <v>505</v>
      </c>
      <c r="K44" s="1096" t="s">
        <v>506</v>
      </c>
      <c r="L44" s="1096" t="s">
        <v>854</v>
      </c>
      <c r="M44" s="1096" t="s">
        <v>855</v>
      </c>
      <c r="N44" s="1478"/>
      <c r="O44" s="1110" t="s">
        <v>851</v>
      </c>
      <c r="P44" s="1110" t="s">
        <v>852</v>
      </c>
      <c r="Q44" s="1110" t="s">
        <v>853</v>
      </c>
      <c r="R44" s="1110" t="s">
        <v>504</v>
      </c>
      <c r="S44" s="1110" t="s">
        <v>505</v>
      </c>
      <c r="T44" s="1110" t="s">
        <v>506</v>
      </c>
      <c r="U44" s="1110" t="s">
        <v>854</v>
      </c>
      <c r="V44" s="1110" t="s">
        <v>855</v>
      </c>
    </row>
    <row r="45" spans="2:23">
      <c r="B45" s="2650" t="s">
        <v>29</v>
      </c>
      <c r="C45" s="2650"/>
      <c r="D45" s="2650"/>
      <c r="E45" s="1478"/>
      <c r="F45" s="1334"/>
      <c r="G45" s="1333"/>
      <c r="H45" s="1333"/>
      <c r="I45" s="1333"/>
      <c r="J45" s="1333"/>
      <c r="K45" s="1333"/>
      <c r="L45" s="1333"/>
      <c r="M45" s="1335"/>
      <c r="N45" s="1478"/>
      <c r="O45" s="1334"/>
      <c r="P45" s="1333"/>
      <c r="Q45" s="1333"/>
      <c r="R45" s="1333"/>
      <c r="S45" s="1333"/>
      <c r="T45" s="1333"/>
      <c r="U45" s="1333"/>
      <c r="V45" s="1335"/>
    </row>
    <row r="46" spans="2:23">
      <c r="B46" s="1110" t="s">
        <v>856</v>
      </c>
      <c r="C46" s="1109" t="str">
        <f>HLOOKUP($C$44,$F$44:$M$71,3,FALSE)</f>
        <v>R-25.0 continuous</v>
      </c>
      <c r="D46" s="1109" t="str">
        <f>HLOOKUP($D$44,$O$44:$V$71,3,FALSE)</f>
        <v>U-0.039</v>
      </c>
      <c r="E46" s="1478"/>
      <c r="F46" s="1114" t="s">
        <v>857</v>
      </c>
      <c r="G46" s="1114" t="s">
        <v>857</v>
      </c>
      <c r="H46" s="1114" t="s">
        <v>857</v>
      </c>
      <c r="I46" s="1114" t="s">
        <v>857</v>
      </c>
      <c r="J46" s="1114" t="s">
        <v>857</v>
      </c>
      <c r="K46" s="1114" t="s">
        <v>858</v>
      </c>
      <c r="L46" s="1114" t="s">
        <v>2085</v>
      </c>
      <c r="M46" s="1114" t="s">
        <v>2085</v>
      </c>
      <c r="N46" s="1478"/>
      <c r="O46" s="1110" t="s">
        <v>859</v>
      </c>
      <c r="P46" s="1110" t="s">
        <v>859</v>
      </c>
      <c r="Q46" s="1110" t="s">
        <v>859</v>
      </c>
      <c r="R46" s="1110" t="s">
        <v>859</v>
      </c>
      <c r="S46" s="1110" t="s">
        <v>859</v>
      </c>
      <c r="T46" s="1110" t="s">
        <v>860</v>
      </c>
      <c r="U46" s="1110" t="s">
        <v>861</v>
      </c>
      <c r="V46" s="1110" t="s">
        <v>861</v>
      </c>
    </row>
    <row r="47" spans="2:23">
      <c r="B47" s="1110" t="s">
        <v>51</v>
      </c>
      <c r="C47" s="1109" t="str">
        <f>HLOOKUP($C$44,$F$44:$M$71,4,FALSE)</f>
        <v>R-19.0 +    R-11.0 Ls</v>
      </c>
      <c r="D47" s="1109" t="str">
        <f>HLOOKUP($D$44,$O$44:$V$71,4,FALSE)</f>
        <v>U-0.035</v>
      </c>
      <c r="E47" s="1478"/>
      <c r="F47" s="1110" t="s">
        <v>862</v>
      </c>
      <c r="G47" s="1110" t="s">
        <v>862</v>
      </c>
      <c r="H47" s="1110" t="s">
        <v>862</v>
      </c>
      <c r="I47" s="1110" t="s">
        <v>862</v>
      </c>
      <c r="J47" s="1110" t="s">
        <v>862</v>
      </c>
      <c r="K47" s="1110" t="s">
        <v>863</v>
      </c>
      <c r="L47" s="1110" t="s">
        <v>2084</v>
      </c>
      <c r="M47" s="1110" t="s">
        <v>2084</v>
      </c>
      <c r="N47" s="1478"/>
      <c r="O47" s="1110" t="s">
        <v>864</v>
      </c>
      <c r="P47" s="1110" t="s">
        <v>864</v>
      </c>
      <c r="Q47" s="1110" t="s">
        <v>864</v>
      </c>
      <c r="R47" s="1110" t="s">
        <v>864</v>
      </c>
      <c r="S47" s="1110" t="s">
        <v>864</v>
      </c>
      <c r="T47" s="1110" t="s">
        <v>865</v>
      </c>
      <c r="U47" s="1110" t="s">
        <v>866</v>
      </c>
      <c r="V47" s="1110" t="s">
        <v>866</v>
      </c>
    </row>
    <row r="48" spans="2:23">
      <c r="B48" s="1110" t="s">
        <v>53</v>
      </c>
      <c r="C48" s="1109" t="str">
        <f>HLOOKUP($C$44,$F$44:$M$71,5,FALSE)</f>
        <v>R-49.0</v>
      </c>
      <c r="D48" s="1109" t="str">
        <f>HLOOKUP($D$44,$O$44:$V$71,5,FALSE)</f>
        <v>U-0.021</v>
      </c>
      <c r="E48" s="1478"/>
      <c r="F48" s="1110" t="s">
        <v>54</v>
      </c>
      <c r="G48" s="1110" t="s">
        <v>54</v>
      </c>
      <c r="H48" s="1110" t="s">
        <v>54</v>
      </c>
      <c r="I48" s="1110" t="s">
        <v>54</v>
      </c>
      <c r="J48" s="1110" t="s">
        <v>54</v>
      </c>
      <c r="K48" s="1110" t="s">
        <v>54</v>
      </c>
      <c r="L48" s="1110" t="s">
        <v>2083</v>
      </c>
      <c r="M48" s="1110" t="s">
        <v>2083</v>
      </c>
      <c r="N48" s="1478"/>
      <c r="O48" s="1110" t="s">
        <v>867</v>
      </c>
      <c r="P48" s="1110" t="s">
        <v>867</v>
      </c>
      <c r="Q48" s="1110" t="s">
        <v>867</v>
      </c>
      <c r="R48" s="1110" t="s">
        <v>867</v>
      </c>
      <c r="S48" s="1110" t="s">
        <v>867</v>
      </c>
      <c r="T48" s="1110" t="s">
        <v>867</v>
      </c>
      <c r="U48" s="1110" t="s">
        <v>868</v>
      </c>
      <c r="V48" s="1110" t="s">
        <v>868</v>
      </c>
    </row>
    <row r="49" spans="2:22">
      <c r="B49" s="2650" t="s">
        <v>63</v>
      </c>
      <c r="C49" s="2650"/>
      <c r="D49" s="2650"/>
      <c r="E49" s="1478"/>
      <c r="F49" s="1334"/>
      <c r="G49" s="1333"/>
      <c r="H49" s="1333"/>
      <c r="I49" s="1333"/>
      <c r="J49" s="1333"/>
      <c r="K49" s="1333"/>
      <c r="L49" s="1333"/>
      <c r="M49" s="1335"/>
      <c r="N49" s="1478"/>
      <c r="O49" s="1115"/>
      <c r="P49" s="1116"/>
      <c r="Q49" s="1116"/>
      <c r="R49" s="1116"/>
      <c r="S49" s="1116"/>
      <c r="T49" s="1116"/>
      <c r="U49" s="1116"/>
      <c r="V49" s="1117"/>
    </row>
    <row r="50" spans="2:22">
      <c r="B50" s="1110" t="s">
        <v>869</v>
      </c>
      <c r="C50" s="1109" t="str">
        <f>HLOOKUP($C$44,$F$44:$M$71,7,FALSE)</f>
        <v>R-15.2 continuous</v>
      </c>
      <c r="D50" s="1109" t="str">
        <f>HLOOKUP($D$44,$O$44:$V$71,7,FALSE)</f>
        <v>U-0.071</v>
      </c>
      <c r="E50" s="1478"/>
      <c r="F50" s="1110" t="s">
        <v>2082</v>
      </c>
      <c r="G50" s="1110" t="s">
        <v>2081</v>
      </c>
      <c r="H50" s="1110" t="s">
        <v>2080</v>
      </c>
      <c r="I50" s="1110" t="s">
        <v>870</v>
      </c>
      <c r="J50" s="1110" t="s">
        <v>871</v>
      </c>
      <c r="K50" s="1110" t="s">
        <v>872</v>
      </c>
      <c r="L50" s="1110" t="s">
        <v>872</v>
      </c>
      <c r="M50" s="1110" t="s">
        <v>2079</v>
      </c>
      <c r="N50" s="1478"/>
      <c r="O50" s="1118" t="s">
        <v>873</v>
      </c>
      <c r="P50" s="1119" t="s">
        <v>874</v>
      </c>
      <c r="Q50" s="1119" t="s">
        <v>875</v>
      </c>
      <c r="R50" s="1119" t="s">
        <v>876</v>
      </c>
      <c r="S50" s="1119" t="s">
        <v>877</v>
      </c>
      <c r="T50" s="1119" t="s">
        <v>878</v>
      </c>
      <c r="U50" s="1119" t="s">
        <v>878</v>
      </c>
      <c r="V50" s="1118" t="s">
        <v>879</v>
      </c>
    </row>
    <row r="51" spans="2:22">
      <c r="B51" s="1110" t="s">
        <v>51</v>
      </c>
      <c r="C51" s="1109" t="str">
        <f>HLOOKUP($C$44,$F$44:$M$71,8,FALSE)</f>
        <v>R-13.0 +  R-13.0 ci</v>
      </c>
      <c r="D51" s="1109" t="str">
        <f>HLOOKUP($D$44,$O$44:$V$71,8,FALSE)</f>
        <v>U-0.052</v>
      </c>
      <c r="E51" s="1478"/>
      <c r="F51" s="1110" t="s">
        <v>2078</v>
      </c>
      <c r="G51" s="1110" t="s">
        <v>880</v>
      </c>
      <c r="H51" s="1110" t="s">
        <v>880</v>
      </c>
      <c r="I51" s="1110" t="s">
        <v>880</v>
      </c>
      <c r="J51" s="1110" t="s">
        <v>880</v>
      </c>
      <c r="K51" s="1110" t="s">
        <v>880</v>
      </c>
      <c r="L51" s="1110" t="s">
        <v>2077</v>
      </c>
      <c r="M51" s="1110" t="s">
        <v>2076</v>
      </c>
      <c r="N51" s="1478"/>
      <c r="O51" s="1118" t="s">
        <v>881</v>
      </c>
      <c r="P51" s="1119" t="s">
        <v>882</v>
      </c>
      <c r="Q51" s="1119" t="s">
        <v>882</v>
      </c>
      <c r="R51" s="1119" t="s">
        <v>882</v>
      </c>
      <c r="S51" s="1119" t="s">
        <v>882</v>
      </c>
      <c r="T51" s="1119" t="s">
        <v>882</v>
      </c>
      <c r="U51" s="1119" t="s">
        <v>859</v>
      </c>
      <c r="V51" s="1118" t="s">
        <v>865</v>
      </c>
    </row>
    <row r="52" spans="2:22">
      <c r="B52" s="1110" t="s">
        <v>883</v>
      </c>
      <c r="C52" s="1109" t="str">
        <f>HLOOKUP($C$44,$F$44:$M$71,9,FALSE)</f>
        <v>R-13.0 + R-10.0 c.i.</v>
      </c>
      <c r="D52" s="1109" t="str">
        <f>HLOOKUP($D$44,$O$44:$V$71,9,FALSE)</f>
        <v>U-0.055</v>
      </c>
      <c r="E52" s="1478"/>
      <c r="F52" s="1110" t="s">
        <v>2075</v>
      </c>
      <c r="G52" s="1110" t="s">
        <v>2074</v>
      </c>
      <c r="H52" s="1110" t="s">
        <v>2074</v>
      </c>
      <c r="I52" s="1110" t="s">
        <v>884</v>
      </c>
      <c r="J52" s="1110" t="s">
        <v>884</v>
      </c>
      <c r="K52" s="1110" t="s">
        <v>884</v>
      </c>
      <c r="L52" s="1110" t="s">
        <v>2069</v>
      </c>
      <c r="M52" s="1110" t="s">
        <v>2073</v>
      </c>
      <c r="N52" s="1478"/>
      <c r="O52" s="1118" t="s">
        <v>885</v>
      </c>
      <c r="P52" s="1119" t="s">
        <v>886</v>
      </c>
      <c r="Q52" s="1119" t="s">
        <v>886</v>
      </c>
      <c r="R52" s="1119" t="s">
        <v>886</v>
      </c>
      <c r="S52" s="1119" t="s">
        <v>886</v>
      </c>
      <c r="T52" s="1119" t="s">
        <v>886</v>
      </c>
      <c r="U52" s="1119" t="s">
        <v>887</v>
      </c>
      <c r="V52" s="1118" t="s">
        <v>888</v>
      </c>
    </row>
    <row r="53" spans="2:22">
      <c r="B53" s="1110" t="s">
        <v>79</v>
      </c>
      <c r="C53" s="1109" t="str">
        <f>HLOOKUP($C$44,$F$44:$M$71,10,FALSE)</f>
        <v>R-13.0 + R-10.0 c.i.</v>
      </c>
      <c r="D53" s="1109" t="str">
        <f>HLOOKUP($D$44,$O$44:$V$71,10,FALSE)</f>
        <v>U-0.045</v>
      </c>
      <c r="E53" s="1478"/>
      <c r="F53" s="1110" t="s">
        <v>2072</v>
      </c>
      <c r="G53" s="1110" t="s">
        <v>2071</v>
      </c>
      <c r="H53" s="1110" t="s">
        <v>2071</v>
      </c>
      <c r="I53" s="1110" t="s">
        <v>889</v>
      </c>
      <c r="J53" s="1110" t="s">
        <v>884</v>
      </c>
      <c r="K53" s="1110" t="s">
        <v>884</v>
      </c>
      <c r="L53" s="1110" t="s">
        <v>2070</v>
      </c>
      <c r="M53" s="1110" t="s">
        <v>2069</v>
      </c>
      <c r="N53" s="1478"/>
      <c r="O53" s="1118" t="s">
        <v>890</v>
      </c>
      <c r="P53" s="1119" t="s">
        <v>890</v>
      </c>
      <c r="Q53" s="1119" t="s">
        <v>890</v>
      </c>
      <c r="R53" s="1119" t="s">
        <v>891</v>
      </c>
      <c r="S53" s="1119" t="s">
        <v>892</v>
      </c>
      <c r="T53" s="1119" t="s">
        <v>892</v>
      </c>
      <c r="U53" s="1119" t="s">
        <v>892</v>
      </c>
      <c r="V53" s="1118" t="s">
        <v>860</v>
      </c>
    </row>
    <row r="54" spans="2:22">
      <c r="B54" s="2650" t="s">
        <v>64</v>
      </c>
      <c r="C54" s="2650"/>
      <c r="D54" s="2650"/>
      <c r="E54" s="1478"/>
      <c r="F54" s="1334"/>
      <c r="G54" s="1333"/>
      <c r="H54" s="1333"/>
      <c r="I54" s="1333"/>
      <c r="J54" s="1333"/>
      <c r="K54" s="1333"/>
      <c r="L54" s="1333"/>
      <c r="M54" s="1335"/>
      <c r="N54" s="1478"/>
      <c r="O54" s="1120"/>
      <c r="P54" s="1121"/>
      <c r="Q54" s="1121"/>
      <c r="R54" s="1121"/>
      <c r="S54" s="1121"/>
      <c r="T54" s="1121"/>
      <c r="U54" s="1121"/>
      <c r="V54" s="1480"/>
    </row>
    <row r="55" spans="2:22" ht="22.5">
      <c r="B55" s="1110" t="s">
        <v>893</v>
      </c>
      <c r="C55" s="1109" t="str">
        <f>HLOOKUP($C$44,$F$44:$M$71,12,FALSE)</f>
        <v xml:space="preserve">R-10.0 continuous </v>
      </c>
      <c r="D55" s="1109" t="str">
        <f>HLOOKUP($D$44,$O$44:$V$71,12,FALSE)</f>
        <v>U-0.092</v>
      </c>
      <c r="E55" s="1478"/>
      <c r="F55" s="1110" t="s">
        <v>896</v>
      </c>
      <c r="G55" s="1110" t="s">
        <v>896</v>
      </c>
      <c r="H55" s="1110" t="s">
        <v>896</v>
      </c>
      <c r="I55" s="1110" t="s">
        <v>894</v>
      </c>
      <c r="J55" s="1110" t="s">
        <v>895</v>
      </c>
      <c r="K55" s="1110" t="s">
        <v>895</v>
      </c>
      <c r="L55" s="1110" t="s">
        <v>2068</v>
      </c>
      <c r="M55" s="1110" t="s">
        <v>2067</v>
      </c>
      <c r="N55" s="1478"/>
      <c r="O55" s="1110" t="s">
        <v>896</v>
      </c>
      <c r="P55" s="1110" t="s">
        <v>896</v>
      </c>
      <c r="Q55" s="1110" t="s">
        <v>896</v>
      </c>
      <c r="R55" s="1110" t="s">
        <v>897</v>
      </c>
      <c r="S55" s="1110" t="s">
        <v>897</v>
      </c>
      <c r="T55" s="1110" t="s">
        <v>897</v>
      </c>
      <c r="U55" s="1110" t="s">
        <v>898</v>
      </c>
      <c r="V55" s="1110" t="s">
        <v>899</v>
      </c>
    </row>
    <row r="56" spans="2:22">
      <c r="B56" s="1110" t="s">
        <v>6</v>
      </c>
      <c r="C56" s="1109" t="str">
        <f>HLOOKUP($C$44,$F$44:$M$71,13,FALSE)</f>
        <v>NR</v>
      </c>
      <c r="D56" s="1109" t="str">
        <f>HLOOKUP($D$44,$O$44:$V$71,13,FALSE)</f>
        <v>NR</v>
      </c>
      <c r="E56" s="1478"/>
      <c r="F56" s="1110" t="s">
        <v>896</v>
      </c>
      <c r="G56" s="1110" t="s">
        <v>896</v>
      </c>
      <c r="H56" s="1110" t="s">
        <v>896</v>
      </c>
      <c r="I56" s="1110" t="s">
        <v>896</v>
      </c>
      <c r="J56" s="1110" t="s">
        <v>896</v>
      </c>
      <c r="K56" s="1110" t="s">
        <v>896</v>
      </c>
      <c r="L56" s="1110" t="s">
        <v>896</v>
      </c>
      <c r="M56" s="1110" t="s">
        <v>896</v>
      </c>
      <c r="N56" s="1478"/>
      <c r="O56" s="1110" t="s">
        <v>896</v>
      </c>
      <c r="P56" s="1110" t="s">
        <v>896</v>
      </c>
      <c r="Q56" s="1110" t="s">
        <v>896</v>
      </c>
      <c r="R56" s="1110" t="s">
        <v>896</v>
      </c>
      <c r="S56" s="1110" t="s">
        <v>896</v>
      </c>
      <c r="T56" s="1110" t="s">
        <v>896</v>
      </c>
      <c r="U56" s="1110" t="s">
        <v>896</v>
      </c>
      <c r="V56" s="1110" t="s">
        <v>896</v>
      </c>
    </row>
    <row r="57" spans="2:22">
      <c r="B57" s="2650" t="s">
        <v>65</v>
      </c>
      <c r="C57" s="2650"/>
      <c r="D57" s="2650"/>
      <c r="E57" s="1478"/>
      <c r="F57" s="1115"/>
      <c r="G57" s="1116"/>
      <c r="H57" s="1116"/>
      <c r="I57" s="1116"/>
      <c r="J57" s="1116"/>
      <c r="K57" s="1116"/>
      <c r="L57" s="1116"/>
      <c r="M57" s="1117"/>
      <c r="N57" s="1478"/>
      <c r="O57" s="1115"/>
      <c r="P57" s="1116"/>
      <c r="Q57" s="1116"/>
      <c r="R57" s="1116"/>
      <c r="S57" s="1116"/>
      <c r="T57" s="1116"/>
      <c r="U57" s="1116"/>
      <c r="V57" s="1117"/>
    </row>
    <row r="58" spans="2:22">
      <c r="B58" s="1110" t="s">
        <v>869</v>
      </c>
      <c r="C58" s="1109" t="str">
        <f>HLOOKUP($C$44,$F$44:$M$71,15,FALSE)</f>
        <v>R-14.6 ci</v>
      </c>
      <c r="D58" s="1109" t="str">
        <f>HLOOKUP($D$44,$O$44:$V$71,15,FALSE)</f>
        <v>U-0.057</v>
      </c>
      <c r="E58" s="1478"/>
      <c r="F58" s="1119" t="s">
        <v>2066</v>
      </c>
      <c r="G58" s="1119" t="s">
        <v>2065</v>
      </c>
      <c r="H58" s="1119" t="s">
        <v>2065</v>
      </c>
      <c r="I58" s="1119" t="s">
        <v>290</v>
      </c>
      <c r="J58" s="1119" t="s">
        <v>292</v>
      </c>
      <c r="K58" s="1119" t="s">
        <v>445</v>
      </c>
      <c r="L58" s="1119" t="s">
        <v>2064</v>
      </c>
      <c r="M58" s="1119" t="s">
        <v>2064</v>
      </c>
      <c r="N58" s="1478"/>
      <c r="O58" s="1119" t="s">
        <v>900</v>
      </c>
      <c r="P58" s="1119" t="s">
        <v>901</v>
      </c>
      <c r="Q58" s="1119" t="s">
        <v>901</v>
      </c>
      <c r="R58" s="1119" t="s">
        <v>890</v>
      </c>
      <c r="S58" s="1119" t="s">
        <v>902</v>
      </c>
      <c r="T58" s="1119" t="s">
        <v>891</v>
      </c>
      <c r="U58" s="1119" t="s">
        <v>879</v>
      </c>
      <c r="V58" s="1118" t="s">
        <v>879</v>
      </c>
    </row>
    <row r="59" spans="2:22">
      <c r="B59" s="1110" t="s">
        <v>68</v>
      </c>
      <c r="C59" s="1109" t="str">
        <f>HLOOKUP($C$44,$F$44:$M$71,16,FALSE)</f>
        <v>R-38.0</v>
      </c>
      <c r="D59" s="1109" t="str">
        <f>HLOOKUP($D$44,$O$44:$V$71,16,FALSE)</f>
        <v>U-0.032</v>
      </c>
      <c r="E59" s="1478"/>
      <c r="F59" s="1119" t="s">
        <v>179</v>
      </c>
      <c r="G59" s="1119" t="s">
        <v>55</v>
      </c>
      <c r="H59" s="1119" t="s">
        <v>55</v>
      </c>
      <c r="I59" s="1119" t="s">
        <v>52</v>
      </c>
      <c r="J59" s="1119" t="s">
        <v>52</v>
      </c>
      <c r="K59" s="1119" t="s">
        <v>903</v>
      </c>
      <c r="L59" s="1119" t="s">
        <v>903</v>
      </c>
      <c r="M59" s="1119" t="s">
        <v>903</v>
      </c>
      <c r="N59" s="1478"/>
      <c r="O59" s="1119" t="s">
        <v>882</v>
      </c>
      <c r="P59" s="1119" t="s">
        <v>904</v>
      </c>
      <c r="Q59" s="1119" t="s">
        <v>904</v>
      </c>
      <c r="R59" s="1119" t="s">
        <v>860</v>
      </c>
      <c r="S59" s="1119" t="s">
        <v>860</v>
      </c>
      <c r="T59" s="1119" t="s">
        <v>905</v>
      </c>
      <c r="U59" s="1119" t="s">
        <v>905</v>
      </c>
      <c r="V59" s="1118" t="s">
        <v>905</v>
      </c>
    </row>
    <row r="60" spans="2:22">
      <c r="B60" s="1110" t="s">
        <v>79</v>
      </c>
      <c r="C60" s="1109" t="str">
        <f>HLOOKUP($C$44,$F$44:$M$71,17,FALSE)</f>
        <v>R-30.0 +  R-7.5 ci</v>
      </c>
      <c r="D60" s="1109" t="str">
        <f>HLOOKUP($D$44,$O$44:$V$71,17,FALSE)</f>
        <v>U-0.026</v>
      </c>
      <c r="E60" s="1478"/>
      <c r="F60" s="1119" t="s">
        <v>179</v>
      </c>
      <c r="G60" s="1119" t="s">
        <v>906</v>
      </c>
      <c r="H60" s="1119" t="s">
        <v>906</v>
      </c>
      <c r="I60" s="1119" t="s">
        <v>906</v>
      </c>
      <c r="J60" s="1119" t="s">
        <v>906</v>
      </c>
      <c r="K60" s="1119" t="s">
        <v>906</v>
      </c>
      <c r="L60" s="1119" t="s">
        <v>906</v>
      </c>
      <c r="M60" s="1119" t="s">
        <v>906</v>
      </c>
      <c r="N60" s="1478"/>
      <c r="O60" s="1119" t="s">
        <v>891</v>
      </c>
      <c r="P60" s="1119" t="s">
        <v>907</v>
      </c>
      <c r="Q60" s="1119" t="s">
        <v>907</v>
      </c>
      <c r="R60" s="1119" t="s">
        <v>907</v>
      </c>
      <c r="S60" s="1119" t="s">
        <v>907</v>
      </c>
      <c r="T60" s="1119" t="s">
        <v>907</v>
      </c>
      <c r="U60" s="1119" t="s">
        <v>907</v>
      </c>
      <c r="V60" s="1118" t="s">
        <v>907</v>
      </c>
    </row>
    <row r="61" spans="2:22">
      <c r="B61" s="2650" t="s">
        <v>66</v>
      </c>
      <c r="C61" s="2650"/>
      <c r="D61" s="2650"/>
      <c r="E61" s="1478"/>
      <c r="F61" s="1120"/>
      <c r="G61" s="1121"/>
      <c r="H61" s="1121"/>
      <c r="I61" s="1121"/>
      <c r="J61" s="1121"/>
      <c r="K61" s="1121"/>
      <c r="L61" s="1121"/>
      <c r="M61" s="1480"/>
      <c r="N61" s="1478"/>
      <c r="O61" s="1120"/>
      <c r="P61" s="1121"/>
      <c r="Q61" s="1121"/>
      <c r="R61" s="1121"/>
      <c r="S61" s="1121"/>
      <c r="T61" s="1121"/>
      <c r="U61" s="1121"/>
      <c r="V61" s="1480"/>
    </row>
    <row r="62" spans="2:22" ht="22.5">
      <c r="B62" s="1110" t="s">
        <v>33</v>
      </c>
      <c r="C62" s="1109" t="str">
        <f>HLOOKUP($C$44,$F$44:$M$71,19,FALSE)</f>
        <v>R-10.0 for 24 in. vertical or horizontal</v>
      </c>
      <c r="D62" s="1109" t="str">
        <f>HLOOKUP($D$44,$O$44:$V$71,19,FALSE)</f>
        <v>R-15.0 for 24 in.</v>
      </c>
      <c r="E62" s="1478"/>
      <c r="F62" s="1110" t="s">
        <v>896</v>
      </c>
      <c r="G62" s="1110" t="s">
        <v>896</v>
      </c>
      <c r="H62" s="1110" t="s">
        <v>896</v>
      </c>
      <c r="I62" s="1110" t="s">
        <v>295</v>
      </c>
      <c r="J62" s="1110" t="s">
        <v>25</v>
      </c>
      <c r="K62" s="1110" t="s">
        <v>57</v>
      </c>
      <c r="L62" s="1110" t="s">
        <v>57</v>
      </c>
      <c r="M62" s="1110" t="s">
        <v>2063</v>
      </c>
      <c r="N62" s="1478"/>
      <c r="O62" s="1110" t="s">
        <v>896</v>
      </c>
      <c r="P62" s="1110" t="s">
        <v>896</v>
      </c>
      <c r="Q62" s="1110" t="s">
        <v>896</v>
      </c>
      <c r="R62" s="1110" t="s">
        <v>295</v>
      </c>
      <c r="S62" s="1110" t="s">
        <v>295</v>
      </c>
      <c r="T62" s="1110" t="s">
        <v>296</v>
      </c>
      <c r="U62" s="1110" t="s">
        <v>908</v>
      </c>
      <c r="V62" s="1110" t="s">
        <v>908</v>
      </c>
    </row>
    <row r="63" spans="2:22" ht="30" customHeight="1">
      <c r="B63" s="1110" t="s">
        <v>27</v>
      </c>
      <c r="C63" s="1109" t="str">
        <f>HLOOKUP($C$44,$F$44:$M$71,20,FALSE)</f>
        <v>R-15.0 for 36 in. + R-5 ci below</v>
      </c>
      <c r="D63" s="1109" t="str">
        <f>HLOOKUP($D$44,$O$44:$V$71,20,FALSE)</f>
        <v>R-15.0 for 36 in. + R-5 ci below</v>
      </c>
      <c r="E63" s="1478"/>
      <c r="F63" s="1110" t="s">
        <v>910</v>
      </c>
      <c r="G63" s="1110" t="s">
        <v>910</v>
      </c>
      <c r="H63" s="1110" t="s">
        <v>910</v>
      </c>
      <c r="I63" s="1110" t="s">
        <v>909</v>
      </c>
      <c r="J63" s="1110" t="s">
        <v>297</v>
      </c>
      <c r="K63" s="1110" t="s">
        <v>297</v>
      </c>
      <c r="L63" s="1110" t="s">
        <v>911</v>
      </c>
      <c r="M63" s="1110" t="s">
        <v>911</v>
      </c>
      <c r="N63" s="1478"/>
      <c r="O63" s="1110" t="s">
        <v>910</v>
      </c>
      <c r="P63" s="1110" t="s">
        <v>910</v>
      </c>
      <c r="Q63" s="1110" t="s">
        <v>910</v>
      </c>
      <c r="R63" s="1110" t="s">
        <v>444</v>
      </c>
      <c r="S63" s="1110" t="s">
        <v>297</v>
      </c>
      <c r="T63" s="1110" t="s">
        <v>297</v>
      </c>
      <c r="U63" s="1110" t="s">
        <v>911</v>
      </c>
      <c r="V63" s="1110" t="s">
        <v>911</v>
      </c>
    </row>
    <row r="64" spans="2:22">
      <c r="B64" s="2650" t="s">
        <v>664</v>
      </c>
      <c r="C64" s="2650"/>
      <c r="D64" s="2650"/>
      <c r="E64" s="1478"/>
      <c r="F64" s="1334"/>
      <c r="G64" s="1333"/>
      <c r="H64" s="1333"/>
      <c r="I64" s="1333"/>
      <c r="J64" s="1333"/>
      <c r="K64" s="1333"/>
      <c r="L64" s="1333"/>
      <c r="M64" s="1335"/>
      <c r="N64" s="1478"/>
      <c r="O64" s="1334"/>
      <c r="P64" s="1333"/>
      <c r="Q64" s="1333"/>
      <c r="R64" s="1333"/>
      <c r="S64" s="1333"/>
      <c r="T64" s="1333"/>
      <c r="U64" s="1333"/>
      <c r="V64" s="1335"/>
    </row>
    <row r="65" spans="2:22">
      <c r="B65" s="1110" t="s">
        <v>912</v>
      </c>
      <c r="C65" s="1109" t="str">
        <f>HLOOKUP($C$44,$F$44:$M$71,22,FALSE)</f>
        <v>-</v>
      </c>
      <c r="D65" s="1109" t="str">
        <f>HLOOKUP($D$44,$O$44:$V$71,22,FALSE)</f>
        <v>U-0.4</v>
      </c>
      <c r="E65" s="1478"/>
      <c r="F65" s="1110" t="s">
        <v>703</v>
      </c>
      <c r="G65" s="1110" t="s">
        <v>703</v>
      </c>
      <c r="H65" s="1110" t="s">
        <v>703</v>
      </c>
      <c r="I65" s="1110" t="s">
        <v>703</v>
      </c>
      <c r="J65" s="1110" t="s">
        <v>703</v>
      </c>
      <c r="K65" s="1110" t="s">
        <v>703</v>
      </c>
      <c r="L65" s="1110" t="s">
        <v>703</v>
      </c>
      <c r="M65" s="1110" t="s">
        <v>703</v>
      </c>
      <c r="N65" s="1478"/>
      <c r="O65" s="1110" t="s">
        <v>913</v>
      </c>
      <c r="P65" s="1110" t="s">
        <v>913</v>
      </c>
      <c r="Q65" s="1110" t="s">
        <v>913</v>
      </c>
      <c r="R65" s="1110" t="s">
        <v>913</v>
      </c>
      <c r="S65" s="1110" t="s">
        <v>914</v>
      </c>
      <c r="T65" s="1110" t="s">
        <v>914</v>
      </c>
      <c r="U65" s="1110" t="s">
        <v>914</v>
      </c>
      <c r="V65" s="1110" t="s">
        <v>914</v>
      </c>
    </row>
    <row r="66" spans="2:22">
      <c r="B66" s="2650" t="s">
        <v>915</v>
      </c>
      <c r="C66" s="2650"/>
      <c r="D66" s="2650"/>
      <c r="E66" s="1478"/>
      <c r="F66" s="1334"/>
      <c r="G66" s="1333"/>
      <c r="H66" s="1333"/>
      <c r="I66" s="1333"/>
      <c r="J66" s="1333"/>
      <c r="K66" s="1333"/>
      <c r="L66" s="1333"/>
      <c r="M66" s="1335"/>
      <c r="N66" s="1478"/>
      <c r="O66" s="1334"/>
      <c r="P66" s="1333"/>
      <c r="Q66" s="1333"/>
      <c r="R66" s="1333"/>
      <c r="S66" s="1333"/>
      <c r="T66" s="1333"/>
      <c r="U66" s="1333"/>
      <c r="V66" s="1335"/>
    </row>
    <row r="67" spans="2:22">
      <c r="B67" s="1110" t="s">
        <v>10</v>
      </c>
      <c r="C67" s="1109" t="str">
        <f>HLOOKUP($C$44,$F$44:$M$71,24,FALSE)</f>
        <v>ENERGY STAR</v>
      </c>
      <c r="D67" s="1109" t="str">
        <f>HLOOKUP($D$44,$O$44:$V$71,24,FALSE)</f>
        <v>ENERGY STAR</v>
      </c>
      <c r="E67" s="1478"/>
      <c r="F67" s="1110" t="s">
        <v>4</v>
      </c>
      <c r="G67" s="1110" t="s">
        <v>4</v>
      </c>
      <c r="H67" s="1110" t="s">
        <v>4</v>
      </c>
      <c r="I67" s="1110" t="s">
        <v>4</v>
      </c>
      <c r="J67" s="1110" t="s">
        <v>4</v>
      </c>
      <c r="K67" s="1110" t="s">
        <v>4</v>
      </c>
      <c r="L67" s="1110" t="s">
        <v>4</v>
      </c>
      <c r="M67" s="1110" t="s">
        <v>4</v>
      </c>
      <c r="N67" s="1478"/>
      <c r="O67" s="1110" t="s">
        <v>4</v>
      </c>
      <c r="P67" s="1110" t="s">
        <v>4</v>
      </c>
      <c r="Q67" s="1110" t="s">
        <v>4</v>
      </c>
      <c r="R67" s="1110" t="s">
        <v>4</v>
      </c>
      <c r="S67" s="1110" t="s">
        <v>4</v>
      </c>
      <c r="T67" s="1110" t="s">
        <v>4</v>
      </c>
      <c r="U67" s="1110" t="s">
        <v>4</v>
      </c>
      <c r="V67" s="1110" t="s">
        <v>4</v>
      </c>
    </row>
    <row r="68" spans="2:22">
      <c r="B68" s="1123"/>
      <c r="C68" s="1331" t="s">
        <v>916</v>
      </c>
      <c r="D68" s="1331" t="s">
        <v>917</v>
      </c>
      <c r="E68" s="1478"/>
      <c r="F68" s="1115"/>
      <c r="G68" s="1116"/>
      <c r="H68" s="1116"/>
      <c r="I68" s="1116"/>
      <c r="J68" s="1116"/>
      <c r="K68" s="1116"/>
      <c r="L68" s="1116"/>
      <c r="M68" s="1117"/>
      <c r="N68" s="1478"/>
      <c r="O68" s="1334"/>
      <c r="P68" s="1333"/>
      <c r="Q68" s="1333"/>
      <c r="R68" s="1333"/>
      <c r="S68" s="1333"/>
      <c r="T68" s="1333"/>
      <c r="U68" s="1333"/>
      <c r="V68" s="1335"/>
    </row>
    <row r="69" spans="2:22">
      <c r="B69" s="1110" t="s">
        <v>918</v>
      </c>
      <c r="C69" s="1109" t="str">
        <f>HLOOKUP($C$44,$F$44:$M$71,26,FALSE)</f>
        <v>U-0.35</v>
      </c>
      <c r="D69" s="1109" t="str">
        <f>HLOOKUP($D$44,$O$44:$V$71,26,FALSE)</f>
        <v>SHGC-0.40</v>
      </c>
      <c r="E69" s="1478"/>
      <c r="F69" s="1119" t="s">
        <v>2058</v>
      </c>
      <c r="G69" s="1119" t="s">
        <v>925</v>
      </c>
      <c r="H69" s="1119" t="s">
        <v>2062</v>
      </c>
      <c r="I69" s="1119" t="s">
        <v>919</v>
      </c>
      <c r="J69" s="1119" t="s">
        <v>920</v>
      </c>
      <c r="K69" s="1119" t="s">
        <v>920</v>
      </c>
      <c r="L69" s="1119" t="s">
        <v>2061</v>
      </c>
      <c r="M69" s="1119" t="s">
        <v>2061</v>
      </c>
      <c r="N69" s="1479"/>
      <c r="O69" s="1110" t="s">
        <v>921</v>
      </c>
      <c r="P69" s="1110" t="s">
        <v>921</v>
      </c>
      <c r="Q69" s="1110" t="s">
        <v>921</v>
      </c>
      <c r="R69" s="1110" t="s">
        <v>922</v>
      </c>
      <c r="S69" s="1110" t="s">
        <v>922</v>
      </c>
      <c r="T69" s="1110" t="s">
        <v>922</v>
      </c>
      <c r="U69" s="1110" t="s">
        <v>923</v>
      </c>
      <c r="V69" s="1110" t="s">
        <v>923</v>
      </c>
    </row>
    <row r="70" spans="2:22">
      <c r="B70" s="1110" t="s">
        <v>11</v>
      </c>
      <c r="C70" s="1109" t="str">
        <f>HLOOKUP($C$44,$F$44:$M$71,27,FALSE)</f>
        <v>U-0.70</v>
      </c>
      <c r="D70" s="1109" t="str">
        <f>HLOOKUP($D$44,$O$44:$V$71,27,FALSE)</f>
        <v>SHGC-0.40</v>
      </c>
      <c r="E70" s="1478"/>
      <c r="F70" s="1119" t="s">
        <v>2058</v>
      </c>
      <c r="G70" s="1119" t="s">
        <v>2060</v>
      </c>
      <c r="H70" s="1119" t="s">
        <v>2059</v>
      </c>
      <c r="I70" s="1119" t="s">
        <v>924</v>
      </c>
      <c r="J70" s="1119" t="s">
        <v>925</v>
      </c>
      <c r="K70" s="1119" t="s">
        <v>925</v>
      </c>
      <c r="L70" s="1119" t="s">
        <v>925</v>
      </c>
      <c r="M70" s="1119" t="s">
        <v>925</v>
      </c>
      <c r="N70" s="1478"/>
      <c r="O70" s="1110" t="s">
        <v>921</v>
      </c>
      <c r="P70" s="1110" t="s">
        <v>921</v>
      </c>
      <c r="Q70" s="1110" t="s">
        <v>921</v>
      </c>
      <c r="R70" s="1110" t="s">
        <v>922</v>
      </c>
      <c r="S70" s="1110" t="s">
        <v>922</v>
      </c>
      <c r="T70" s="1110" t="s">
        <v>922</v>
      </c>
      <c r="U70" s="1110" t="s">
        <v>923</v>
      </c>
      <c r="V70" s="1110" t="s">
        <v>923</v>
      </c>
    </row>
    <row r="71" spans="2:22">
      <c r="B71" s="1110" t="s">
        <v>12</v>
      </c>
      <c r="C71" s="1109" t="str">
        <f>HLOOKUP($C$44,$F$44:$M$71,28,FALSE)</f>
        <v>U-0.45</v>
      </c>
      <c r="D71" s="1109" t="str">
        <f>HLOOKUP($D$44,$O$44:$V$71,28,FALSE)</f>
        <v>SHGC-0.40</v>
      </c>
      <c r="E71" s="1478"/>
      <c r="F71" s="1119" t="s">
        <v>2058</v>
      </c>
      <c r="G71" s="1119" t="s">
        <v>924</v>
      </c>
      <c r="H71" s="1119" t="s">
        <v>2057</v>
      </c>
      <c r="I71" s="1119" t="s">
        <v>926</v>
      </c>
      <c r="J71" s="1119" t="s">
        <v>926</v>
      </c>
      <c r="K71" s="1119" t="s">
        <v>926</v>
      </c>
      <c r="L71" s="1119" t="s">
        <v>920</v>
      </c>
      <c r="M71" s="1119" t="s">
        <v>920</v>
      </c>
      <c r="N71" s="1478"/>
      <c r="O71" s="1110" t="s">
        <v>921</v>
      </c>
      <c r="P71" s="1110" t="s">
        <v>921</v>
      </c>
      <c r="Q71" s="1110" t="s">
        <v>921</v>
      </c>
      <c r="R71" s="1110" t="s">
        <v>922</v>
      </c>
      <c r="S71" s="1110" t="s">
        <v>922</v>
      </c>
      <c r="T71" s="1110" t="s">
        <v>922</v>
      </c>
      <c r="U71" s="1110" t="s">
        <v>923</v>
      </c>
      <c r="V71" s="1110" t="s">
        <v>923</v>
      </c>
    </row>
    <row r="84" ht="35.25" customHeight="1"/>
    <row r="100" ht="98.25" customHeight="1"/>
    <row r="115" ht="25.5" customHeight="1"/>
    <row r="116" ht="27" customHeight="1"/>
    <row r="129" ht="15" customHeight="1"/>
  </sheetData>
  <sheetProtection formatCells="0" formatColumns="0" formatRows="0"/>
  <mergeCells count="14">
    <mergeCell ref="F43:M43"/>
    <mergeCell ref="B38:W38"/>
    <mergeCell ref="B39:W39"/>
    <mergeCell ref="B40:W40"/>
    <mergeCell ref="O43:V43"/>
    <mergeCell ref="B43:B44"/>
    <mergeCell ref="B3:B4"/>
    <mergeCell ref="B64:D64"/>
    <mergeCell ref="B66:D66"/>
    <mergeCell ref="B57:D57"/>
    <mergeCell ref="B61:D61"/>
    <mergeCell ref="B45:D45"/>
    <mergeCell ref="B49:D49"/>
    <mergeCell ref="B54:D54"/>
  </mergeCells>
  <pageMargins left="0.75" right="0.75" top="1" bottom="1" header="0.5" footer="0.5"/>
  <pageSetup scale="62" orientation="portrait" r:id="rId1"/>
  <headerFooter alignWithMargins="0">
    <oddFooter>Page &amp;P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CCFF"/>
    <outlinePr summaryBelow="0" summaryRight="0"/>
  </sheetPr>
  <dimension ref="A1:AY1432"/>
  <sheetViews>
    <sheetView showGridLines="0" topLeftCell="A246" zoomScale="90" zoomScaleNormal="90" workbookViewId="0">
      <selection activeCell="C256" sqref="C256:M256"/>
    </sheetView>
  </sheetViews>
  <sheetFormatPr defaultColWidth="8.85546875" defaultRowHeight="18"/>
  <cols>
    <col min="1" max="1" width="8.85546875" style="1488"/>
    <col min="2" max="2" width="8.85546875" style="1488" customWidth="1"/>
    <col min="3" max="3" width="20" style="1498" customWidth="1"/>
    <col min="4" max="4" width="46.140625" style="1497" customWidth="1"/>
    <col min="5" max="5" width="22.28515625" style="1496" hidden="1" customWidth="1"/>
    <col min="6" max="6" width="19.28515625" style="1495" hidden="1" customWidth="1"/>
    <col min="7" max="7" width="66" style="1494" customWidth="1"/>
    <col min="8" max="8" width="8.42578125" style="1493" customWidth="1"/>
    <col min="9" max="9" width="14.7109375" style="1493" customWidth="1"/>
    <col min="10" max="10" width="47" style="1492" customWidth="1"/>
    <col min="11" max="11" width="8.42578125" style="1491" customWidth="1"/>
    <col min="12" max="12" width="14.7109375" style="1490" customWidth="1"/>
    <col min="13" max="13" width="50.7109375" style="1489" customWidth="1"/>
    <col min="14" max="43" width="9.140625" style="1489" customWidth="1"/>
    <col min="44" max="46" width="9.140625" style="1488" customWidth="1"/>
    <col min="47" max="47" width="8.85546875" style="1488" customWidth="1"/>
    <col min="48" max="16384" width="8.85546875" style="1488"/>
  </cols>
  <sheetData>
    <row r="1" spans="1:43" ht="23.25">
      <c r="C1" s="1126"/>
      <c r="D1" s="1073" t="s">
        <v>549</v>
      </c>
      <c r="E1" s="1074"/>
      <c r="F1" s="1130"/>
      <c r="G1" s="1127"/>
      <c r="H1" s="1128"/>
      <c r="I1" s="1128"/>
      <c r="J1" s="1129"/>
      <c r="K1" s="814"/>
      <c r="L1" s="1499"/>
      <c r="M1" s="1488"/>
      <c r="N1" s="1488"/>
      <c r="O1" s="1488"/>
    </row>
    <row r="2" spans="1:43">
      <c r="A2" s="1523"/>
      <c r="C2" s="1126"/>
      <c r="D2" s="1522" t="s">
        <v>2111</v>
      </c>
      <c r="E2" s="1521"/>
      <c r="F2" s="1521"/>
      <c r="G2" s="1521"/>
      <c r="H2" s="1521"/>
      <c r="I2" s="1521"/>
      <c r="J2" s="1129"/>
      <c r="K2" s="814"/>
      <c r="L2" s="1499"/>
      <c r="M2" s="1488"/>
      <c r="N2" s="1488"/>
      <c r="O2" s="1488"/>
    </row>
    <row r="3" spans="1:43">
      <c r="C3" s="1126"/>
      <c r="D3" s="1522" t="s">
        <v>927</v>
      </c>
      <c r="E3" s="1521"/>
      <c r="F3" s="1521"/>
      <c r="G3" s="1521"/>
      <c r="H3" s="1521"/>
      <c r="I3" s="1521"/>
      <c r="J3" s="1129"/>
      <c r="K3" s="814"/>
      <c r="L3" s="1499"/>
      <c r="M3" s="1488"/>
      <c r="N3" s="1488"/>
      <c r="O3" s="1488"/>
    </row>
    <row r="4" spans="1:43">
      <c r="C4" s="1126"/>
      <c r="D4" s="1522" t="s">
        <v>928</v>
      </c>
      <c r="E4" s="1521"/>
      <c r="F4" s="1521"/>
      <c r="G4" s="1521"/>
      <c r="H4" s="1521"/>
      <c r="I4" s="1521"/>
      <c r="J4" s="1129"/>
      <c r="K4" s="814"/>
      <c r="L4" s="1499"/>
      <c r="M4" s="1488"/>
      <c r="N4" s="1488"/>
      <c r="O4" s="1488"/>
    </row>
    <row r="5" spans="1:43">
      <c r="C5" s="1126"/>
      <c r="D5" s="1131"/>
      <c r="E5" s="1132"/>
      <c r="F5" s="1130"/>
      <c r="G5" s="1127"/>
      <c r="H5" s="1128"/>
      <c r="I5" s="1128"/>
      <c r="J5" s="1129"/>
      <c r="K5" s="814"/>
      <c r="L5" s="1499"/>
      <c r="M5" s="1488"/>
      <c r="N5" s="1488"/>
      <c r="O5" s="1488"/>
    </row>
    <row r="6" spans="1:43" s="1456" customFormat="1" ht="15">
      <c r="C6" s="1076"/>
      <c r="D6" s="1133" t="s">
        <v>368</v>
      </c>
      <c r="E6" s="1076"/>
      <c r="F6" s="1076"/>
      <c r="G6" s="1520">
        <f>'Project Info'!C3</f>
        <v>0</v>
      </c>
      <c r="H6" s="1072"/>
      <c r="I6" s="1072"/>
      <c r="J6" s="1076"/>
      <c r="P6" s="2656"/>
      <c r="Q6" s="2656"/>
      <c r="R6" s="2656"/>
      <c r="S6" s="2656"/>
      <c r="AP6" s="1444"/>
      <c r="AQ6" s="1444"/>
    </row>
    <row r="7" spans="1:43" s="1456" customFormat="1" ht="15">
      <c r="C7" s="1076"/>
      <c r="D7" s="1133" t="s">
        <v>572</v>
      </c>
      <c r="E7" s="1076"/>
      <c r="F7" s="1076"/>
      <c r="G7" s="1520">
        <f>'Project Info'!C5</f>
        <v>0</v>
      </c>
      <c r="H7" s="1072"/>
      <c r="I7" s="1072"/>
      <c r="J7" s="1076"/>
      <c r="P7" s="2656"/>
      <c r="Q7" s="2656"/>
      <c r="R7" s="2656"/>
      <c r="S7" s="2656"/>
      <c r="AP7" s="1444"/>
      <c r="AQ7" s="1444"/>
    </row>
    <row r="8" spans="1:43" s="1456" customFormat="1" ht="15">
      <c r="C8" s="1076"/>
      <c r="D8" s="1133" t="s">
        <v>573</v>
      </c>
      <c r="E8" s="1076"/>
      <c r="F8" s="1076"/>
      <c r="G8" s="1520">
        <f>'Project Info'!C5</f>
        <v>0</v>
      </c>
      <c r="H8" s="1072"/>
      <c r="I8" s="1072"/>
      <c r="J8" s="1076"/>
      <c r="P8" s="2656"/>
      <c r="Q8" s="2656"/>
      <c r="R8" s="2656"/>
      <c r="S8" s="2656"/>
      <c r="AP8" s="1444"/>
      <c r="AQ8" s="1444"/>
    </row>
    <row r="9" spans="1:43" s="1456" customFormat="1" ht="15">
      <c r="C9" s="1076"/>
      <c r="E9" s="1076"/>
      <c r="F9" s="1076"/>
      <c r="G9" s="1520">
        <f>'Project Info'!C6</f>
        <v>0</v>
      </c>
      <c r="H9" s="1072"/>
      <c r="I9" s="1072"/>
      <c r="J9" s="1076"/>
      <c r="P9" s="2656"/>
      <c r="Q9" s="2656"/>
      <c r="R9" s="2656"/>
      <c r="S9" s="2656"/>
      <c r="AP9" s="1444"/>
      <c r="AQ9" s="1444"/>
    </row>
    <row r="10" spans="1:43" s="1456" customFormat="1" ht="15">
      <c r="C10" s="1076"/>
      <c r="D10" s="1133" t="s">
        <v>587</v>
      </c>
      <c r="E10" s="1076"/>
      <c r="F10" s="1076"/>
      <c r="G10" s="1134">
        <f>'Project Info'!C7</f>
        <v>5</v>
      </c>
      <c r="H10" s="1072"/>
      <c r="I10" s="1072"/>
      <c r="J10" s="1076"/>
      <c r="P10" s="2656"/>
      <c r="Q10" s="2656"/>
      <c r="R10" s="2656"/>
      <c r="S10" s="2656"/>
      <c r="AP10" s="1444"/>
      <c r="AQ10" s="1444"/>
    </row>
    <row r="11" spans="1:43">
      <c r="C11" s="1519"/>
      <c r="D11" s="1518"/>
      <c r="E11" s="1517"/>
      <c r="F11" s="1516"/>
      <c r="G11" s="1515"/>
      <c r="H11" s="1515"/>
      <c r="I11" s="1514"/>
      <c r="J11" s="1513"/>
      <c r="K11" s="1499"/>
      <c r="L11" s="1499"/>
    </row>
    <row r="12" spans="1:43" s="1511" customFormat="1" ht="62.25" customHeight="1">
      <c r="C12" s="2657" t="s">
        <v>929</v>
      </c>
      <c r="D12" s="2659" t="s">
        <v>930</v>
      </c>
      <c r="E12" s="2663" t="s">
        <v>931</v>
      </c>
      <c r="F12" s="2664"/>
      <c r="G12" s="2664"/>
      <c r="H12" s="2664"/>
      <c r="I12" s="2665"/>
      <c r="J12" s="2661" t="s">
        <v>932</v>
      </c>
      <c r="K12" s="2662"/>
      <c r="L12" s="2662"/>
      <c r="M12" s="847"/>
      <c r="P12" s="1512"/>
      <c r="Q12" s="1512"/>
      <c r="R12" s="1512"/>
      <c r="S12" s="1512"/>
      <c r="T12" s="1512"/>
      <c r="U12" s="1512"/>
      <c r="V12" s="1512"/>
      <c r="W12" s="1512"/>
      <c r="X12" s="1512"/>
      <c r="Y12" s="1512"/>
      <c r="Z12" s="1512"/>
      <c r="AA12" s="1512"/>
      <c r="AB12" s="1512"/>
      <c r="AC12" s="1512"/>
      <c r="AD12" s="1512"/>
      <c r="AE12" s="1512"/>
      <c r="AF12" s="1512"/>
      <c r="AG12" s="1512"/>
      <c r="AH12" s="1512"/>
      <c r="AI12" s="1512"/>
      <c r="AJ12" s="1512"/>
      <c r="AK12" s="1512"/>
      <c r="AL12" s="1512"/>
      <c r="AM12" s="1512"/>
      <c r="AN12" s="1512"/>
      <c r="AO12" s="1512"/>
      <c r="AP12" s="1512"/>
      <c r="AQ12" s="1512"/>
    </row>
    <row r="13" spans="1:43" s="1504" customFormat="1" ht="72">
      <c r="C13" s="2658"/>
      <c r="D13" s="2660"/>
      <c r="E13" s="1510" t="s">
        <v>933</v>
      </c>
      <c r="F13" s="1510" t="s">
        <v>2110</v>
      </c>
      <c r="G13" s="1135" t="s">
        <v>649</v>
      </c>
      <c r="H13" s="1135" t="s">
        <v>934</v>
      </c>
      <c r="I13" s="1135" t="s">
        <v>2109</v>
      </c>
      <c r="J13" s="1336" t="s">
        <v>651</v>
      </c>
      <c r="K13" s="1336" t="s">
        <v>934</v>
      </c>
      <c r="L13" s="1336" t="s">
        <v>2109</v>
      </c>
      <c r="M13" s="1136" t="s">
        <v>935</v>
      </c>
      <c r="P13" s="1505"/>
      <c r="Q13" s="1505"/>
      <c r="R13" s="1505"/>
      <c r="S13" s="1505"/>
      <c r="T13" s="1505"/>
      <c r="U13" s="1505"/>
      <c r="V13" s="1505"/>
      <c r="W13" s="1505"/>
      <c r="X13" s="1505"/>
      <c r="Y13" s="1505"/>
      <c r="Z13" s="1505"/>
      <c r="AA13" s="1505"/>
      <c r="AB13" s="1505"/>
      <c r="AC13" s="1505"/>
      <c r="AD13" s="1505"/>
      <c r="AE13" s="1505"/>
      <c r="AF13" s="1505"/>
      <c r="AG13" s="1505"/>
      <c r="AH13" s="1505"/>
      <c r="AI13" s="1505"/>
      <c r="AJ13" s="1505"/>
      <c r="AK13" s="1505"/>
      <c r="AL13" s="1505"/>
      <c r="AM13" s="1505"/>
      <c r="AN13" s="1505"/>
      <c r="AO13" s="1505"/>
      <c r="AP13" s="1505"/>
      <c r="AQ13" s="1505"/>
    </row>
    <row r="14" spans="1:43" s="1504" customFormat="1">
      <c r="C14" s="846">
        <v>1</v>
      </c>
      <c r="D14" s="847" t="s">
        <v>936</v>
      </c>
      <c r="E14" s="847"/>
      <c r="F14" s="847"/>
      <c r="G14" s="847"/>
      <c r="H14" s="847"/>
      <c r="I14" s="847"/>
      <c r="J14" s="847"/>
      <c r="K14" s="847"/>
      <c r="L14" s="847"/>
      <c r="M14" s="847"/>
      <c r="P14" s="1505"/>
      <c r="Q14" s="1505"/>
      <c r="R14" s="1505"/>
      <c r="S14" s="1505"/>
      <c r="T14" s="1505"/>
      <c r="U14" s="1505"/>
      <c r="V14" s="1505"/>
      <c r="W14" s="1505"/>
      <c r="X14" s="1505"/>
      <c r="Y14" s="1505"/>
      <c r="Z14" s="1505"/>
      <c r="AA14" s="1505"/>
      <c r="AB14" s="1505"/>
      <c r="AC14" s="1505"/>
      <c r="AD14" s="1505"/>
      <c r="AE14" s="1505"/>
      <c r="AF14" s="1505"/>
      <c r="AG14" s="1505"/>
      <c r="AH14" s="1505"/>
      <c r="AI14" s="1505"/>
      <c r="AJ14" s="1505"/>
      <c r="AK14" s="1505"/>
      <c r="AL14" s="1505"/>
      <c r="AM14" s="1505"/>
      <c r="AN14" s="1505"/>
      <c r="AO14" s="1505"/>
      <c r="AP14" s="1505"/>
      <c r="AQ14" s="1505"/>
    </row>
    <row r="15" spans="1:43" s="1508" customFormat="1" ht="18.75">
      <c r="C15" s="848" t="s">
        <v>937</v>
      </c>
      <c r="D15" s="849" t="str">
        <f>'1.1 - APPLIANCES'!D26</f>
        <v>Refrigerators</v>
      </c>
      <c r="E15" s="850">
        <f>'1.1 - APPLIANCES'!E26</f>
        <v>0</v>
      </c>
      <c r="F15" s="850" t="e">
        <f>'1.1 - APPLIANCES'!#REF!</f>
        <v>#REF!</v>
      </c>
      <c r="G15" s="851">
        <f>'1.1 - APPLIANCES'!K26</f>
        <v>0</v>
      </c>
      <c r="H15" s="851">
        <f>'1.1 - APPLIANCES'!L26</f>
        <v>0</v>
      </c>
      <c r="I15" s="851">
        <f>'1.1 - APPLIANCES'!M26</f>
        <v>0</v>
      </c>
      <c r="J15" s="852">
        <f>'1.1 - APPLIANCES'!O26</f>
        <v>0</v>
      </c>
      <c r="K15" s="852">
        <f>'1.1 - APPLIANCES'!L26</f>
        <v>0</v>
      </c>
      <c r="L15" s="852">
        <f>'1.1 - APPLIANCES'!N26</f>
        <v>0</v>
      </c>
      <c r="M15" s="853"/>
      <c r="P15" s="1509"/>
      <c r="Q15" s="1509"/>
      <c r="R15" s="1509"/>
      <c r="S15" s="1509"/>
      <c r="T15" s="1509"/>
      <c r="U15" s="1509"/>
      <c r="V15" s="1509"/>
      <c r="W15" s="1509"/>
      <c r="X15" s="1509"/>
      <c r="Y15" s="1509"/>
      <c r="Z15" s="1509"/>
      <c r="AA15" s="1509"/>
      <c r="AB15" s="1509"/>
      <c r="AC15" s="1509"/>
      <c r="AD15" s="1509"/>
      <c r="AE15" s="1509"/>
      <c r="AF15" s="1509"/>
      <c r="AG15" s="1509"/>
      <c r="AH15" s="1509"/>
      <c r="AI15" s="1509"/>
      <c r="AJ15" s="1509"/>
      <c r="AK15" s="1509"/>
      <c r="AL15" s="1509"/>
      <c r="AM15" s="1509"/>
      <c r="AN15" s="1509"/>
      <c r="AO15" s="1509"/>
      <c r="AP15" s="1509"/>
      <c r="AQ15" s="1509"/>
    </row>
    <row r="16" spans="1:43" s="1508" customFormat="1" ht="18.75">
      <c r="C16" s="848" t="s">
        <v>938</v>
      </c>
      <c r="D16" s="854" t="str">
        <f>'1.1 - APPLIANCES'!D27</f>
        <v>Dishwashers</v>
      </c>
      <c r="E16" s="855">
        <f>'1.1 - APPLIANCES'!E27</f>
        <v>0</v>
      </c>
      <c r="F16" s="855" t="e">
        <f>'1.1 - APPLIANCES'!#REF!</f>
        <v>#REF!</v>
      </c>
      <c r="G16" s="851">
        <f>'1.1 - APPLIANCES'!K27</f>
        <v>0</v>
      </c>
      <c r="H16" s="851">
        <f>'1.1 - APPLIANCES'!L27</f>
        <v>0</v>
      </c>
      <c r="I16" s="851">
        <f>'1.1 - APPLIANCES'!M27</f>
        <v>0</v>
      </c>
      <c r="J16" s="856">
        <f>'1.1 - APPLIANCES'!O27</f>
        <v>0</v>
      </c>
      <c r="K16" s="852">
        <f>'1.1 - APPLIANCES'!L27</f>
        <v>0</v>
      </c>
      <c r="L16" s="856">
        <f>'1.1 - APPLIANCES'!N27</f>
        <v>0</v>
      </c>
      <c r="M16" s="853"/>
      <c r="P16" s="1509"/>
      <c r="Q16" s="1509"/>
      <c r="R16" s="1509"/>
      <c r="S16" s="1509"/>
      <c r="T16" s="1509"/>
      <c r="U16" s="1509"/>
      <c r="V16" s="1509"/>
      <c r="W16" s="1509"/>
      <c r="X16" s="1509"/>
      <c r="Y16" s="1509"/>
      <c r="Z16" s="1509"/>
      <c r="AA16" s="1509"/>
      <c r="AB16" s="1509"/>
      <c r="AC16" s="1509"/>
      <c r="AD16" s="1509"/>
      <c r="AE16" s="1509"/>
      <c r="AF16" s="1509"/>
      <c r="AG16" s="1509"/>
      <c r="AH16" s="1509"/>
      <c r="AI16" s="1509"/>
      <c r="AJ16" s="1509"/>
      <c r="AK16" s="1509"/>
      <c r="AL16" s="1509"/>
      <c r="AM16" s="1509"/>
      <c r="AN16" s="1509"/>
      <c r="AO16" s="1509"/>
      <c r="AP16" s="1509"/>
      <c r="AQ16" s="1509"/>
    </row>
    <row r="17" spans="2:43" s="1508" customFormat="1" ht="18.75">
      <c r="C17" s="848" t="s">
        <v>939</v>
      </c>
      <c r="D17" s="854" t="str">
        <f>'1.1 - APPLIANCES'!D28</f>
        <v>Clothes Washers</v>
      </c>
      <c r="E17" s="855">
        <f>'1.1 - APPLIANCES'!E28</f>
        <v>0</v>
      </c>
      <c r="F17" s="855" t="e">
        <f>'1.1 - APPLIANCES'!#REF!</f>
        <v>#REF!</v>
      </c>
      <c r="G17" s="851">
        <f>'1.1 - APPLIANCES'!K28</f>
        <v>0</v>
      </c>
      <c r="H17" s="851">
        <f>'1.1 - APPLIANCES'!L28</f>
        <v>0</v>
      </c>
      <c r="I17" s="851">
        <f>'1.1 - APPLIANCES'!M28</f>
        <v>0</v>
      </c>
      <c r="J17" s="856">
        <f>'1.1 - APPLIANCES'!O28</f>
        <v>0</v>
      </c>
      <c r="K17" s="852">
        <f>'1.1 - APPLIANCES'!L28</f>
        <v>0</v>
      </c>
      <c r="L17" s="856">
        <f>'1.1 - APPLIANCES'!N28</f>
        <v>0</v>
      </c>
      <c r="M17" s="853"/>
      <c r="P17" s="1509"/>
      <c r="Q17" s="1509"/>
      <c r="R17" s="1509"/>
      <c r="S17" s="1509"/>
      <c r="T17" s="1509"/>
      <c r="U17" s="1509"/>
      <c r="V17" s="1509"/>
      <c r="W17" s="1509"/>
      <c r="X17" s="1509"/>
      <c r="Y17" s="1509"/>
      <c r="Z17" s="1509"/>
      <c r="AA17" s="1509"/>
      <c r="AB17" s="1509"/>
      <c r="AC17" s="1509"/>
      <c r="AD17" s="1509"/>
      <c r="AE17" s="1509"/>
      <c r="AF17" s="1509"/>
      <c r="AG17" s="1509"/>
      <c r="AH17" s="1509"/>
      <c r="AI17" s="1509"/>
      <c r="AJ17" s="1509"/>
      <c r="AK17" s="1509"/>
      <c r="AL17" s="1509"/>
      <c r="AM17" s="1509"/>
      <c r="AN17" s="1509"/>
      <c r="AO17" s="1509"/>
      <c r="AP17" s="1509"/>
      <c r="AQ17" s="1509"/>
    </row>
    <row r="18" spans="2:43" s="1508" customFormat="1" ht="18.75">
      <c r="C18" s="848" t="s">
        <v>940</v>
      </c>
      <c r="D18" s="854" t="str">
        <f>'1.1 - APPLIANCES'!D29</f>
        <v>Ceiling Fans</v>
      </c>
      <c r="E18" s="855">
        <f>'1.1 - APPLIANCES'!E29</f>
        <v>0</v>
      </c>
      <c r="F18" s="855" t="e">
        <f>'1.1 - APPLIANCES'!#REF!</f>
        <v>#REF!</v>
      </c>
      <c r="G18" s="851">
        <f>'1.1 - APPLIANCES'!K29</f>
        <v>0</v>
      </c>
      <c r="H18" s="851">
        <f>'1.1 - APPLIANCES'!L29</f>
        <v>0</v>
      </c>
      <c r="I18" s="851">
        <f>'1.1 - APPLIANCES'!M29</f>
        <v>0</v>
      </c>
      <c r="J18" s="856">
        <f>'1.1 - APPLIANCES'!O29</f>
        <v>0</v>
      </c>
      <c r="K18" s="852">
        <f>'1.1 - APPLIANCES'!L29</f>
        <v>0</v>
      </c>
      <c r="L18" s="856">
        <f>'1.1 - APPLIANCES'!N29</f>
        <v>0</v>
      </c>
      <c r="M18" s="853"/>
      <c r="P18" s="1509"/>
      <c r="Q18" s="1509"/>
      <c r="R18" s="1509"/>
      <c r="S18" s="1509"/>
      <c r="T18" s="1509"/>
      <c r="U18" s="1509"/>
      <c r="V18" s="1509"/>
      <c r="W18" s="1509"/>
      <c r="X18" s="1509"/>
      <c r="Y18" s="1509"/>
      <c r="Z18" s="1509"/>
      <c r="AA18" s="1509"/>
      <c r="AB18" s="1509"/>
      <c r="AC18" s="1509"/>
      <c r="AD18" s="1509"/>
      <c r="AE18" s="1509"/>
      <c r="AF18" s="1509"/>
      <c r="AG18" s="1509"/>
      <c r="AH18" s="1509"/>
      <c r="AI18" s="1509"/>
      <c r="AJ18" s="1509"/>
      <c r="AK18" s="1509"/>
      <c r="AL18" s="1509"/>
      <c r="AM18" s="1509"/>
      <c r="AN18" s="1509"/>
      <c r="AO18" s="1509"/>
      <c r="AP18" s="1509"/>
      <c r="AQ18" s="1509"/>
    </row>
    <row r="19" spans="2:43" s="1508" customFormat="1" ht="18.75">
      <c r="C19" s="848" t="s">
        <v>941</v>
      </c>
      <c r="D19" s="854" t="str">
        <f>'1.1 - APPLIANCES'!D30</f>
        <v>Vending Machines</v>
      </c>
      <c r="E19" s="855">
        <f>'1.1 - APPLIANCES'!E30</f>
        <v>0</v>
      </c>
      <c r="F19" s="855" t="e">
        <f>'1.1 - APPLIANCES'!#REF!</f>
        <v>#REF!</v>
      </c>
      <c r="G19" s="851">
        <f>'1.1 - APPLIANCES'!K30</f>
        <v>0</v>
      </c>
      <c r="H19" s="851">
        <f>'1.1 - APPLIANCES'!L30</f>
        <v>0</v>
      </c>
      <c r="I19" s="851">
        <f>'1.1 - APPLIANCES'!M30</f>
        <v>0</v>
      </c>
      <c r="J19" s="856">
        <f>'1.1 - APPLIANCES'!O30</f>
        <v>0</v>
      </c>
      <c r="K19" s="852">
        <f>'1.1 - APPLIANCES'!L30</f>
        <v>0</v>
      </c>
      <c r="L19" s="856">
        <f>'1.1 - APPLIANCES'!N30</f>
        <v>0</v>
      </c>
      <c r="M19" s="853"/>
      <c r="P19" s="1509"/>
      <c r="Q19" s="1509"/>
      <c r="R19" s="1509"/>
      <c r="S19" s="1509"/>
      <c r="T19" s="1509"/>
      <c r="U19" s="1509"/>
      <c r="V19" s="1509"/>
      <c r="W19" s="1509"/>
      <c r="X19" s="1509"/>
      <c r="Y19" s="1509"/>
      <c r="Z19" s="1509"/>
      <c r="AA19" s="1509"/>
      <c r="AB19" s="1509"/>
      <c r="AC19" s="1509"/>
      <c r="AD19" s="1509"/>
      <c r="AE19" s="1509"/>
      <c r="AF19" s="1509"/>
      <c r="AG19" s="1509"/>
      <c r="AH19" s="1509"/>
      <c r="AI19" s="1509"/>
      <c r="AJ19" s="1509"/>
      <c r="AK19" s="1509"/>
      <c r="AL19" s="1509"/>
      <c r="AM19" s="1509"/>
      <c r="AN19" s="1509"/>
      <c r="AO19" s="1509"/>
      <c r="AP19" s="1509"/>
      <c r="AQ19" s="1509"/>
    </row>
    <row r="20" spans="2:43" s="1508" customFormat="1" ht="18.75">
      <c r="C20" s="848" t="s">
        <v>942</v>
      </c>
      <c r="D20" s="854" t="s">
        <v>943</v>
      </c>
      <c r="E20" s="855">
        <f>'1.1 - APPLIANCES'!E32</f>
        <v>0</v>
      </c>
      <c r="F20" s="855" t="e">
        <f>'1.1 - APPLIANCES'!#REF!</f>
        <v>#REF!</v>
      </c>
      <c r="G20" s="857">
        <f>'1.1 - APPLIANCES'!F32</f>
        <v>0</v>
      </c>
      <c r="H20" s="857">
        <f>'1.1 - APPLIANCES'!L32</f>
        <v>0</v>
      </c>
      <c r="I20" s="857">
        <f>'1.1 - APPLIANCES'!M32</f>
        <v>0</v>
      </c>
      <c r="J20" s="856">
        <f>'1.1 - APPLIANCES'!O32</f>
        <v>0</v>
      </c>
      <c r="K20" s="856">
        <f>'1.1 - APPLIANCES'!L32</f>
        <v>0</v>
      </c>
      <c r="L20" s="856">
        <f>'1.1 - APPLIANCES'!N32</f>
        <v>0</v>
      </c>
      <c r="M20" s="853"/>
      <c r="P20" s="1509"/>
      <c r="Q20" s="1509"/>
      <c r="R20" s="1509"/>
      <c r="S20" s="1509"/>
      <c r="T20" s="1509"/>
      <c r="U20" s="1509"/>
      <c r="V20" s="1509"/>
      <c r="W20" s="1509"/>
      <c r="X20" s="1509"/>
      <c r="Y20" s="1509"/>
      <c r="Z20" s="1509"/>
      <c r="AA20" s="1509"/>
      <c r="AB20" s="1509"/>
      <c r="AC20" s="1509"/>
      <c r="AD20" s="1509"/>
      <c r="AE20" s="1509"/>
      <c r="AF20" s="1509"/>
      <c r="AG20" s="1509"/>
      <c r="AH20" s="1509"/>
      <c r="AI20" s="1509"/>
      <c r="AJ20" s="1509"/>
      <c r="AK20" s="1509"/>
      <c r="AL20" s="1509"/>
      <c r="AM20" s="1509"/>
      <c r="AN20" s="1509"/>
      <c r="AO20" s="1509"/>
      <c r="AP20" s="1509"/>
      <c r="AQ20" s="1509"/>
    </row>
    <row r="21" spans="2:43" s="1508" customFormat="1" ht="36">
      <c r="C21" s="848" t="s">
        <v>944</v>
      </c>
      <c r="D21" s="854" t="s">
        <v>945</v>
      </c>
      <c r="E21" s="855" t="s">
        <v>946</v>
      </c>
      <c r="F21" s="855" t="s">
        <v>946</v>
      </c>
      <c r="G21" s="857" t="s">
        <v>946</v>
      </c>
      <c r="H21" s="857" t="s">
        <v>946</v>
      </c>
      <c r="I21" s="857" t="s">
        <v>946</v>
      </c>
      <c r="J21" s="856">
        <f>'1.1 - APPLIANCES'!P33</f>
        <v>0</v>
      </c>
      <c r="K21" s="856" t="s">
        <v>946</v>
      </c>
      <c r="L21" s="856">
        <f>'1.1 - APPLIANCES'!O33</f>
        <v>0</v>
      </c>
      <c r="M21" s="853"/>
      <c r="P21" s="1509"/>
      <c r="Q21" s="1509"/>
      <c r="R21" s="1509"/>
      <c r="S21" s="1509"/>
      <c r="T21" s="1509"/>
      <c r="U21" s="1509"/>
      <c r="V21" s="1509"/>
      <c r="W21" s="1509"/>
      <c r="X21" s="1509"/>
      <c r="Y21" s="1509"/>
      <c r="Z21" s="1509"/>
      <c r="AA21" s="1509"/>
      <c r="AB21" s="1509"/>
      <c r="AC21" s="1509"/>
      <c r="AD21" s="1509"/>
      <c r="AE21" s="1509"/>
      <c r="AF21" s="1509"/>
      <c r="AG21" s="1509"/>
      <c r="AH21" s="1509"/>
      <c r="AI21" s="1509"/>
      <c r="AJ21" s="1509"/>
      <c r="AK21" s="1509"/>
      <c r="AL21" s="1509"/>
      <c r="AM21" s="1509"/>
      <c r="AN21" s="1509"/>
      <c r="AO21" s="1509"/>
      <c r="AP21" s="1509"/>
      <c r="AQ21" s="1509"/>
    </row>
    <row r="22" spans="2:43" s="1504" customFormat="1">
      <c r="C22" s="858">
        <v>2</v>
      </c>
      <c r="D22" s="859" t="s">
        <v>947</v>
      </c>
      <c r="E22" s="860"/>
      <c r="F22" s="860"/>
      <c r="G22" s="860"/>
      <c r="H22" s="860"/>
      <c r="I22" s="860"/>
      <c r="J22" s="860"/>
      <c r="K22" s="860"/>
      <c r="L22" s="861"/>
      <c r="M22" s="847"/>
      <c r="P22" s="1505"/>
      <c r="Q22" s="1505"/>
      <c r="R22" s="1505"/>
      <c r="S22" s="1505"/>
      <c r="T22" s="1505"/>
      <c r="U22" s="1505"/>
      <c r="V22" s="1505"/>
      <c r="W22" s="1505"/>
      <c r="X22" s="1505"/>
      <c r="Y22" s="1505"/>
      <c r="Z22" s="1505"/>
      <c r="AA22" s="1505"/>
      <c r="AB22" s="1505"/>
      <c r="AC22" s="1505"/>
      <c r="AD22" s="1505"/>
      <c r="AE22" s="1505"/>
      <c r="AF22" s="1505"/>
      <c r="AG22" s="1505"/>
      <c r="AH22" s="1505"/>
      <c r="AI22" s="1505"/>
      <c r="AJ22" s="1505"/>
      <c r="AK22" s="1505"/>
      <c r="AL22" s="1505"/>
      <c r="AM22" s="1505"/>
      <c r="AN22" s="1505"/>
      <c r="AO22" s="1505"/>
      <c r="AP22" s="1505"/>
      <c r="AQ22" s="1505"/>
    </row>
    <row r="23" spans="2:43">
      <c r="C23" s="862" t="s">
        <v>948</v>
      </c>
      <c r="D23" s="863" t="s">
        <v>949</v>
      </c>
      <c r="E23" s="864" t="str">
        <f>'2.1-2.2 - DOMESTIC HOT WATER'!F46</f>
        <v>See below</v>
      </c>
      <c r="F23" s="864">
        <f>'2.1-2.2 - DOMESTIC HOT WATER'!G46</f>
        <v>0</v>
      </c>
      <c r="G23" s="865">
        <f>'2.1-2.2 - DOMESTIC HOT WATER'!H46</f>
        <v>0</v>
      </c>
      <c r="H23" s="865">
        <f>'2.1-2.2 - DOMESTIC HOT WATER'!M46</f>
        <v>0</v>
      </c>
      <c r="I23" s="865">
        <f>'2.1-2.2 - DOMESTIC HOT WATER'!N46</f>
        <v>0</v>
      </c>
      <c r="J23" s="866">
        <f>'2.1-2.2 - DOMESTIC HOT WATER'!P46</f>
        <v>0</v>
      </c>
      <c r="K23" s="866">
        <f>'2.1-2.2 - DOMESTIC HOT WATER'!M46</f>
        <v>0</v>
      </c>
      <c r="L23" s="866">
        <f>'2.1-2.2 - DOMESTIC HOT WATER'!O46</f>
        <v>0</v>
      </c>
      <c r="M23" s="867"/>
      <c r="N23" s="1488"/>
      <c r="O23" s="1488"/>
    </row>
    <row r="24" spans="2:43">
      <c r="C24" s="868"/>
      <c r="D24" s="869" t="s">
        <v>950</v>
      </c>
      <c r="E24" s="869"/>
      <c r="F24" s="869"/>
      <c r="G24" s="869"/>
      <c r="H24" s="869"/>
      <c r="I24" s="869"/>
      <c r="J24" s="869"/>
      <c r="K24" s="869"/>
      <c r="L24" s="869"/>
      <c r="M24" s="869"/>
      <c r="N24" s="1488"/>
      <c r="O24" s="1488"/>
    </row>
    <row r="25" spans="2:43">
      <c r="C25" s="870" t="s">
        <v>951</v>
      </c>
      <c r="D25" s="871" t="s">
        <v>952</v>
      </c>
      <c r="E25" s="864">
        <f>'2.1-2.2 - DOMESTIC HOT WATER'!F48</f>
        <v>0</v>
      </c>
      <c r="F25" s="864">
        <f>'2.1-2.2 - DOMESTIC HOT WATER'!G48</f>
        <v>0</v>
      </c>
      <c r="G25" s="865">
        <f>'2.1-2.2 - DOMESTIC HOT WATER'!H48</f>
        <v>0</v>
      </c>
      <c r="H25" s="865">
        <f>'2.1-2.2 - DOMESTIC HOT WATER'!M48</f>
        <v>0</v>
      </c>
      <c r="I25" s="865">
        <f>'2.1-2.2 - DOMESTIC HOT WATER'!N48</f>
        <v>0</v>
      </c>
      <c r="J25" s="866">
        <f>'2.1-2.2 - DOMESTIC HOT WATER'!P48</f>
        <v>0</v>
      </c>
      <c r="K25" s="866">
        <f>'2.1-2.2 - DOMESTIC HOT WATER'!M48</f>
        <v>0</v>
      </c>
      <c r="L25" s="866">
        <f>'2.1-2.2 - DOMESTIC HOT WATER'!O48</f>
        <v>0</v>
      </c>
      <c r="M25" s="872"/>
      <c r="N25" s="1488"/>
      <c r="O25" s="1488"/>
    </row>
    <row r="26" spans="2:43" s="1489" customFormat="1">
      <c r="B26" s="1488"/>
      <c r="C26" s="870" t="s">
        <v>953</v>
      </c>
      <c r="D26" s="871" t="s">
        <v>954</v>
      </c>
      <c r="E26" s="864">
        <f>'2.1-2.2 - DOMESTIC HOT WATER'!F49</f>
        <v>0</v>
      </c>
      <c r="F26" s="864">
        <f>'2.1-2.2 - DOMESTIC HOT WATER'!G49</f>
        <v>0</v>
      </c>
      <c r="G26" s="865">
        <f>'2.1-2.2 - DOMESTIC HOT WATER'!H49</f>
        <v>0</v>
      </c>
      <c r="H26" s="865">
        <f>'2.1-2.2 - DOMESTIC HOT WATER'!M49</f>
        <v>0</v>
      </c>
      <c r="I26" s="865">
        <f>'2.1-2.2 - DOMESTIC HOT WATER'!N49</f>
        <v>0</v>
      </c>
      <c r="J26" s="866">
        <f>'2.1-2.2 - DOMESTIC HOT WATER'!P49</f>
        <v>0</v>
      </c>
      <c r="K26" s="866">
        <f>'2.1-2.2 - DOMESTIC HOT WATER'!M49</f>
        <v>0</v>
      </c>
      <c r="L26" s="866">
        <f>'2.1-2.2 - DOMESTIC HOT WATER'!O49</f>
        <v>0</v>
      </c>
      <c r="M26" s="872"/>
      <c r="N26" s="1488"/>
      <c r="O26" s="1488"/>
    </row>
    <row r="27" spans="2:43" s="1489" customFormat="1">
      <c r="B27" s="1488"/>
      <c r="C27" s="870" t="s">
        <v>955</v>
      </c>
      <c r="D27" s="871" t="s">
        <v>956</v>
      </c>
      <c r="E27" s="864">
        <f>'2.1-2.2 - DOMESTIC HOT WATER'!F50</f>
        <v>0</v>
      </c>
      <c r="F27" s="864">
        <f>'2.1-2.2 - DOMESTIC HOT WATER'!G50</f>
        <v>0</v>
      </c>
      <c r="G27" s="865">
        <f>'2.1-2.2 - DOMESTIC HOT WATER'!H50</f>
        <v>0</v>
      </c>
      <c r="H27" s="865">
        <f>'2.1-2.2 - DOMESTIC HOT WATER'!M50</f>
        <v>0</v>
      </c>
      <c r="I27" s="865">
        <f>'2.1-2.2 - DOMESTIC HOT WATER'!N50</f>
        <v>0</v>
      </c>
      <c r="J27" s="866">
        <f>'2.1-2.2 - DOMESTIC HOT WATER'!P50</f>
        <v>0</v>
      </c>
      <c r="K27" s="866">
        <f>'2.1-2.2 - DOMESTIC HOT WATER'!M50</f>
        <v>0</v>
      </c>
      <c r="L27" s="866">
        <f>'2.1-2.2 - DOMESTIC HOT WATER'!O50</f>
        <v>0</v>
      </c>
      <c r="M27" s="872"/>
      <c r="N27" s="1488"/>
      <c r="O27" s="1488"/>
    </row>
    <row r="28" spans="2:43" s="1489" customFormat="1">
      <c r="B28" s="1488"/>
      <c r="C28" s="873"/>
      <c r="D28" s="874" t="s">
        <v>957</v>
      </c>
      <c r="E28" s="875"/>
      <c r="F28" s="875"/>
      <c r="G28" s="875"/>
      <c r="H28" s="875"/>
      <c r="I28" s="875"/>
      <c r="J28" s="875"/>
      <c r="K28" s="875"/>
      <c r="L28" s="875"/>
      <c r="M28" s="1506"/>
      <c r="N28" s="1488"/>
      <c r="O28" s="1488"/>
    </row>
    <row r="29" spans="2:43" s="1489" customFormat="1" ht="36">
      <c r="B29" s="1488"/>
      <c r="C29" s="870" t="s">
        <v>958</v>
      </c>
      <c r="D29" s="871" t="s">
        <v>959</v>
      </c>
      <c r="E29" s="864" t="s">
        <v>946</v>
      </c>
      <c r="F29" s="864" t="s">
        <v>946</v>
      </c>
      <c r="G29" s="865">
        <f>'2.1-2.2 - DOMESTIC HOT WATER'!H52</f>
        <v>0</v>
      </c>
      <c r="H29" s="865">
        <f>'2.1-2.2 - DOMESTIC HOT WATER'!M52</f>
        <v>0</v>
      </c>
      <c r="I29" s="865">
        <f>'2.1-2.2 - DOMESTIC HOT WATER'!N52</f>
        <v>0</v>
      </c>
      <c r="J29" s="866">
        <f>'2.1-2.2 - DOMESTIC HOT WATER'!P52</f>
        <v>0</v>
      </c>
      <c r="K29" s="866">
        <f>'2.1-2.2 - DOMESTIC HOT WATER'!M52</f>
        <v>0</v>
      </c>
      <c r="L29" s="866">
        <f>'2.1-2.2 - DOMESTIC HOT WATER'!O52</f>
        <v>0</v>
      </c>
      <c r="M29" s="872"/>
      <c r="N29" s="1488"/>
      <c r="O29" s="1488"/>
    </row>
    <row r="30" spans="2:43" s="1489" customFormat="1">
      <c r="B30" s="1488"/>
      <c r="C30" s="870" t="s">
        <v>960</v>
      </c>
      <c r="D30" s="871" t="s">
        <v>961</v>
      </c>
      <c r="E30" s="864" t="s">
        <v>946</v>
      </c>
      <c r="F30" s="864" t="s">
        <v>946</v>
      </c>
      <c r="G30" s="865">
        <f>'2.1-2.2 - DOMESTIC HOT WATER'!H53</f>
        <v>0</v>
      </c>
      <c r="H30" s="865">
        <f>'2.1-2.2 - DOMESTIC HOT WATER'!M53</f>
        <v>0</v>
      </c>
      <c r="I30" s="865">
        <f>'2.1-2.2 - DOMESTIC HOT WATER'!N53</f>
        <v>0</v>
      </c>
      <c r="J30" s="866">
        <f>'2.1-2.2 - DOMESTIC HOT WATER'!P53</f>
        <v>0</v>
      </c>
      <c r="K30" s="866">
        <f>'2.1-2.2 - DOMESTIC HOT WATER'!M53</f>
        <v>0</v>
      </c>
      <c r="L30" s="866">
        <f>'2.1-2.2 - DOMESTIC HOT WATER'!O53</f>
        <v>0</v>
      </c>
      <c r="M30" s="872"/>
      <c r="N30" s="1488"/>
      <c r="O30" s="1488"/>
    </row>
    <row r="31" spans="2:43" s="1489" customFormat="1">
      <c r="B31" s="1488"/>
      <c r="C31" s="870" t="s">
        <v>962</v>
      </c>
      <c r="D31" s="871" t="s">
        <v>963</v>
      </c>
      <c r="E31" s="864" t="s">
        <v>946</v>
      </c>
      <c r="F31" s="864" t="s">
        <v>946</v>
      </c>
      <c r="G31" s="865">
        <f>'2.1-2.2 - DOMESTIC HOT WATER'!H54</f>
        <v>0</v>
      </c>
      <c r="H31" s="865">
        <f>'2.1-2.2 - DOMESTIC HOT WATER'!M54</f>
        <v>0</v>
      </c>
      <c r="I31" s="865">
        <f>'2.1-2.2 - DOMESTIC HOT WATER'!N54</f>
        <v>0</v>
      </c>
      <c r="J31" s="866">
        <f>'2.1-2.2 - DOMESTIC HOT WATER'!P54</f>
        <v>0</v>
      </c>
      <c r="K31" s="866">
        <f>'2.1-2.2 - DOMESTIC HOT WATER'!M54</f>
        <v>0</v>
      </c>
      <c r="L31" s="866">
        <f>'2.1-2.2 - DOMESTIC HOT WATER'!O54</f>
        <v>0</v>
      </c>
      <c r="M31" s="872"/>
      <c r="N31" s="1488"/>
      <c r="O31" s="1488"/>
    </row>
    <row r="32" spans="2:43" s="1489" customFormat="1">
      <c r="B32" s="1488"/>
      <c r="C32" s="870" t="s">
        <v>964</v>
      </c>
      <c r="D32" s="871" t="s">
        <v>965</v>
      </c>
      <c r="E32" s="864" t="s">
        <v>946</v>
      </c>
      <c r="F32" s="864" t="s">
        <v>946</v>
      </c>
      <c r="G32" s="865">
        <f>'2.1-2.2 - DOMESTIC HOT WATER'!H55</f>
        <v>0</v>
      </c>
      <c r="H32" s="865">
        <f>'2.1-2.2 - DOMESTIC HOT WATER'!M55</f>
        <v>0</v>
      </c>
      <c r="I32" s="865">
        <f>'2.1-2.2 - DOMESTIC HOT WATER'!N55</f>
        <v>0</v>
      </c>
      <c r="J32" s="866">
        <f>'2.1-2.2 - DOMESTIC HOT WATER'!P55</f>
        <v>0</v>
      </c>
      <c r="K32" s="866">
        <f>'2.1-2.2 - DOMESTIC HOT WATER'!M55</f>
        <v>0</v>
      </c>
      <c r="L32" s="866">
        <f>'2.1-2.2 - DOMESTIC HOT WATER'!O55</f>
        <v>0</v>
      </c>
      <c r="M32" s="872"/>
      <c r="N32" s="1488"/>
      <c r="O32" s="1488"/>
    </row>
    <row r="33" spans="2:51">
      <c r="C33" s="870" t="s">
        <v>966</v>
      </c>
      <c r="D33" s="871" t="s">
        <v>967</v>
      </c>
      <c r="E33" s="864" t="s">
        <v>946</v>
      </c>
      <c r="F33" s="864" t="s">
        <v>946</v>
      </c>
      <c r="G33" s="865" t="s">
        <v>946</v>
      </c>
      <c r="H33" s="865" t="s">
        <v>946</v>
      </c>
      <c r="I33" s="865" t="s">
        <v>946</v>
      </c>
      <c r="J33" s="866">
        <f>'2.1-2.2 - DOMESTIC HOT WATER'!P56</f>
        <v>0</v>
      </c>
      <c r="K33" s="866">
        <f>'2.1-2.2 - DOMESTIC HOT WATER'!M56</f>
        <v>0</v>
      </c>
      <c r="L33" s="866">
        <f>'2.1-2.2 - DOMESTIC HOT WATER'!O56</f>
        <v>0</v>
      </c>
      <c r="M33" s="872"/>
      <c r="N33" s="1488"/>
      <c r="O33" s="1488"/>
    </row>
    <row r="34" spans="2:51" ht="36">
      <c r="C34" s="870" t="s">
        <v>968</v>
      </c>
      <c r="D34" s="871" t="s">
        <v>969</v>
      </c>
      <c r="E34" s="864" t="s">
        <v>946</v>
      </c>
      <c r="F34" s="864" t="s">
        <v>946</v>
      </c>
      <c r="G34" s="865" t="s">
        <v>946</v>
      </c>
      <c r="H34" s="865" t="s">
        <v>946</v>
      </c>
      <c r="I34" s="865" t="s">
        <v>946</v>
      </c>
      <c r="J34" s="866">
        <f>'2.1-2.2 - DOMESTIC HOT WATER'!P57</f>
        <v>0</v>
      </c>
      <c r="K34" s="866">
        <f>'2.1-2.2 - DOMESTIC HOT WATER'!M57</f>
        <v>0</v>
      </c>
      <c r="L34" s="866">
        <f>'2.1-2.2 - DOMESTIC HOT WATER'!O57</f>
        <v>0</v>
      </c>
      <c r="M34" s="872"/>
      <c r="N34" s="1488"/>
      <c r="O34" s="1488"/>
    </row>
    <row r="35" spans="2:51" ht="36">
      <c r="C35" s="870" t="s">
        <v>970</v>
      </c>
      <c r="D35" s="871" t="s">
        <v>971</v>
      </c>
      <c r="E35" s="864" t="s">
        <v>946</v>
      </c>
      <c r="F35" s="864" t="s">
        <v>946</v>
      </c>
      <c r="G35" s="865" t="s">
        <v>946</v>
      </c>
      <c r="H35" s="865" t="s">
        <v>946</v>
      </c>
      <c r="I35" s="865" t="s">
        <v>946</v>
      </c>
      <c r="J35" s="866">
        <f>'2.1-2.2 - DOMESTIC HOT WATER'!P58</f>
        <v>0</v>
      </c>
      <c r="K35" s="866">
        <f>'2.1-2.2 - DOMESTIC HOT WATER'!M58</f>
        <v>0</v>
      </c>
      <c r="L35" s="866">
        <f>'2.1-2.2 - DOMESTIC HOT WATER'!O58</f>
        <v>0</v>
      </c>
      <c r="M35" s="872"/>
      <c r="N35" s="1488"/>
      <c r="O35" s="1488"/>
    </row>
    <row r="36" spans="2:51" s="1504" customFormat="1">
      <c r="C36" s="858">
        <v>3</v>
      </c>
      <c r="D36" s="859" t="s">
        <v>658</v>
      </c>
      <c r="E36" s="860"/>
      <c r="F36" s="860"/>
      <c r="G36" s="860"/>
      <c r="H36" s="860"/>
      <c r="I36" s="860"/>
      <c r="J36" s="860"/>
      <c r="K36" s="860"/>
      <c r="L36" s="861"/>
      <c r="M36" s="847"/>
      <c r="P36" s="1505"/>
      <c r="Q36" s="1505"/>
      <c r="R36" s="1505"/>
      <c r="S36" s="1505"/>
      <c r="T36" s="1505"/>
      <c r="U36" s="1505"/>
      <c r="V36" s="1505"/>
      <c r="W36" s="1505"/>
      <c r="X36" s="1505"/>
      <c r="Y36" s="1505"/>
      <c r="Z36" s="1505"/>
      <c r="AA36" s="1505"/>
      <c r="AB36" s="1505"/>
      <c r="AC36" s="1505"/>
      <c r="AD36" s="1505"/>
      <c r="AE36" s="1505"/>
      <c r="AF36" s="1505"/>
      <c r="AG36" s="1505"/>
      <c r="AH36" s="1505"/>
      <c r="AI36" s="1505"/>
      <c r="AJ36" s="1505"/>
      <c r="AK36" s="1505"/>
      <c r="AL36" s="1505"/>
      <c r="AM36" s="1505"/>
      <c r="AN36" s="1505"/>
      <c r="AO36" s="1505"/>
      <c r="AP36" s="1505"/>
      <c r="AQ36" s="1505"/>
    </row>
    <row r="37" spans="2:51">
      <c r="C37" s="873"/>
      <c r="D37" s="875" t="s">
        <v>972</v>
      </c>
      <c r="E37" s="875"/>
      <c r="F37" s="875"/>
      <c r="G37" s="875"/>
      <c r="H37" s="875"/>
      <c r="I37" s="875"/>
      <c r="J37" s="875"/>
      <c r="K37" s="875"/>
      <c r="L37" s="875"/>
      <c r="M37" s="1506"/>
      <c r="N37" s="1488"/>
      <c r="O37" s="1488"/>
    </row>
    <row r="38" spans="2:51" s="1489" customFormat="1" ht="36">
      <c r="B38" s="1488"/>
      <c r="C38" s="870" t="s">
        <v>973</v>
      </c>
      <c r="D38" s="854" t="s">
        <v>974</v>
      </c>
      <c r="E38" s="855" t="s">
        <v>946</v>
      </c>
      <c r="F38" s="855" t="s">
        <v>946</v>
      </c>
      <c r="G38" s="857">
        <f>'3.1 - ENV_BELOW GRADE WALLS'!$F$27</f>
        <v>0</v>
      </c>
      <c r="H38" s="857">
        <f>'3.1 - ENV_BELOW GRADE WALLS'!$G$27</f>
        <v>0</v>
      </c>
      <c r="I38" s="857">
        <f>'3.1 - ENV_BELOW GRADE WALLS'!$H$27</f>
        <v>0</v>
      </c>
      <c r="J38" s="856" t="s">
        <v>946</v>
      </c>
      <c r="K38" s="856" t="s">
        <v>946</v>
      </c>
      <c r="L38" s="856" t="s">
        <v>946</v>
      </c>
      <c r="M38" s="872"/>
      <c r="N38" s="1488"/>
      <c r="O38" s="1488"/>
      <c r="AR38" s="1488"/>
      <c r="AS38" s="1488"/>
      <c r="AT38" s="1488"/>
      <c r="AU38" s="1488"/>
      <c r="AV38" s="1488"/>
      <c r="AW38" s="1488"/>
      <c r="AX38" s="1488"/>
      <c r="AY38" s="1488"/>
    </row>
    <row r="39" spans="2:51" s="1489" customFormat="1" ht="36">
      <c r="B39" s="1488"/>
      <c r="C39" s="870" t="s">
        <v>975</v>
      </c>
      <c r="D39" s="854" t="s">
        <v>976</v>
      </c>
      <c r="E39" s="855">
        <f>'3.1 - ENV_BELOW GRADE WALLS'!D45</f>
        <v>0</v>
      </c>
      <c r="F39" s="855">
        <f>'3.1 - ENV_BELOW GRADE WALLS'!E45</f>
        <v>0</v>
      </c>
      <c r="G39" s="857">
        <f>'3.1 - ENV_BELOW GRADE WALLS'!F45</f>
        <v>0</v>
      </c>
      <c r="H39" s="857">
        <f>'3.1 - ENV_BELOW GRADE WALLS'!G45</f>
        <v>0</v>
      </c>
      <c r="I39" s="857">
        <f>'3.1 - ENV_BELOW GRADE WALLS'!H45</f>
        <v>0</v>
      </c>
      <c r="J39" s="857">
        <f>'3.1 - ENV_BELOW GRADE WALLS'!J45</f>
        <v>0</v>
      </c>
      <c r="K39" s="857">
        <f>'3.1 - ENV_BELOW GRADE WALLS'!G45</f>
        <v>0</v>
      </c>
      <c r="L39" s="857">
        <f>'3.1 - ENV_BELOW GRADE WALLS'!I45</f>
        <v>0</v>
      </c>
      <c r="M39" s="872"/>
      <c r="N39" s="1488"/>
      <c r="O39" s="1488"/>
      <c r="AR39" s="1488"/>
      <c r="AS39" s="1488"/>
      <c r="AT39" s="1488"/>
      <c r="AU39" s="1488"/>
      <c r="AV39" s="1488"/>
      <c r="AW39" s="1488"/>
      <c r="AX39" s="1488"/>
      <c r="AY39" s="1488"/>
    </row>
    <row r="40" spans="2:51" s="1489" customFormat="1" ht="36">
      <c r="B40" s="1488"/>
      <c r="C40" s="870" t="s">
        <v>977</v>
      </c>
      <c r="D40" s="854" t="s">
        <v>978</v>
      </c>
      <c r="E40" s="855" t="s">
        <v>946</v>
      </c>
      <c r="F40" s="855" t="s">
        <v>946</v>
      </c>
      <c r="G40" s="857">
        <f>'3.1 - ENV_BELOW GRADE WALLS'!F49</f>
        <v>0</v>
      </c>
      <c r="H40" s="857">
        <f>'3.1 - ENV_BELOW GRADE WALLS'!G49</f>
        <v>0</v>
      </c>
      <c r="I40" s="857">
        <f>'3.1 - ENV_BELOW GRADE WALLS'!H49</f>
        <v>0</v>
      </c>
      <c r="J40" s="856">
        <f>'3.1 - ENV_BELOW GRADE WALLS'!J49</f>
        <v>0</v>
      </c>
      <c r="K40" s="856">
        <f>'3.1 - ENV_BELOW GRADE WALLS'!G49</f>
        <v>0</v>
      </c>
      <c r="L40" s="856">
        <f>'3.1 - ENV_BELOW GRADE WALLS'!I49</f>
        <v>0</v>
      </c>
      <c r="M40" s="872"/>
      <c r="N40" s="1488"/>
      <c r="O40" s="1488"/>
      <c r="AR40" s="1488"/>
      <c r="AS40" s="1488"/>
      <c r="AT40" s="1488"/>
      <c r="AU40" s="1488"/>
      <c r="AV40" s="1488"/>
      <c r="AW40" s="1488"/>
      <c r="AX40" s="1488"/>
      <c r="AY40" s="1488"/>
    </row>
    <row r="41" spans="2:51" s="1489" customFormat="1" ht="36">
      <c r="B41" s="1488"/>
      <c r="C41" s="870" t="s">
        <v>979</v>
      </c>
      <c r="D41" s="876" t="s">
        <v>980</v>
      </c>
      <c r="E41" s="855" t="s">
        <v>946</v>
      </c>
      <c r="F41" s="855" t="s">
        <v>946</v>
      </c>
      <c r="G41" s="857">
        <f>'3.1 - ENV_BELOW GRADE WALLS'!F50</f>
        <v>0</v>
      </c>
      <c r="H41" s="857">
        <f>'3.1 - ENV_BELOW GRADE WALLS'!G50</f>
        <v>0</v>
      </c>
      <c r="I41" s="857">
        <f>'3.1 - ENV_BELOW GRADE WALLS'!H50</f>
        <v>0</v>
      </c>
      <c r="J41" s="856">
        <f>'3.1 - ENV_BELOW GRADE WALLS'!J50</f>
        <v>0</v>
      </c>
      <c r="K41" s="856">
        <f>'3.1 - ENV_BELOW GRADE WALLS'!G50</f>
        <v>0</v>
      </c>
      <c r="L41" s="856">
        <f>'3.1 - ENV_BELOW GRADE WALLS'!I50</f>
        <v>0</v>
      </c>
      <c r="M41" s="872"/>
      <c r="N41" s="1488"/>
      <c r="O41" s="1488"/>
      <c r="AR41" s="1488"/>
      <c r="AS41" s="1488"/>
      <c r="AT41" s="1488"/>
      <c r="AU41" s="1488"/>
      <c r="AV41" s="1488"/>
      <c r="AW41" s="1488"/>
      <c r="AX41" s="1488"/>
      <c r="AY41" s="1488"/>
    </row>
    <row r="42" spans="2:51" s="1489" customFormat="1" ht="36">
      <c r="B42" s="1488"/>
      <c r="C42" s="870" t="s">
        <v>981</v>
      </c>
      <c r="D42" s="876" t="s">
        <v>982</v>
      </c>
      <c r="E42" s="855" t="s">
        <v>946</v>
      </c>
      <c r="F42" s="855" t="s">
        <v>946</v>
      </c>
      <c r="G42" s="857">
        <f>'3.1 - ENV_BELOW GRADE WALLS'!F51</f>
        <v>0</v>
      </c>
      <c r="H42" s="857">
        <f>'3.1 - ENV_BELOW GRADE WALLS'!G51</f>
        <v>0</v>
      </c>
      <c r="I42" s="857">
        <f>'3.1 - ENV_BELOW GRADE WALLS'!H51</f>
        <v>0</v>
      </c>
      <c r="J42" s="856">
        <f>'3.1 - ENV_BELOW GRADE WALLS'!J51</f>
        <v>0</v>
      </c>
      <c r="K42" s="856" t="s">
        <v>946</v>
      </c>
      <c r="L42" s="856">
        <f>'3.1 - ENV_BELOW GRADE WALLS'!I51</f>
        <v>0</v>
      </c>
      <c r="M42" s="872"/>
      <c r="N42" s="1488"/>
      <c r="O42" s="1488"/>
      <c r="AR42" s="1488"/>
      <c r="AS42" s="1488"/>
      <c r="AT42" s="1488"/>
      <c r="AU42" s="1488"/>
      <c r="AV42" s="1488"/>
      <c r="AW42" s="1488"/>
      <c r="AX42" s="1488"/>
      <c r="AY42" s="1488"/>
    </row>
    <row r="43" spans="2:51" s="1489" customFormat="1" ht="36">
      <c r="B43" s="1488"/>
      <c r="C43" s="870" t="s">
        <v>983</v>
      </c>
      <c r="D43" s="876" t="s">
        <v>984</v>
      </c>
      <c r="E43" s="855" t="s">
        <v>946</v>
      </c>
      <c r="F43" s="855" t="s">
        <v>946</v>
      </c>
      <c r="G43" s="857" t="s">
        <v>946</v>
      </c>
      <c r="H43" s="857" t="s">
        <v>946</v>
      </c>
      <c r="I43" s="857" t="s">
        <v>946</v>
      </c>
      <c r="J43" s="856">
        <f>'3.1 - ENV_BELOW GRADE WALLS'!J52</f>
        <v>0</v>
      </c>
      <c r="K43" s="856" t="s">
        <v>946</v>
      </c>
      <c r="L43" s="856">
        <f>'3.1 - ENV_BELOW GRADE WALLS'!I52</f>
        <v>0</v>
      </c>
      <c r="M43" s="872"/>
      <c r="N43" s="1488"/>
      <c r="O43" s="1488"/>
      <c r="AR43" s="1488"/>
      <c r="AS43" s="1488"/>
      <c r="AT43" s="1488"/>
      <c r="AU43" s="1488"/>
      <c r="AV43" s="1488"/>
      <c r="AW43" s="1488"/>
      <c r="AX43" s="1488"/>
      <c r="AY43" s="1488"/>
    </row>
    <row r="44" spans="2:51" s="1489" customFormat="1">
      <c r="B44" s="1488"/>
      <c r="C44" s="873"/>
      <c r="D44" s="875" t="s">
        <v>985</v>
      </c>
      <c r="E44" s="875"/>
      <c r="F44" s="875"/>
      <c r="G44" s="875"/>
      <c r="H44" s="875"/>
      <c r="I44" s="875"/>
      <c r="J44" s="875"/>
      <c r="K44" s="875"/>
      <c r="L44" s="875"/>
      <c r="M44" s="1506"/>
      <c r="N44" s="1488"/>
      <c r="O44" s="1488"/>
      <c r="AR44" s="1488"/>
      <c r="AS44" s="1488"/>
      <c r="AT44" s="1488"/>
      <c r="AU44" s="1488"/>
      <c r="AV44" s="1488"/>
      <c r="AW44" s="1488"/>
      <c r="AX44" s="1488"/>
      <c r="AY44" s="1488"/>
    </row>
    <row r="45" spans="2:51" s="1489" customFormat="1" ht="36">
      <c r="B45" s="1488"/>
      <c r="C45" s="870" t="s">
        <v>986</v>
      </c>
      <c r="D45" s="854" t="s">
        <v>987</v>
      </c>
      <c r="E45" s="855" t="s">
        <v>946</v>
      </c>
      <c r="F45" s="855" t="s">
        <v>946</v>
      </c>
      <c r="G45" s="857">
        <f>'3.1 - ENV_ABOVE GRADE WALLS'!$F$26</f>
        <v>0</v>
      </c>
      <c r="H45" s="857">
        <f>'3.1 - ENV_ABOVE GRADE WALLS'!$G$26</f>
        <v>0</v>
      </c>
      <c r="I45" s="857">
        <f>'3.1 - ENV_ABOVE GRADE WALLS'!$H$26</f>
        <v>0</v>
      </c>
      <c r="J45" s="856" t="s">
        <v>946</v>
      </c>
      <c r="K45" s="856" t="s">
        <v>946</v>
      </c>
      <c r="L45" s="856" t="s">
        <v>946</v>
      </c>
      <c r="M45" s="872"/>
      <c r="N45" s="1488"/>
      <c r="O45" s="1488"/>
      <c r="AR45" s="1488"/>
      <c r="AS45" s="1488"/>
      <c r="AT45" s="1488"/>
      <c r="AU45" s="1488"/>
      <c r="AV45" s="1488"/>
      <c r="AW45" s="1488"/>
      <c r="AX45" s="1488"/>
      <c r="AY45" s="1488"/>
    </row>
    <row r="46" spans="2:51" s="1489" customFormat="1" ht="36">
      <c r="B46" s="1488"/>
      <c r="C46" s="870" t="s">
        <v>988</v>
      </c>
      <c r="D46" s="854" t="s">
        <v>989</v>
      </c>
      <c r="E46" s="855">
        <f>'3.1 - ENV_ABOVE GRADE WALLS'!D61</f>
        <v>0</v>
      </c>
      <c r="F46" s="855">
        <f>'3.1 - ENV_ABOVE GRADE WALLS'!E61</f>
        <v>0</v>
      </c>
      <c r="G46" s="857">
        <f>'3.1 - ENV_ABOVE GRADE WALLS'!F61</f>
        <v>0</v>
      </c>
      <c r="H46" s="1507">
        <f>'3.1 - ENV_ABOVE GRADE WALLS'!G61</f>
        <v>0</v>
      </c>
      <c r="I46" s="857">
        <f>'3.1 - ENV_ABOVE GRADE WALLS'!H61</f>
        <v>0</v>
      </c>
      <c r="J46" s="856">
        <f>'3.1 - ENV_ABOVE GRADE WALLS'!J61</f>
        <v>0</v>
      </c>
      <c r="K46" s="856">
        <f>'3.1 - ENV_ABOVE GRADE WALLS'!G61</f>
        <v>0</v>
      </c>
      <c r="L46" s="856">
        <f>'3.1 - ENV_ABOVE GRADE WALLS'!I61</f>
        <v>0</v>
      </c>
      <c r="M46" s="872"/>
      <c r="N46" s="1488"/>
      <c r="O46" s="1488"/>
      <c r="AR46" s="1488"/>
      <c r="AS46" s="1488"/>
      <c r="AT46" s="1488"/>
      <c r="AU46" s="1488"/>
      <c r="AV46" s="1488"/>
      <c r="AW46" s="1488"/>
      <c r="AX46" s="1488"/>
      <c r="AY46" s="1488"/>
    </row>
    <row r="47" spans="2:51" s="1489" customFormat="1" ht="36">
      <c r="B47" s="1488"/>
      <c r="C47" s="870" t="s">
        <v>990</v>
      </c>
      <c r="D47" s="854" t="s">
        <v>991</v>
      </c>
      <c r="E47" s="855">
        <f>'3.1 - ENV_ABOVE GRADE WALLS'!D63</f>
        <v>0</v>
      </c>
      <c r="F47" s="855">
        <f>'3.1 - ENV_ABOVE GRADE WALLS'!E63</f>
        <v>0</v>
      </c>
      <c r="G47" s="857">
        <f>'3.1 - ENV_ABOVE GRADE WALLS'!F63</f>
        <v>0</v>
      </c>
      <c r="H47" s="1507">
        <f>'3.1 - ENV_ABOVE GRADE WALLS'!G63</f>
        <v>0</v>
      </c>
      <c r="I47" s="857">
        <f>'3.1 - ENV_ABOVE GRADE WALLS'!H63</f>
        <v>0</v>
      </c>
      <c r="J47" s="856">
        <f>'3.1 - ENV_ABOVE GRADE WALLS'!J63</f>
        <v>0</v>
      </c>
      <c r="K47" s="856">
        <f>'3.1 - ENV_ABOVE GRADE WALLS'!G63</f>
        <v>0</v>
      </c>
      <c r="L47" s="856">
        <f>'3.1 - ENV_ABOVE GRADE WALLS'!I63</f>
        <v>0</v>
      </c>
      <c r="M47" s="872"/>
      <c r="N47" s="1488"/>
      <c r="O47" s="1488"/>
      <c r="AR47" s="1488"/>
      <c r="AS47" s="1488"/>
      <c r="AT47" s="1488"/>
      <c r="AU47" s="1488"/>
      <c r="AV47" s="1488"/>
      <c r="AW47" s="1488"/>
      <c r="AX47" s="1488"/>
      <c r="AY47" s="1488"/>
    </row>
    <row r="48" spans="2:51" s="1489" customFormat="1" ht="36">
      <c r="B48" s="1488"/>
      <c r="C48" s="870" t="s">
        <v>992</v>
      </c>
      <c r="D48" s="876" t="s">
        <v>993</v>
      </c>
      <c r="E48" s="855" t="s">
        <v>946</v>
      </c>
      <c r="F48" s="855" t="s">
        <v>946</v>
      </c>
      <c r="G48" s="857">
        <f>'3.1 - ENV_ABOVE GRADE WALLS'!F65</f>
        <v>0</v>
      </c>
      <c r="H48" s="857">
        <f>'3.1 - ENV_ABOVE GRADE WALLS'!G65</f>
        <v>0</v>
      </c>
      <c r="I48" s="857">
        <f>'3.1 - ENV_ABOVE GRADE WALLS'!H65</f>
        <v>0</v>
      </c>
      <c r="J48" s="856">
        <f>'3.1 - ENV_ABOVE GRADE WALLS'!J65</f>
        <v>0</v>
      </c>
      <c r="K48" s="856">
        <f>'3.1 - ENV_ABOVE GRADE WALLS'!G65</f>
        <v>0</v>
      </c>
      <c r="L48" s="856">
        <f>'3.1 - ENV_ABOVE GRADE WALLS'!I65</f>
        <v>0</v>
      </c>
      <c r="M48" s="872"/>
      <c r="N48" s="1488"/>
      <c r="O48" s="1488"/>
      <c r="AR48" s="1488"/>
      <c r="AS48" s="1488"/>
      <c r="AT48" s="1488"/>
      <c r="AU48" s="1488"/>
      <c r="AV48" s="1488"/>
      <c r="AW48" s="1488"/>
      <c r="AX48" s="1488"/>
      <c r="AY48" s="1488"/>
    </row>
    <row r="49" spans="2:51" s="1489" customFormat="1" ht="36">
      <c r="B49" s="1488"/>
      <c r="C49" s="870" t="s">
        <v>994</v>
      </c>
      <c r="D49" s="876" t="s">
        <v>995</v>
      </c>
      <c r="E49" s="855" t="s">
        <v>946</v>
      </c>
      <c r="F49" s="855" t="s">
        <v>946</v>
      </c>
      <c r="G49" s="857">
        <f>'3.1 - ENV_ABOVE GRADE WALLS'!F66</f>
        <v>0</v>
      </c>
      <c r="H49" s="857">
        <f>'3.1 - ENV_ABOVE GRADE WALLS'!G66</f>
        <v>0</v>
      </c>
      <c r="I49" s="857">
        <f>'3.1 - ENV_ABOVE GRADE WALLS'!H66</f>
        <v>0</v>
      </c>
      <c r="J49" s="856">
        <f>'3.1 - ENV_ABOVE GRADE WALLS'!J66</f>
        <v>0</v>
      </c>
      <c r="K49" s="856">
        <f>'3.1 - ENV_ABOVE GRADE WALLS'!G66</f>
        <v>0</v>
      </c>
      <c r="L49" s="856">
        <f>'3.1 - ENV_ABOVE GRADE WALLS'!I66</f>
        <v>0</v>
      </c>
      <c r="M49" s="872"/>
      <c r="N49" s="1488"/>
      <c r="O49" s="1488"/>
      <c r="AR49" s="1488"/>
      <c r="AS49" s="1488"/>
      <c r="AT49" s="1488"/>
      <c r="AU49" s="1488"/>
      <c r="AV49" s="1488"/>
      <c r="AW49" s="1488"/>
      <c r="AX49" s="1488"/>
      <c r="AY49" s="1488"/>
    </row>
    <row r="50" spans="2:51" s="1489" customFormat="1" ht="72">
      <c r="B50" s="1488"/>
      <c r="C50" s="870" t="s">
        <v>996</v>
      </c>
      <c r="D50" s="876" t="s">
        <v>997</v>
      </c>
      <c r="E50" s="855" t="s">
        <v>946</v>
      </c>
      <c r="F50" s="855" t="s">
        <v>946</v>
      </c>
      <c r="G50" s="857">
        <f>'3.1 - ENV_ABOVE GRADE WALLS'!F67</f>
        <v>0</v>
      </c>
      <c r="H50" s="857">
        <f>'3.1 - ENV_ABOVE GRADE WALLS'!G67</f>
        <v>0</v>
      </c>
      <c r="I50" s="857">
        <f>'3.1 - ENV_ABOVE GRADE WALLS'!H67</f>
        <v>0</v>
      </c>
      <c r="J50" s="856">
        <f>'3.1 - ENV_ABOVE GRADE WALLS'!J67</f>
        <v>0</v>
      </c>
      <c r="K50" s="856">
        <f>'3.1 - ENV_ABOVE GRADE WALLS'!G67</f>
        <v>0</v>
      </c>
      <c r="L50" s="856">
        <f>'3.1 - ENV_ABOVE GRADE WALLS'!I67</f>
        <v>0</v>
      </c>
      <c r="M50" s="872"/>
      <c r="N50" s="1488"/>
      <c r="O50" s="1488"/>
      <c r="AR50" s="1488"/>
      <c r="AS50" s="1488"/>
      <c r="AT50" s="1488"/>
      <c r="AU50" s="1488"/>
      <c r="AV50" s="1488"/>
      <c r="AW50" s="1488"/>
      <c r="AX50" s="1488"/>
      <c r="AY50" s="1488"/>
    </row>
    <row r="51" spans="2:51" s="1489" customFormat="1" ht="36">
      <c r="B51" s="1488"/>
      <c r="C51" s="870" t="s">
        <v>998</v>
      </c>
      <c r="D51" s="876" t="s">
        <v>999</v>
      </c>
      <c r="E51" s="855" t="s">
        <v>946</v>
      </c>
      <c r="F51" s="855" t="s">
        <v>946</v>
      </c>
      <c r="G51" s="857">
        <f>'3.1 - ENV_ABOVE GRADE WALLS'!F68</f>
        <v>0</v>
      </c>
      <c r="H51" s="857">
        <f>'3.1 - ENV_ABOVE GRADE WALLS'!G68</f>
        <v>0</v>
      </c>
      <c r="I51" s="857">
        <f>'3.1 - ENV_ABOVE GRADE WALLS'!H68</f>
        <v>0</v>
      </c>
      <c r="J51" s="856">
        <f>'3.1 - ENV_ABOVE GRADE WALLS'!J68</f>
        <v>0</v>
      </c>
      <c r="K51" s="856">
        <f>'3.1 - ENV_ABOVE GRADE WALLS'!G68</f>
        <v>0</v>
      </c>
      <c r="L51" s="856">
        <f>'3.1 - ENV_ABOVE GRADE WALLS'!I68</f>
        <v>0</v>
      </c>
      <c r="M51" s="872"/>
      <c r="N51" s="1488"/>
      <c r="O51" s="1488"/>
      <c r="AR51" s="1488"/>
      <c r="AS51" s="1488"/>
      <c r="AT51" s="1488"/>
      <c r="AU51" s="1488"/>
      <c r="AV51" s="1488"/>
      <c r="AW51" s="1488"/>
      <c r="AX51" s="1488"/>
      <c r="AY51" s="1488"/>
    </row>
    <row r="52" spans="2:51" s="1489" customFormat="1" ht="36">
      <c r="B52" s="1488"/>
      <c r="C52" s="870" t="s">
        <v>1000</v>
      </c>
      <c r="D52" s="876" t="s">
        <v>1001</v>
      </c>
      <c r="E52" s="855" t="s">
        <v>946</v>
      </c>
      <c r="F52" s="855" t="s">
        <v>946</v>
      </c>
      <c r="G52" s="857">
        <f>'3.1 - ENV_ABOVE GRADE WALLS'!F69</f>
        <v>0</v>
      </c>
      <c r="H52" s="857">
        <f>'3.1 - ENV_ABOVE GRADE WALLS'!G69</f>
        <v>0</v>
      </c>
      <c r="I52" s="857">
        <f>'3.1 - ENV_ABOVE GRADE WALLS'!H69</f>
        <v>0</v>
      </c>
      <c r="J52" s="856">
        <f>'3.1 - ENV_ABOVE GRADE WALLS'!J69</f>
        <v>0</v>
      </c>
      <c r="K52" s="856" t="s">
        <v>946</v>
      </c>
      <c r="L52" s="856">
        <f>'3.1 - ENV_ABOVE GRADE WALLS'!I69</f>
        <v>0</v>
      </c>
      <c r="M52" s="872"/>
      <c r="N52" s="1488"/>
      <c r="O52" s="1488"/>
      <c r="AR52" s="1488"/>
      <c r="AS52" s="1488"/>
      <c r="AT52" s="1488"/>
      <c r="AU52" s="1488"/>
      <c r="AV52" s="1488"/>
      <c r="AW52" s="1488"/>
      <c r="AX52" s="1488"/>
      <c r="AY52" s="1488"/>
    </row>
    <row r="53" spans="2:51" s="1489" customFormat="1" ht="36">
      <c r="B53" s="1488"/>
      <c r="C53" s="870" t="s">
        <v>1002</v>
      </c>
      <c r="D53" s="876" t="s">
        <v>1003</v>
      </c>
      <c r="E53" s="855" t="s">
        <v>946</v>
      </c>
      <c r="F53" s="855" t="s">
        <v>946</v>
      </c>
      <c r="G53" s="857" t="s">
        <v>946</v>
      </c>
      <c r="H53" s="857" t="s">
        <v>946</v>
      </c>
      <c r="I53" s="857" t="s">
        <v>946</v>
      </c>
      <c r="J53" s="856">
        <f>'3.1 - ENV_ABOVE GRADE WALLS'!J70</f>
        <v>0</v>
      </c>
      <c r="K53" s="856" t="s">
        <v>946</v>
      </c>
      <c r="L53" s="856">
        <f>'3.1 - ENV_ABOVE GRADE WALLS'!I70</f>
        <v>0</v>
      </c>
      <c r="M53" s="872"/>
      <c r="N53" s="1488"/>
      <c r="O53" s="1488"/>
      <c r="AR53" s="1488"/>
      <c r="AS53" s="1488"/>
      <c r="AT53" s="1488"/>
      <c r="AU53" s="1488"/>
      <c r="AV53" s="1488"/>
      <c r="AW53" s="1488"/>
      <c r="AX53" s="1488"/>
      <c r="AY53" s="1488"/>
    </row>
    <row r="54" spans="2:51" s="1489" customFormat="1">
      <c r="B54" s="1488"/>
      <c r="C54" s="873"/>
      <c r="D54" s="875" t="s">
        <v>1004</v>
      </c>
      <c r="E54" s="875"/>
      <c r="F54" s="875"/>
      <c r="G54" s="875"/>
      <c r="H54" s="875"/>
      <c r="I54" s="875"/>
      <c r="J54" s="875"/>
      <c r="K54" s="875"/>
      <c r="L54" s="875"/>
      <c r="M54" s="1506"/>
      <c r="N54" s="1488"/>
      <c r="O54" s="1488"/>
      <c r="AR54" s="1488"/>
      <c r="AS54" s="1488"/>
      <c r="AT54" s="1488"/>
      <c r="AU54" s="1488"/>
      <c r="AV54" s="1488"/>
      <c r="AW54" s="1488"/>
      <c r="AX54" s="1488"/>
      <c r="AY54" s="1488"/>
    </row>
    <row r="55" spans="2:51" s="1489" customFormat="1" ht="36">
      <c r="B55" s="1488"/>
      <c r="C55" s="870" t="s">
        <v>1005</v>
      </c>
      <c r="D55" s="854" t="s">
        <v>1006</v>
      </c>
      <c r="E55" s="855" t="s">
        <v>946</v>
      </c>
      <c r="F55" s="855" t="s">
        <v>946</v>
      </c>
      <c r="G55" s="857">
        <f>'3.2 - ENV_ROOF'!$F$26</f>
        <v>0</v>
      </c>
      <c r="H55" s="857">
        <f>'3.2 - ENV_ROOF'!$G$26</f>
        <v>0</v>
      </c>
      <c r="I55" s="857">
        <f>'3.2 - ENV_ROOF'!$H$26</f>
        <v>0</v>
      </c>
      <c r="J55" s="856" t="s">
        <v>946</v>
      </c>
      <c r="K55" s="856" t="s">
        <v>946</v>
      </c>
      <c r="L55" s="856" t="s">
        <v>946</v>
      </c>
      <c r="M55" s="872"/>
      <c r="N55" s="1488"/>
      <c r="O55" s="1488"/>
      <c r="AR55" s="1488"/>
      <c r="AS55" s="1488"/>
      <c r="AT55" s="1488"/>
      <c r="AU55" s="1488"/>
      <c r="AV55" s="1488"/>
      <c r="AW55" s="1488"/>
      <c r="AX55" s="1488"/>
      <c r="AY55" s="1488"/>
    </row>
    <row r="56" spans="2:51" s="1489" customFormat="1">
      <c r="B56" s="1488"/>
      <c r="C56" s="870" t="s">
        <v>1007</v>
      </c>
      <c r="D56" s="876" t="s">
        <v>1008</v>
      </c>
      <c r="E56" s="855">
        <f>'3.2 - ENV_ROOF'!D46</f>
        <v>0</v>
      </c>
      <c r="F56" s="855">
        <f>'3.2 - ENV_ROOF'!E46</f>
        <v>0</v>
      </c>
      <c r="G56" s="857">
        <f>'3.2 - ENV_ROOF'!F46</f>
        <v>0</v>
      </c>
      <c r="H56" s="857">
        <f>'3.2 - ENV_ROOF'!G46</f>
        <v>0</v>
      </c>
      <c r="I56" s="857">
        <f>'3.2 - ENV_ROOF'!H46</f>
        <v>0</v>
      </c>
      <c r="J56" s="856">
        <f>'3.2 - ENV_ROOF'!J46</f>
        <v>0</v>
      </c>
      <c r="K56" s="856">
        <f>'3.2 - ENV_ROOF'!G46</f>
        <v>0</v>
      </c>
      <c r="L56" s="856">
        <f>'3.2 - ENV_ROOF'!I46</f>
        <v>0</v>
      </c>
      <c r="M56" s="872"/>
      <c r="N56" s="1488"/>
      <c r="O56" s="1488"/>
      <c r="AR56" s="1488"/>
      <c r="AS56" s="1488"/>
      <c r="AT56" s="1488"/>
      <c r="AU56" s="1488"/>
      <c r="AV56" s="1488"/>
      <c r="AW56" s="1488"/>
      <c r="AX56" s="1488"/>
      <c r="AY56" s="1488"/>
    </row>
    <row r="57" spans="2:51" s="1489" customFormat="1">
      <c r="B57" s="1488"/>
      <c r="C57" s="870" t="s">
        <v>1009</v>
      </c>
      <c r="D57" s="876" t="s">
        <v>1010</v>
      </c>
      <c r="E57" s="855" t="s">
        <v>946</v>
      </c>
      <c r="F57" s="855" t="s">
        <v>946</v>
      </c>
      <c r="G57" s="857">
        <f>'3.2 - ENV_ROOF'!F48</f>
        <v>0</v>
      </c>
      <c r="H57" s="857">
        <f>'3.2 - ENV_ROOF'!G48</f>
        <v>0</v>
      </c>
      <c r="I57" s="857">
        <f>'3.2 - ENV_ROOF'!H48</f>
        <v>0</v>
      </c>
      <c r="J57" s="856">
        <f>'3.2 - ENV_ROOF'!J48</f>
        <v>0</v>
      </c>
      <c r="K57" s="856">
        <f>'3.2 - ENV_ROOF'!G48</f>
        <v>0</v>
      </c>
      <c r="L57" s="856">
        <f>'3.2 - ENV_ROOF'!I48</f>
        <v>0</v>
      </c>
      <c r="M57" s="872"/>
      <c r="N57" s="1488"/>
      <c r="O57" s="1488"/>
      <c r="AR57" s="1488"/>
      <c r="AS57" s="1488"/>
      <c r="AT57" s="1488"/>
      <c r="AU57" s="1488"/>
      <c r="AV57" s="1488"/>
      <c r="AW57" s="1488"/>
      <c r="AX57" s="1488"/>
      <c r="AY57" s="1488"/>
    </row>
    <row r="58" spans="2:51" s="1489" customFormat="1" ht="36">
      <c r="B58" s="1488"/>
      <c r="C58" s="870" t="s">
        <v>1011</v>
      </c>
      <c r="D58" s="876" t="s">
        <v>1012</v>
      </c>
      <c r="E58" s="855" t="s">
        <v>946</v>
      </c>
      <c r="F58" s="855" t="s">
        <v>946</v>
      </c>
      <c r="G58" s="857">
        <f>'3.2 - ENV_ROOF'!F49</f>
        <v>0</v>
      </c>
      <c r="H58" s="857">
        <f>'3.2 - ENV_ROOF'!G49</f>
        <v>0</v>
      </c>
      <c r="I58" s="857">
        <f>'3.2 - ENV_ROOF'!H49</f>
        <v>0</v>
      </c>
      <c r="J58" s="856">
        <f>'3.2 - ENV_ROOF'!J49</f>
        <v>0</v>
      </c>
      <c r="K58" s="856">
        <f>'3.2 - ENV_ROOF'!G49</f>
        <v>0</v>
      </c>
      <c r="L58" s="856">
        <f>'3.2 - ENV_ROOF'!I49</f>
        <v>0</v>
      </c>
      <c r="M58" s="872"/>
      <c r="N58" s="1488"/>
      <c r="O58" s="1488"/>
      <c r="AR58" s="1488"/>
      <c r="AS58" s="1488"/>
      <c r="AT58" s="1488"/>
      <c r="AU58" s="1488"/>
      <c r="AV58" s="1488"/>
      <c r="AW58" s="1488"/>
      <c r="AX58" s="1488"/>
      <c r="AY58" s="1488"/>
    </row>
    <row r="59" spans="2:51" s="1489" customFormat="1">
      <c r="B59" s="1488"/>
      <c r="C59" s="870" t="s">
        <v>1013</v>
      </c>
      <c r="D59" s="876" t="s">
        <v>1014</v>
      </c>
      <c r="E59" s="855" t="s">
        <v>946</v>
      </c>
      <c r="F59" s="855" t="s">
        <v>946</v>
      </c>
      <c r="G59" s="857">
        <f>'3.2 - ENV_ROOF'!F50</f>
        <v>0</v>
      </c>
      <c r="H59" s="857">
        <f>'3.2 - ENV_ROOF'!G50</f>
        <v>0</v>
      </c>
      <c r="I59" s="857">
        <f>'3.2 - ENV_ROOF'!H50</f>
        <v>0</v>
      </c>
      <c r="J59" s="856">
        <f>'3.2 - ENV_ROOF'!J50</f>
        <v>0</v>
      </c>
      <c r="K59" s="856" t="s">
        <v>946</v>
      </c>
      <c r="L59" s="856">
        <f>'3.2 - ENV_ROOF'!I50</f>
        <v>0</v>
      </c>
      <c r="M59" s="872"/>
      <c r="N59" s="1488"/>
      <c r="O59" s="1488"/>
      <c r="AR59" s="1488"/>
      <c r="AS59" s="1488"/>
      <c r="AT59" s="1488"/>
      <c r="AU59" s="1488"/>
      <c r="AV59" s="1488"/>
      <c r="AW59" s="1488"/>
      <c r="AX59" s="1488"/>
      <c r="AY59" s="1488"/>
    </row>
    <row r="60" spans="2:51" s="1489" customFormat="1">
      <c r="B60" s="1488"/>
      <c r="C60" s="870" t="s">
        <v>1015</v>
      </c>
      <c r="D60" s="876" t="s">
        <v>780</v>
      </c>
      <c r="E60" s="855" t="s">
        <v>946</v>
      </c>
      <c r="F60" s="855" t="s">
        <v>946</v>
      </c>
      <c r="G60" s="857" t="s">
        <v>946</v>
      </c>
      <c r="H60" s="857" t="s">
        <v>946</v>
      </c>
      <c r="I60" s="857" t="s">
        <v>946</v>
      </c>
      <c r="J60" s="856">
        <f>'3.2 - ENV_ROOF'!J51</f>
        <v>0</v>
      </c>
      <c r="K60" s="856" t="s">
        <v>946</v>
      </c>
      <c r="L60" s="856">
        <f>'3.2 - ENV_ROOF'!I51</f>
        <v>0</v>
      </c>
      <c r="M60" s="872"/>
      <c r="N60" s="1488"/>
      <c r="O60" s="1488"/>
      <c r="AR60" s="1488"/>
      <c r="AS60" s="1488"/>
      <c r="AT60" s="1488"/>
      <c r="AU60" s="1488"/>
      <c r="AV60" s="1488"/>
      <c r="AW60" s="1488"/>
      <c r="AX60" s="1488"/>
      <c r="AY60" s="1488"/>
    </row>
    <row r="61" spans="2:51" s="1489" customFormat="1">
      <c r="B61" s="1488"/>
      <c r="C61" s="873"/>
      <c r="D61" s="875" t="s">
        <v>1016</v>
      </c>
      <c r="E61" s="875"/>
      <c r="F61" s="875"/>
      <c r="G61" s="875"/>
      <c r="H61" s="875"/>
      <c r="I61" s="875"/>
      <c r="J61" s="875"/>
      <c r="K61" s="875"/>
      <c r="L61" s="875"/>
      <c r="M61" s="1506"/>
      <c r="N61" s="1488"/>
      <c r="O61" s="1488"/>
      <c r="AR61" s="1488"/>
      <c r="AS61" s="1488"/>
      <c r="AT61" s="1488"/>
      <c r="AU61" s="1488"/>
      <c r="AV61" s="1488"/>
      <c r="AW61" s="1488"/>
      <c r="AX61" s="1488"/>
      <c r="AY61" s="1488"/>
    </row>
    <row r="62" spans="2:51" s="1489" customFormat="1" ht="36">
      <c r="B62" s="1488"/>
      <c r="C62" s="870" t="s">
        <v>1017</v>
      </c>
      <c r="D62" s="854" t="s">
        <v>1018</v>
      </c>
      <c r="E62" s="855" t="s">
        <v>946</v>
      </c>
      <c r="F62" s="855" t="s">
        <v>946</v>
      </c>
      <c r="G62" s="857">
        <f>'3.3 - ENV_FLOORS'!$F$24</f>
        <v>0</v>
      </c>
      <c r="H62" s="857">
        <f>'3.3 - ENV_FLOORS'!$G$24</f>
        <v>0</v>
      </c>
      <c r="I62" s="857">
        <f>'3.3 - ENV_FLOORS'!$H$24</f>
        <v>0</v>
      </c>
      <c r="J62" s="856" t="s">
        <v>946</v>
      </c>
      <c r="K62" s="856" t="s">
        <v>946</v>
      </c>
      <c r="L62" s="856" t="s">
        <v>946</v>
      </c>
      <c r="M62" s="872"/>
      <c r="N62" s="1488"/>
      <c r="O62" s="1488"/>
      <c r="AR62" s="1488"/>
      <c r="AS62" s="1488"/>
      <c r="AT62" s="1488"/>
      <c r="AU62" s="1488"/>
      <c r="AV62" s="1488"/>
      <c r="AW62" s="1488"/>
      <c r="AX62" s="1488"/>
      <c r="AY62" s="1488"/>
    </row>
    <row r="63" spans="2:51" s="1489" customFormat="1" ht="36">
      <c r="B63" s="1488"/>
      <c r="C63" s="870" t="s">
        <v>1019</v>
      </c>
      <c r="D63" s="876" t="s">
        <v>1020</v>
      </c>
      <c r="E63" s="855">
        <f>'3.3 - ENV_FLOORS'!D34</f>
        <v>0</v>
      </c>
      <c r="F63" s="855">
        <f>'3.3 - ENV_FLOORS'!E34</f>
        <v>0</v>
      </c>
      <c r="G63" s="857">
        <f>'3.3 - ENV_FLOORS'!F34</f>
        <v>0</v>
      </c>
      <c r="H63" s="857">
        <f>'3.3 - ENV_FLOORS'!G34</f>
        <v>0</v>
      </c>
      <c r="I63" s="857">
        <f>'3.3 - ENV_FLOORS'!H34</f>
        <v>0</v>
      </c>
      <c r="J63" s="856">
        <f>'3.3 - ENV_FLOORS'!J34</f>
        <v>0</v>
      </c>
      <c r="K63" s="856">
        <f>'3.3 - ENV_FLOORS'!G34</f>
        <v>0</v>
      </c>
      <c r="L63" s="856">
        <f>'3.3 - ENV_FLOORS'!I34</f>
        <v>0</v>
      </c>
      <c r="M63" s="872"/>
      <c r="N63" s="1488"/>
      <c r="O63" s="1488"/>
      <c r="AR63" s="1488"/>
      <c r="AS63" s="1488"/>
      <c r="AT63" s="1488"/>
      <c r="AU63" s="1488"/>
      <c r="AV63" s="1488"/>
      <c r="AW63" s="1488"/>
      <c r="AX63" s="1488"/>
      <c r="AY63" s="1488"/>
    </row>
    <row r="64" spans="2:51" s="1489" customFormat="1" ht="36">
      <c r="B64" s="1488"/>
      <c r="C64" s="870" t="s">
        <v>1021</v>
      </c>
      <c r="D64" s="876" t="s">
        <v>1022</v>
      </c>
      <c r="E64" s="855">
        <f>'3.3 - ENV_FLOORS'!D44</f>
        <v>0</v>
      </c>
      <c r="F64" s="855">
        <f>'3.3 - ENV_FLOORS'!E44</f>
        <v>0</v>
      </c>
      <c r="G64" s="857">
        <f>'3.3 - ENV_FLOORS'!F44</f>
        <v>0</v>
      </c>
      <c r="H64" s="857">
        <f>'3.3 - ENV_FLOORS'!G44</f>
        <v>0</v>
      </c>
      <c r="I64" s="857">
        <f>'3.3 - ENV_FLOORS'!H44</f>
        <v>0</v>
      </c>
      <c r="J64" s="856">
        <f>'3.3 - ENV_FLOORS'!J44</f>
        <v>0</v>
      </c>
      <c r="K64" s="856">
        <f>'3.3 - ENV_FLOORS'!G44</f>
        <v>0</v>
      </c>
      <c r="L64" s="856">
        <f>'3.3 - ENV_FLOORS'!I44</f>
        <v>0</v>
      </c>
      <c r="M64" s="872"/>
      <c r="N64" s="1488"/>
      <c r="O64" s="1488"/>
      <c r="AR64" s="1488"/>
      <c r="AS64" s="1488"/>
      <c r="AT64" s="1488"/>
      <c r="AU64" s="1488"/>
      <c r="AV64" s="1488"/>
      <c r="AW64" s="1488"/>
      <c r="AX64" s="1488"/>
      <c r="AY64" s="1488"/>
    </row>
    <row r="65" spans="2:51" s="1489" customFormat="1" ht="36">
      <c r="B65" s="1488"/>
      <c r="C65" s="870" t="s">
        <v>1023</v>
      </c>
      <c r="D65" s="876" t="s">
        <v>1024</v>
      </c>
      <c r="E65" s="855">
        <f>'3.3 - ENV_FLOORS'!D54</f>
        <v>0</v>
      </c>
      <c r="F65" s="855">
        <f>'3.3 - ENV_FLOORS'!E54</f>
        <v>0</v>
      </c>
      <c r="G65" s="857">
        <f>'3.3 - ENV_FLOORS'!F54</f>
        <v>0</v>
      </c>
      <c r="H65" s="857">
        <f>'3.3 - ENV_FLOORS'!G54</f>
        <v>0</v>
      </c>
      <c r="I65" s="857">
        <f>'3.3 - ENV_FLOORS'!H54</f>
        <v>0</v>
      </c>
      <c r="J65" s="856">
        <f>'3.3 - ENV_FLOORS'!J54</f>
        <v>0</v>
      </c>
      <c r="K65" s="856">
        <f>'3.3 - ENV_FLOORS'!G54</f>
        <v>0</v>
      </c>
      <c r="L65" s="856">
        <f>'3.3 - ENV_FLOORS'!I54</f>
        <v>0</v>
      </c>
      <c r="M65" s="872"/>
      <c r="N65" s="1488"/>
      <c r="O65" s="1488"/>
      <c r="AR65" s="1488"/>
      <c r="AS65" s="1488"/>
      <c r="AT65" s="1488"/>
      <c r="AU65" s="1488"/>
      <c r="AV65" s="1488"/>
      <c r="AW65" s="1488"/>
      <c r="AX65" s="1488"/>
      <c r="AY65" s="1488"/>
    </row>
    <row r="66" spans="2:51" s="1489" customFormat="1" ht="36">
      <c r="B66" s="1488"/>
      <c r="C66" s="870" t="s">
        <v>1025</v>
      </c>
      <c r="D66" s="876" t="s">
        <v>1026</v>
      </c>
      <c r="E66" s="855">
        <f>'3.3 - ENV_FLOORS'!D64</f>
        <v>0</v>
      </c>
      <c r="F66" s="855">
        <f>'3.3 - ENV_FLOORS'!E64</f>
        <v>0</v>
      </c>
      <c r="G66" s="857">
        <f>'3.3 - ENV_FLOORS'!F64</f>
        <v>0</v>
      </c>
      <c r="H66" s="857">
        <f>'3.3 - ENV_FLOORS'!G64</f>
        <v>0</v>
      </c>
      <c r="I66" s="857">
        <f>'3.3 - ENV_FLOORS'!H64</f>
        <v>0</v>
      </c>
      <c r="J66" s="856">
        <f>'3.3 - ENV_FLOORS'!J64</f>
        <v>0</v>
      </c>
      <c r="K66" s="856">
        <f>'3.3 - ENV_FLOORS'!G64</f>
        <v>0</v>
      </c>
      <c r="L66" s="856">
        <f>'3.3 - ENV_FLOORS'!I64</f>
        <v>0</v>
      </c>
      <c r="M66" s="872"/>
      <c r="N66" s="1488"/>
      <c r="O66" s="1488"/>
      <c r="AR66" s="1488"/>
      <c r="AS66" s="1488"/>
      <c r="AT66" s="1488"/>
      <c r="AU66" s="1488"/>
      <c r="AV66" s="1488"/>
      <c r="AW66" s="1488"/>
      <c r="AX66" s="1488"/>
      <c r="AY66" s="1488"/>
    </row>
    <row r="67" spans="2:51" s="1489" customFormat="1">
      <c r="B67" s="1488"/>
      <c r="C67" s="870" t="s">
        <v>1027</v>
      </c>
      <c r="D67" s="876" t="s">
        <v>1028</v>
      </c>
      <c r="E67" s="855" t="s">
        <v>946</v>
      </c>
      <c r="F67" s="855" t="s">
        <v>946</v>
      </c>
      <c r="G67" s="857">
        <f>'3.3 - ENV_FLOORS'!F67</f>
        <v>0</v>
      </c>
      <c r="H67" s="857">
        <f>'3.3 - ENV_FLOORS'!G67</f>
        <v>0</v>
      </c>
      <c r="I67" s="857">
        <f>'3.3 - ENV_FLOORS'!H67</f>
        <v>0</v>
      </c>
      <c r="J67" s="856">
        <f>'3.3 - ENV_FLOORS'!J67</f>
        <v>0</v>
      </c>
      <c r="K67" s="856">
        <f>'3.3 - ENV_FLOORS'!G67</f>
        <v>0</v>
      </c>
      <c r="L67" s="856">
        <f>'3.3 - ENV_FLOORS'!I67</f>
        <v>0</v>
      </c>
      <c r="M67" s="872"/>
      <c r="N67" s="1488"/>
      <c r="O67" s="1488"/>
      <c r="AR67" s="1488"/>
      <c r="AS67" s="1488"/>
      <c r="AT67" s="1488"/>
      <c r="AU67" s="1488"/>
      <c r="AV67" s="1488"/>
      <c r="AW67" s="1488"/>
      <c r="AX67" s="1488"/>
      <c r="AY67" s="1488"/>
    </row>
    <row r="68" spans="2:51" s="1489" customFormat="1" ht="54">
      <c r="B68" s="1488"/>
      <c r="C68" s="870" t="s">
        <v>1029</v>
      </c>
      <c r="D68" s="876" t="s">
        <v>1030</v>
      </c>
      <c r="E68" s="855" t="s">
        <v>946</v>
      </c>
      <c r="F68" s="855" t="s">
        <v>946</v>
      </c>
      <c r="G68" s="857">
        <f>'3.3 - ENV_FLOORS'!F68</f>
        <v>0</v>
      </c>
      <c r="H68" s="857">
        <f>'3.3 - ENV_FLOORS'!G68</f>
        <v>0</v>
      </c>
      <c r="I68" s="857">
        <f>'3.3 - ENV_FLOORS'!H68</f>
        <v>0</v>
      </c>
      <c r="J68" s="856">
        <f>'3.3 - ENV_FLOORS'!J68</f>
        <v>0</v>
      </c>
      <c r="K68" s="856">
        <f>'3.3 - ENV_FLOORS'!G68</f>
        <v>0</v>
      </c>
      <c r="L68" s="856">
        <f>'3.3 - ENV_FLOORS'!I68</f>
        <v>0</v>
      </c>
      <c r="M68" s="872"/>
      <c r="N68" s="1488"/>
      <c r="O68" s="1488"/>
      <c r="AR68" s="1488"/>
      <c r="AS68" s="1488"/>
      <c r="AT68" s="1488"/>
      <c r="AU68" s="1488"/>
      <c r="AV68" s="1488"/>
      <c r="AW68" s="1488"/>
      <c r="AX68" s="1488"/>
      <c r="AY68" s="1488"/>
    </row>
    <row r="69" spans="2:51" s="1489" customFormat="1" ht="36">
      <c r="B69" s="1488"/>
      <c r="C69" s="870" t="s">
        <v>1031</v>
      </c>
      <c r="D69" s="876" t="s">
        <v>1032</v>
      </c>
      <c r="E69" s="855" t="s">
        <v>946</v>
      </c>
      <c r="F69" s="855" t="s">
        <v>946</v>
      </c>
      <c r="G69" s="857">
        <f>'3.3 - ENV_FLOORS'!F69</f>
        <v>0</v>
      </c>
      <c r="H69" s="857">
        <f>'3.3 - ENV_FLOORS'!G69</f>
        <v>0</v>
      </c>
      <c r="I69" s="857">
        <f>'3.3 - ENV_FLOORS'!H69</f>
        <v>0</v>
      </c>
      <c r="J69" s="856">
        <f>'3.3 - ENV_FLOORS'!J69</f>
        <v>0</v>
      </c>
      <c r="K69" s="856">
        <f>'3.3 - ENV_FLOORS'!G69</f>
        <v>0</v>
      </c>
      <c r="L69" s="856">
        <f>'3.3 - ENV_FLOORS'!I69</f>
        <v>0</v>
      </c>
      <c r="M69" s="872"/>
      <c r="N69" s="1488"/>
      <c r="O69" s="1488"/>
      <c r="AR69" s="1488"/>
      <c r="AS69" s="1488"/>
      <c r="AT69" s="1488"/>
      <c r="AU69" s="1488"/>
      <c r="AV69" s="1488"/>
      <c r="AW69" s="1488"/>
      <c r="AX69" s="1488"/>
      <c r="AY69" s="1488"/>
    </row>
    <row r="70" spans="2:51" s="1489" customFormat="1" ht="36">
      <c r="B70" s="1488"/>
      <c r="C70" s="870" t="s">
        <v>1033</v>
      </c>
      <c r="D70" s="876" t="s">
        <v>1034</v>
      </c>
      <c r="E70" s="855" t="s">
        <v>946</v>
      </c>
      <c r="F70" s="855" t="s">
        <v>946</v>
      </c>
      <c r="G70" s="857">
        <f>'3.3 - ENV_FLOORS'!F70</f>
        <v>0</v>
      </c>
      <c r="H70" s="857">
        <f>'3.3 - ENV_FLOORS'!G70</f>
        <v>0</v>
      </c>
      <c r="I70" s="857">
        <f>'3.3 - ENV_FLOORS'!H70</f>
        <v>0</v>
      </c>
      <c r="J70" s="856">
        <f>'3.3 - ENV_FLOORS'!J70</f>
        <v>0</v>
      </c>
      <c r="K70" s="856">
        <f>'3.3 - ENV_FLOORS'!G70</f>
        <v>0</v>
      </c>
      <c r="L70" s="856">
        <f>'3.3 - ENV_FLOORS'!I70</f>
        <v>0</v>
      </c>
      <c r="M70" s="872"/>
      <c r="N70" s="1488"/>
      <c r="O70" s="1488"/>
      <c r="AR70" s="1488"/>
      <c r="AS70" s="1488"/>
      <c r="AT70" s="1488"/>
      <c r="AU70" s="1488"/>
      <c r="AV70" s="1488"/>
      <c r="AW70" s="1488"/>
      <c r="AX70" s="1488"/>
      <c r="AY70" s="1488"/>
    </row>
    <row r="71" spans="2:51" s="1489" customFormat="1" ht="54">
      <c r="B71" s="1488"/>
      <c r="C71" s="870" t="s">
        <v>1035</v>
      </c>
      <c r="D71" s="876" t="s">
        <v>1036</v>
      </c>
      <c r="E71" s="855" t="s">
        <v>946</v>
      </c>
      <c r="F71" s="855" t="s">
        <v>946</v>
      </c>
      <c r="G71" s="857">
        <f>'3.3 - ENV_FLOORS'!F71</f>
        <v>0</v>
      </c>
      <c r="H71" s="857">
        <f>'3.3 - ENV_FLOORS'!G71</f>
        <v>0</v>
      </c>
      <c r="I71" s="857">
        <f>'3.3 - ENV_FLOORS'!H71</f>
        <v>0</v>
      </c>
      <c r="J71" s="856">
        <f>'3.3 - ENV_FLOORS'!J71</f>
        <v>0</v>
      </c>
      <c r="K71" s="856">
        <f>'3.3 - ENV_FLOORS'!G71</f>
        <v>0</v>
      </c>
      <c r="L71" s="856">
        <f>'3.3 - ENV_FLOORS'!I71</f>
        <v>0</v>
      </c>
      <c r="M71" s="872"/>
      <c r="N71" s="1488"/>
      <c r="O71" s="1488"/>
      <c r="AR71" s="1488"/>
      <c r="AS71" s="1488"/>
      <c r="AT71" s="1488"/>
      <c r="AU71" s="1488"/>
      <c r="AV71" s="1488"/>
      <c r="AW71" s="1488"/>
      <c r="AX71" s="1488"/>
      <c r="AY71" s="1488"/>
    </row>
    <row r="72" spans="2:51" s="1489" customFormat="1">
      <c r="B72" s="1488"/>
      <c r="C72" s="870" t="s">
        <v>1037</v>
      </c>
      <c r="D72" s="876" t="s">
        <v>1014</v>
      </c>
      <c r="E72" s="855" t="s">
        <v>946</v>
      </c>
      <c r="F72" s="855" t="s">
        <v>946</v>
      </c>
      <c r="G72" s="857">
        <f>'3.3 - ENV_FLOORS'!F72</f>
        <v>0</v>
      </c>
      <c r="H72" s="857">
        <f>'3.3 - ENV_FLOORS'!G72</f>
        <v>0</v>
      </c>
      <c r="I72" s="857">
        <f>'3.3 - ENV_FLOORS'!H72</f>
        <v>0</v>
      </c>
      <c r="J72" s="856">
        <f>'3.3 - ENV_FLOORS'!J72</f>
        <v>0</v>
      </c>
      <c r="K72" s="856" t="s">
        <v>946</v>
      </c>
      <c r="L72" s="856">
        <f>'3.3 - ENV_FLOORS'!I72</f>
        <v>0</v>
      </c>
      <c r="M72" s="872"/>
      <c r="N72" s="1488"/>
      <c r="O72" s="1488"/>
      <c r="AR72" s="1488"/>
      <c r="AS72" s="1488"/>
      <c r="AT72" s="1488"/>
      <c r="AU72" s="1488"/>
      <c r="AV72" s="1488"/>
      <c r="AW72" s="1488"/>
      <c r="AX72" s="1488"/>
      <c r="AY72" s="1488"/>
    </row>
    <row r="73" spans="2:51" s="1489" customFormat="1">
      <c r="B73" s="1488"/>
      <c r="C73" s="870" t="s">
        <v>1038</v>
      </c>
      <c r="D73" s="876" t="s">
        <v>780</v>
      </c>
      <c r="E73" s="855" t="s">
        <v>946</v>
      </c>
      <c r="F73" s="855" t="s">
        <v>946</v>
      </c>
      <c r="G73" s="857" t="s">
        <v>946</v>
      </c>
      <c r="H73" s="857" t="s">
        <v>946</v>
      </c>
      <c r="I73" s="857" t="s">
        <v>946</v>
      </c>
      <c r="J73" s="856">
        <f>'3.3 - ENV_FLOORS'!J73</f>
        <v>0</v>
      </c>
      <c r="K73" s="856" t="s">
        <v>946</v>
      </c>
      <c r="L73" s="856">
        <f>'3.3 - ENV_FLOORS'!I73</f>
        <v>0</v>
      </c>
      <c r="M73" s="872"/>
      <c r="N73" s="1488"/>
      <c r="O73" s="1488"/>
      <c r="AR73" s="1488"/>
      <c r="AS73" s="1488"/>
      <c r="AT73" s="1488"/>
      <c r="AU73" s="1488"/>
      <c r="AV73" s="1488"/>
      <c r="AW73" s="1488"/>
      <c r="AX73" s="1488"/>
      <c r="AY73" s="1488"/>
    </row>
    <row r="74" spans="2:51" s="1489" customFormat="1">
      <c r="B74" s="1488"/>
      <c r="C74" s="873"/>
      <c r="D74" s="875" t="s">
        <v>1039</v>
      </c>
      <c r="E74" s="875"/>
      <c r="F74" s="875"/>
      <c r="G74" s="875"/>
      <c r="H74" s="875"/>
      <c r="I74" s="875"/>
      <c r="J74" s="875"/>
      <c r="K74" s="875"/>
      <c r="L74" s="875"/>
      <c r="M74" s="1506"/>
      <c r="N74" s="1488"/>
      <c r="O74" s="1488"/>
      <c r="AR74" s="1488"/>
      <c r="AS74" s="1488"/>
      <c r="AT74" s="1488"/>
      <c r="AU74" s="1488"/>
      <c r="AV74" s="1488"/>
      <c r="AW74" s="1488"/>
      <c r="AX74" s="1488"/>
      <c r="AY74" s="1488"/>
    </row>
    <row r="75" spans="2:51" s="1489" customFormat="1" ht="36">
      <c r="B75" s="1488"/>
      <c r="C75" s="870" t="s">
        <v>1040</v>
      </c>
      <c r="D75" s="854" t="s">
        <v>1041</v>
      </c>
      <c r="E75" s="855" t="s">
        <v>946</v>
      </c>
      <c r="F75" s="855" t="s">
        <v>946</v>
      </c>
      <c r="G75" s="857">
        <f>'3.4 - ENV_WINDOWS'!$G$27</f>
        <v>0</v>
      </c>
      <c r="H75" s="857">
        <f>'3.4 - ENV_WINDOWS'!$M$27</f>
        <v>0</v>
      </c>
      <c r="I75" s="857">
        <f>'3.4 - ENV_WINDOWS'!$N$27</f>
        <v>0</v>
      </c>
      <c r="J75" s="856" t="s">
        <v>946</v>
      </c>
      <c r="K75" s="856" t="s">
        <v>946</v>
      </c>
      <c r="L75" s="856" t="s">
        <v>946</v>
      </c>
      <c r="M75" s="872"/>
      <c r="N75" s="1488"/>
      <c r="O75" s="1488"/>
      <c r="AR75" s="1488"/>
      <c r="AS75" s="1488"/>
      <c r="AT75" s="1488"/>
      <c r="AU75" s="1488"/>
      <c r="AV75" s="1488"/>
      <c r="AW75" s="1488"/>
      <c r="AX75" s="1488"/>
      <c r="AY75" s="1488"/>
    </row>
    <row r="76" spans="2:51" s="1489" customFormat="1" ht="36">
      <c r="B76" s="1488"/>
      <c r="C76" s="870" t="s">
        <v>1042</v>
      </c>
      <c r="D76" s="876" t="s">
        <v>1043</v>
      </c>
      <c r="E76" s="855">
        <f>'3.4 - ENV_WINDOWS'!E39</f>
        <v>0</v>
      </c>
      <c r="F76" s="855">
        <f>'3.4 - ENV_WINDOWS'!F39</f>
        <v>0</v>
      </c>
      <c r="G76" s="857">
        <f>'3.4 - ENV_WINDOWS'!G39</f>
        <v>0</v>
      </c>
      <c r="H76" s="857">
        <f>'3.4 - ENV_WINDOWS'!M39</f>
        <v>0</v>
      </c>
      <c r="I76" s="857">
        <f>'3.4 - ENV_WINDOWS'!N39</f>
        <v>0</v>
      </c>
      <c r="J76" s="856">
        <f>'3.4 - ENV_WINDOWS'!P39</f>
        <v>0</v>
      </c>
      <c r="K76" s="856">
        <f>'3.4 - ENV_WINDOWS'!M39</f>
        <v>0</v>
      </c>
      <c r="L76" s="856">
        <f>'3.4 - ENV_WINDOWS'!O39</f>
        <v>0</v>
      </c>
      <c r="M76" s="872"/>
      <c r="N76" s="1488"/>
      <c r="O76" s="1488"/>
      <c r="AR76" s="1488"/>
      <c r="AS76" s="1488"/>
      <c r="AT76" s="1488"/>
      <c r="AU76" s="1488"/>
      <c r="AV76" s="1488"/>
      <c r="AW76" s="1488"/>
      <c r="AX76" s="1488"/>
      <c r="AY76" s="1488"/>
    </row>
    <row r="77" spans="2:51" s="1489" customFormat="1">
      <c r="B77" s="1488"/>
      <c r="C77" s="870" t="s">
        <v>1044</v>
      </c>
      <c r="D77" s="876" t="s">
        <v>1045</v>
      </c>
      <c r="E77" s="855" t="s">
        <v>946</v>
      </c>
      <c r="F77" s="855" t="s">
        <v>946</v>
      </c>
      <c r="G77" s="857">
        <f>'3.4 - ENV_WINDOWS'!G40</f>
        <v>0</v>
      </c>
      <c r="H77" s="857">
        <f>'3.4 - ENV_WINDOWS'!M40</f>
        <v>0</v>
      </c>
      <c r="I77" s="857">
        <f>'3.4 - ENV_WINDOWS'!N40</f>
        <v>0</v>
      </c>
      <c r="J77" s="856">
        <f>'3.4 - ENV_WINDOWS'!P40</f>
        <v>0</v>
      </c>
      <c r="K77" s="856">
        <f>'3.4 - ENV_WINDOWS'!M40</f>
        <v>0</v>
      </c>
      <c r="L77" s="856">
        <f>'3.4 - ENV_WINDOWS'!O40</f>
        <v>0</v>
      </c>
      <c r="M77" s="872"/>
      <c r="N77" s="1488"/>
      <c r="O77" s="1488"/>
      <c r="AR77" s="1488"/>
      <c r="AS77" s="1488"/>
      <c r="AT77" s="1488"/>
      <c r="AU77" s="1488"/>
      <c r="AV77" s="1488"/>
      <c r="AW77" s="1488"/>
      <c r="AX77" s="1488"/>
      <c r="AY77" s="1488"/>
    </row>
    <row r="78" spans="2:51" s="1489" customFormat="1">
      <c r="B78" s="1488"/>
      <c r="C78" s="870" t="s">
        <v>1046</v>
      </c>
      <c r="D78" s="876" t="s">
        <v>1047</v>
      </c>
      <c r="E78" s="855" t="s">
        <v>946</v>
      </c>
      <c r="F78" s="855" t="s">
        <v>946</v>
      </c>
      <c r="G78" s="857" t="s">
        <v>946</v>
      </c>
      <c r="H78" s="857" t="s">
        <v>946</v>
      </c>
      <c r="I78" s="857" t="s">
        <v>946</v>
      </c>
      <c r="J78" s="856">
        <f>'3.4 - ENV_WINDOWS'!P41</f>
        <v>0</v>
      </c>
      <c r="K78" s="856" t="s">
        <v>946</v>
      </c>
      <c r="L78" s="856">
        <f>'3.4 - ENV_WINDOWS'!O41</f>
        <v>0</v>
      </c>
      <c r="M78" s="872"/>
      <c r="N78" s="1488"/>
      <c r="O78" s="1488"/>
      <c r="AR78" s="1488"/>
      <c r="AS78" s="1488"/>
      <c r="AT78" s="1488"/>
      <c r="AU78" s="1488"/>
      <c r="AV78" s="1488"/>
      <c r="AW78" s="1488"/>
      <c r="AX78" s="1488"/>
      <c r="AY78" s="1488"/>
    </row>
    <row r="79" spans="2:51" s="1489" customFormat="1">
      <c r="B79" s="1488"/>
      <c r="C79" s="870" t="s">
        <v>1048</v>
      </c>
      <c r="D79" s="876" t="s">
        <v>1049</v>
      </c>
      <c r="E79" s="855" t="s">
        <v>946</v>
      </c>
      <c r="F79" s="855" t="s">
        <v>946</v>
      </c>
      <c r="G79" s="857" t="s">
        <v>946</v>
      </c>
      <c r="H79" s="857" t="s">
        <v>946</v>
      </c>
      <c r="I79" s="857" t="s">
        <v>946</v>
      </c>
      <c r="J79" s="856">
        <f>'3.4 - ENV_WINDOWS'!P42</f>
        <v>0</v>
      </c>
      <c r="K79" s="856" t="s">
        <v>946</v>
      </c>
      <c r="L79" s="856">
        <f>'3.4 - ENV_WINDOWS'!O42</f>
        <v>0</v>
      </c>
      <c r="M79" s="872"/>
      <c r="N79" s="1488"/>
      <c r="O79" s="1488"/>
      <c r="AR79" s="1488"/>
      <c r="AS79" s="1488"/>
      <c r="AT79" s="1488"/>
      <c r="AU79" s="1488"/>
      <c r="AV79" s="1488"/>
      <c r="AW79" s="1488"/>
      <c r="AX79" s="1488"/>
      <c r="AY79" s="1488"/>
    </row>
    <row r="80" spans="2:51" s="1489" customFormat="1">
      <c r="B80" s="1488"/>
      <c r="C80" s="870" t="s">
        <v>1050</v>
      </c>
      <c r="D80" s="876" t="s">
        <v>1051</v>
      </c>
      <c r="E80" s="855" t="s">
        <v>946</v>
      </c>
      <c r="F80" s="855" t="s">
        <v>946</v>
      </c>
      <c r="G80" s="857" t="s">
        <v>946</v>
      </c>
      <c r="H80" s="857" t="s">
        <v>946</v>
      </c>
      <c r="I80" s="857" t="s">
        <v>946</v>
      </c>
      <c r="J80" s="856">
        <f>'3.4 - ENV_WINDOWS'!P43</f>
        <v>0</v>
      </c>
      <c r="K80" s="856" t="s">
        <v>946</v>
      </c>
      <c r="L80" s="856">
        <f>'3.4 - ENV_WINDOWS'!O43</f>
        <v>0</v>
      </c>
      <c r="M80" s="872"/>
      <c r="N80" s="1488"/>
      <c r="O80" s="1488"/>
      <c r="AR80" s="1488"/>
      <c r="AS80" s="1488"/>
      <c r="AT80" s="1488"/>
      <c r="AU80" s="1488"/>
      <c r="AV80" s="1488"/>
      <c r="AW80" s="1488"/>
      <c r="AX80" s="1488"/>
      <c r="AY80" s="1488"/>
    </row>
    <row r="81" spans="2:51" s="1489" customFormat="1">
      <c r="B81" s="1488"/>
      <c r="C81" s="870" t="s">
        <v>1052</v>
      </c>
      <c r="D81" s="876" t="s">
        <v>1053</v>
      </c>
      <c r="E81" s="855" t="s">
        <v>946</v>
      </c>
      <c r="F81" s="855" t="s">
        <v>946</v>
      </c>
      <c r="G81" s="857" t="s">
        <v>946</v>
      </c>
      <c r="H81" s="857" t="s">
        <v>946</v>
      </c>
      <c r="I81" s="857" t="s">
        <v>946</v>
      </c>
      <c r="J81" s="856">
        <f>'3.4 - ENV_WINDOWS'!P44</f>
        <v>0</v>
      </c>
      <c r="K81" s="856" t="s">
        <v>946</v>
      </c>
      <c r="L81" s="856">
        <f>'3.4 - ENV_WINDOWS'!O44</f>
        <v>0</v>
      </c>
      <c r="M81" s="872"/>
      <c r="N81" s="1488"/>
      <c r="O81" s="1488"/>
      <c r="AR81" s="1488"/>
      <c r="AS81" s="1488"/>
      <c r="AT81" s="1488"/>
      <c r="AU81" s="1488"/>
      <c r="AV81" s="1488"/>
      <c r="AW81" s="1488"/>
      <c r="AX81" s="1488"/>
      <c r="AY81" s="1488"/>
    </row>
    <row r="82" spans="2:51" s="1489" customFormat="1" ht="36">
      <c r="B82" s="1488"/>
      <c r="C82" s="870" t="s">
        <v>1054</v>
      </c>
      <c r="D82" s="876" t="s">
        <v>1055</v>
      </c>
      <c r="E82" s="855" t="s">
        <v>946</v>
      </c>
      <c r="F82" s="855" t="s">
        <v>946</v>
      </c>
      <c r="G82" s="857" t="s">
        <v>946</v>
      </c>
      <c r="H82" s="857" t="s">
        <v>946</v>
      </c>
      <c r="I82" s="857" t="s">
        <v>946</v>
      </c>
      <c r="J82" s="856">
        <f>'3.4 - ENV_WINDOWS'!P45</f>
        <v>0</v>
      </c>
      <c r="K82" s="856" t="s">
        <v>946</v>
      </c>
      <c r="L82" s="856">
        <f>'3.4 - ENV_WINDOWS'!O45</f>
        <v>0</v>
      </c>
      <c r="M82" s="872"/>
      <c r="N82" s="1488"/>
      <c r="O82" s="1488"/>
      <c r="AR82" s="1488"/>
      <c r="AS82" s="1488"/>
      <c r="AT82" s="1488"/>
      <c r="AU82" s="1488"/>
      <c r="AV82" s="1488"/>
      <c r="AW82" s="1488"/>
      <c r="AX82" s="1488"/>
      <c r="AY82" s="1488"/>
    </row>
    <row r="83" spans="2:51" s="1489" customFormat="1" ht="36">
      <c r="B83" s="1488"/>
      <c r="C83" s="870" t="s">
        <v>1056</v>
      </c>
      <c r="D83" s="876" t="s">
        <v>945</v>
      </c>
      <c r="E83" s="855" t="s">
        <v>946</v>
      </c>
      <c r="F83" s="855" t="s">
        <v>946</v>
      </c>
      <c r="G83" s="857" t="s">
        <v>946</v>
      </c>
      <c r="H83" s="857" t="s">
        <v>946</v>
      </c>
      <c r="I83" s="857" t="s">
        <v>946</v>
      </c>
      <c r="J83" s="856">
        <f>'3.4 - ENV_WINDOWS'!P46</f>
        <v>0</v>
      </c>
      <c r="K83" s="856" t="s">
        <v>946</v>
      </c>
      <c r="L83" s="856">
        <f>'3.4 - ENV_WINDOWS'!O46</f>
        <v>0</v>
      </c>
      <c r="M83" s="872"/>
      <c r="N83" s="1488"/>
      <c r="O83" s="1488"/>
      <c r="AR83" s="1488"/>
      <c r="AS83" s="1488"/>
      <c r="AT83" s="1488"/>
      <c r="AU83" s="1488"/>
      <c r="AV83" s="1488"/>
      <c r="AW83" s="1488"/>
      <c r="AX83" s="1488"/>
      <c r="AY83" s="1488"/>
    </row>
    <row r="84" spans="2:51" s="1489" customFormat="1">
      <c r="B84" s="1488"/>
      <c r="C84" s="873"/>
      <c r="D84" s="875" t="s">
        <v>1057</v>
      </c>
      <c r="E84" s="875"/>
      <c r="F84" s="875"/>
      <c r="G84" s="875"/>
      <c r="H84" s="875"/>
      <c r="I84" s="875"/>
      <c r="J84" s="875"/>
      <c r="K84" s="875"/>
      <c r="L84" s="875"/>
      <c r="M84" s="1506"/>
      <c r="N84" s="1488"/>
      <c r="O84" s="1488"/>
      <c r="AR84" s="1488"/>
      <c r="AS84" s="1488"/>
      <c r="AT84" s="1488"/>
      <c r="AU84" s="1488"/>
      <c r="AV84" s="1488"/>
      <c r="AW84" s="1488"/>
      <c r="AX84" s="1488"/>
      <c r="AY84" s="1488"/>
    </row>
    <row r="85" spans="2:51" s="1489" customFormat="1" ht="36">
      <c r="B85" s="1488"/>
      <c r="C85" s="870" t="s">
        <v>1058</v>
      </c>
      <c r="D85" s="854" t="s">
        <v>1059</v>
      </c>
      <c r="E85" s="855" t="s">
        <v>946</v>
      </c>
      <c r="F85" s="855" t="s">
        <v>946</v>
      </c>
      <c r="G85" s="857">
        <f>'3.5 - ENV_EXTERIOR DOORS'!$G$26</f>
        <v>0</v>
      </c>
      <c r="H85" s="857">
        <f>'3.5 - ENV_EXTERIOR DOORS'!$J$26</f>
        <v>0</v>
      </c>
      <c r="I85" s="857">
        <f>'3.5 - ENV_EXTERIOR DOORS'!$K$26</f>
        <v>0</v>
      </c>
      <c r="J85" s="856" t="s">
        <v>946</v>
      </c>
      <c r="K85" s="856" t="s">
        <v>946</v>
      </c>
      <c r="L85" s="856" t="s">
        <v>946</v>
      </c>
      <c r="M85" s="872"/>
      <c r="N85" s="1488"/>
      <c r="O85" s="1488"/>
      <c r="AR85" s="1488"/>
      <c r="AS85" s="1488"/>
      <c r="AT85" s="1488"/>
      <c r="AU85" s="1488"/>
      <c r="AV85" s="1488"/>
      <c r="AW85" s="1488"/>
      <c r="AX85" s="1488"/>
      <c r="AY85" s="1488"/>
    </row>
    <row r="86" spans="2:51" ht="36">
      <c r="C86" s="870" t="s">
        <v>1060</v>
      </c>
      <c r="D86" s="876" t="s">
        <v>1061</v>
      </c>
      <c r="E86" s="855">
        <f>'3.5 - ENV_EXTERIOR DOORS'!E37</f>
        <v>0</v>
      </c>
      <c r="F86" s="855">
        <f>'3.5 - ENV_EXTERIOR DOORS'!F37</f>
        <v>0</v>
      </c>
      <c r="G86" s="857">
        <f>'3.5 - ENV_EXTERIOR DOORS'!G37</f>
        <v>0</v>
      </c>
      <c r="H86" s="857">
        <f>'3.5 - ENV_EXTERIOR DOORS'!J37</f>
        <v>0</v>
      </c>
      <c r="I86" s="857">
        <f>'3.5 - ENV_EXTERIOR DOORS'!K37</f>
        <v>0</v>
      </c>
      <c r="J86" s="856">
        <f>'3.5 - ENV_EXTERIOR DOORS'!M37</f>
        <v>0</v>
      </c>
      <c r="K86" s="856">
        <f>'3.5 - ENV_EXTERIOR DOORS'!J37</f>
        <v>0</v>
      </c>
      <c r="L86" s="856">
        <f>'3.5 - ENV_EXTERIOR DOORS'!L37</f>
        <v>0</v>
      </c>
      <c r="M86" s="872"/>
      <c r="N86" s="1488"/>
      <c r="O86" s="1488"/>
    </row>
    <row r="87" spans="2:51">
      <c r="C87" s="870" t="s">
        <v>1062</v>
      </c>
      <c r="D87" s="876" t="s">
        <v>1063</v>
      </c>
      <c r="E87" s="855" t="s">
        <v>946</v>
      </c>
      <c r="F87" s="855" t="s">
        <v>946</v>
      </c>
      <c r="G87" s="857">
        <f>'3.5 - ENV_EXTERIOR DOORS'!G38</f>
        <v>0</v>
      </c>
      <c r="H87" s="857">
        <f>'3.5 - ENV_EXTERIOR DOORS'!J38</f>
        <v>0</v>
      </c>
      <c r="I87" s="857">
        <f>'3.5 - ENV_EXTERIOR DOORS'!K38</f>
        <v>0</v>
      </c>
      <c r="J87" s="856">
        <f>'3.5 - ENV_EXTERIOR DOORS'!M38</f>
        <v>0</v>
      </c>
      <c r="K87" s="856" t="s">
        <v>946</v>
      </c>
      <c r="L87" s="856">
        <f>'3.5 - ENV_EXTERIOR DOORS'!L38</f>
        <v>0</v>
      </c>
      <c r="M87" s="872"/>
      <c r="N87" s="1488"/>
      <c r="O87" s="1488"/>
    </row>
    <row r="88" spans="2:51">
      <c r="C88" s="870" t="s">
        <v>1064</v>
      </c>
      <c r="D88" s="876" t="s">
        <v>1065</v>
      </c>
      <c r="E88" s="855" t="s">
        <v>946</v>
      </c>
      <c r="F88" s="855" t="s">
        <v>946</v>
      </c>
      <c r="G88" s="857" t="s">
        <v>946</v>
      </c>
      <c r="H88" s="857" t="s">
        <v>946</v>
      </c>
      <c r="I88" s="857" t="s">
        <v>946</v>
      </c>
      <c r="J88" s="856">
        <f>'3.5 - ENV_EXTERIOR DOORS'!M39</f>
        <v>0</v>
      </c>
      <c r="K88" s="856" t="s">
        <v>946</v>
      </c>
      <c r="L88" s="856">
        <f>'3.5 - ENV_EXTERIOR DOORS'!L39</f>
        <v>0</v>
      </c>
      <c r="M88" s="872"/>
      <c r="N88" s="1488"/>
      <c r="O88" s="1488"/>
    </row>
    <row r="89" spans="2:51">
      <c r="C89" s="870" t="s">
        <v>1066</v>
      </c>
      <c r="D89" s="876" t="s">
        <v>1067</v>
      </c>
      <c r="E89" s="855" t="s">
        <v>946</v>
      </c>
      <c r="F89" s="855" t="s">
        <v>946</v>
      </c>
      <c r="G89" s="857" t="s">
        <v>946</v>
      </c>
      <c r="H89" s="857" t="s">
        <v>946</v>
      </c>
      <c r="I89" s="857" t="s">
        <v>946</v>
      </c>
      <c r="J89" s="856">
        <f>'3.5 - ENV_EXTERIOR DOORS'!M40</f>
        <v>0</v>
      </c>
      <c r="K89" s="856" t="s">
        <v>946</v>
      </c>
      <c r="L89" s="856">
        <f>'3.5 - ENV_EXTERIOR DOORS'!L40</f>
        <v>0</v>
      </c>
      <c r="M89" s="872"/>
      <c r="N89" s="1488"/>
      <c r="O89" s="1488"/>
    </row>
    <row r="90" spans="2:51">
      <c r="C90" s="870" t="s">
        <v>1068</v>
      </c>
      <c r="D90" s="876" t="s">
        <v>1069</v>
      </c>
      <c r="E90" s="855" t="s">
        <v>946</v>
      </c>
      <c r="F90" s="855" t="s">
        <v>946</v>
      </c>
      <c r="G90" s="857" t="s">
        <v>946</v>
      </c>
      <c r="H90" s="857" t="s">
        <v>946</v>
      </c>
      <c r="I90" s="857" t="s">
        <v>946</v>
      </c>
      <c r="J90" s="856">
        <f>'3.5 - ENV_EXTERIOR DOORS'!M41</f>
        <v>0</v>
      </c>
      <c r="K90" s="856" t="s">
        <v>946</v>
      </c>
      <c r="L90" s="856">
        <f>'3.5 - ENV_EXTERIOR DOORS'!L41</f>
        <v>0</v>
      </c>
      <c r="M90" s="872"/>
      <c r="N90" s="1488"/>
      <c r="O90" s="1488"/>
    </row>
    <row r="91" spans="2:51" ht="36">
      <c r="C91" s="870" t="s">
        <v>1070</v>
      </c>
      <c r="D91" s="876" t="s">
        <v>945</v>
      </c>
      <c r="E91" s="855" t="s">
        <v>946</v>
      </c>
      <c r="F91" s="855" t="s">
        <v>946</v>
      </c>
      <c r="G91" s="857" t="s">
        <v>946</v>
      </c>
      <c r="H91" s="857" t="s">
        <v>946</v>
      </c>
      <c r="I91" s="857" t="s">
        <v>946</v>
      </c>
      <c r="J91" s="856">
        <f>'3.5 - ENV_EXTERIOR DOORS'!M42</f>
        <v>0</v>
      </c>
      <c r="K91" s="856" t="s">
        <v>946</v>
      </c>
      <c r="L91" s="856">
        <f>'3.5 - ENV_EXTERIOR DOORS'!L42</f>
        <v>0</v>
      </c>
      <c r="M91" s="872"/>
      <c r="N91" s="1488"/>
      <c r="O91" s="1488"/>
    </row>
    <row r="92" spans="2:51" s="1504" customFormat="1">
      <c r="C92" s="858">
        <v>4</v>
      </c>
      <c r="D92" s="859" t="s">
        <v>1071</v>
      </c>
      <c r="E92" s="860"/>
      <c r="F92" s="860"/>
      <c r="G92" s="860"/>
      <c r="H92" s="860"/>
      <c r="I92" s="860"/>
      <c r="J92" s="860"/>
      <c r="K92" s="860"/>
      <c r="L92" s="861"/>
      <c r="M92" s="847"/>
      <c r="P92" s="1505"/>
      <c r="Q92" s="1505"/>
      <c r="R92" s="1505"/>
      <c r="S92" s="1505"/>
      <c r="T92" s="1505"/>
      <c r="U92" s="1505"/>
      <c r="V92" s="1505"/>
      <c r="W92" s="1505"/>
      <c r="X92" s="1505"/>
      <c r="Y92" s="1505"/>
      <c r="Z92" s="1505"/>
      <c r="AA92" s="1505"/>
      <c r="AB92" s="1505"/>
      <c r="AC92" s="1505"/>
      <c r="AD92" s="1505"/>
      <c r="AE92" s="1505"/>
      <c r="AF92" s="1505"/>
      <c r="AG92" s="1505"/>
      <c r="AH92" s="1505"/>
      <c r="AI92" s="1505"/>
      <c r="AJ92" s="1505"/>
      <c r="AK92" s="1505"/>
      <c r="AL92" s="1505"/>
      <c r="AM92" s="1505"/>
      <c r="AN92" s="1505"/>
      <c r="AO92" s="1505"/>
      <c r="AP92" s="1505"/>
      <c r="AQ92" s="1505"/>
    </row>
    <row r="93" spans="2:51" ht="54">
      <c r="C93" s="870" t="s">
        <v>1072</v>
      </c>
      <c r="D93" s="854" t="s">
        <v>1073</v>
      </c>
      <c r="E93" s="855" t="s">
        <v>946</v>
      </c>
      <c r="F93" s="855" t="s">
        <v>946</v>
      </c>
      <c r="G93" s="857">
        <f>'4.1 - GARAGES_CMPTZ &amp; HEATING '!$F$21</f>
        <v>0</v>
      </c>
      <c r="H93" s="857">
        <f>'4.1 - GARAGES_CMPTZ &amp; HEATING '!$G$21</f>
        <v>0</v>
      </c>
      <c r="I93" s="857">
        <f>'4.1 - GARAGES_CMPTZ &amp; HEATING '!$H$21</f>
        <v>0</v>
      </c>
      <c r="J93" s="856" t="s">
        <v>946</v>
      </c>
      <c r="K93" s="856" t="s">
        <v>946</v>
      </c>
      <c r="L93" s="856" t="s">
        <v>946</v>
      </c>
      <c r="M93" s="872"/>
      <c r="N93" s="1488"/>
      <c r="O93" s="1488"/>
    </row>
    <row r="94" spans="2:51">
      <c r="C94" s="870" t="s">
        <v>1074</v>
      </c>
      <c r="D94" s="854" t="s">
        <v>1075</v>
      </c>
      <c r="E94" s="864" t="s">
        <v>946</v>
      </c>
      <c r="F94" s="864" t="s">
        <v>946</v>
      </c>
      <c r="G94" s="877">
        <f>'4.1 - GARAGES_CMPTZ &amp; HEATING '!F23</f>
        <v>0</v>
      </c>
      <c r="H94" s="877">
        <f>'4.1 - GARAGES_CMPTZ &amp; HEATING '!G23</f>
        <v>0</v>
      </c>
      <c r="I94" s="877">
        <f>'4.1 - GARAGES_CMPTZ &amp; HEATING '!H23</f>
        <v>0</v>
      </c>
      <c r="J94" s="878">
        <f>'4.1 - GARAGES_CMPTZ &amp; HEATING '!J23</f>
        <v>0</v>
      </c>
      <c r="K94" s="878">
        <f>'4.1 - GARAGES_CMPTZ &amp; HEATING '!G23</f>
        <v>0</v>
      </c>
      <c r="L94" s="878">
        <f>'4.1 - GARAGES_CMPTZ &amp; HEATING '!I23</f>
        <v>0</v>
      </c>
      <c r="M94" s="872"/>
      <c r="N94" s="1488"/>
      <c r="O94" s="1488"/>
    </row>
    <row r="95" spans="2:51">
      <c r="C95" s="870" t="s">
        <v>1074</v>
      </c>
      <c r="D95" s="854" t="s">
        <v>1076</v>
      </c>
      <c r="E95" s="864" t="s">
        <v>946</v>
      </c>
      <c r="F95" s="864" t="s">
        <v>946</v>
      </c>
      <c r="G95" s="877">
        <f>'4.1 - GARAGES_CMPTZ &amp; HEATING '!F24</f>
        <v>0</v>
      </c>
      <c r="H95" s="877">
        <f>'4.1 - GARAGES_CMPTZ &amp; HEATING '!G24</f>
        <v>0</v>
      </c>
      <c r="I95" s="877">
        <f>'4.1 - GARAGES_CMPTZ &amp; HEATING '!H24</f>
        <v>0</v>
      </c>
      <c r="J95" s="878">
        <f>'4.1 - GARAGES_CMPTZ &amp; HEATING '!J24</f>
        <v>0</v>
      </c>
      <c r="K95" s="878">
        <f>'4.1 - GARAGES_CMPTZ &amp; HEATING '!G24</f>
        <v>0</v>
      </c>
      <c r="L95" s="878">
        <f>'4.1 - GARAGES_CMPTZ &amp; HEATING '!I24</f>
        <v>0</v>
      </c>
      <c r="M95" s="872"/>
      <c r="N95" s="1488"/>
      <c r="O95" s="1488"/>
    </row>
    <row r="96" spans="2:51">
      <c r="C96" s="870" t="s">
        <v>1077</v>
      </c>
      <c r="D96" s="854" t="s">
        <v>1078</v>
      </c>
      <c r="E96" s="864" t="s">
        <v>946</v>
      </c>
      <c r="F96" s="864" t="s">
        <v>946</v>
      </c>
      <c r="G96" s="877">
        <f>'4.1 - GARAGES_CMPTZ &amp; HEATING '!F25</f>
        <v>0</v>
      </c>
      <c r="H96" s="877">
        <f>'4.1 - GARAGES_CMPTZ &amp; HEATING '!G25</f>
        <v>0</v>
      </c>
      <c r="I96" s="877">
        <f>'4.1 - GARAGES_CMPTZ &amp; HEATING '!H25</f>
        <v>0</v>
      </c>
      <c r="J96" s="878">
        <f>'4.1 - GARAGES_CMPTZ &amp; HEATING '!J25</f>
        <v>0</v>
      </c>
      <c r="K96" s="878">
        <f>'4.1 - GARAGES_CMPTZ &amp; HEATING '!G25</f>
        <v>0</v>
      </c>
      <c r="L96" s="878">
        <f>'4.1 - GARAGES_CMPTZ &amp; HEATING '!I25</f>
        <v>0</v>
      </c>
      <c r="M96" s="872"/>
      <c r="N96" s="1488"/>
      <c r="O96" s="1488"/>
    </row>
    <row r="97" spans="2:43">
      <c r="C97" s="870" t="s">
        <v>1079</v>
      </c>
      <c r="D97" s="854" t="s">
        <v>1014</v>
      </c>
      <c r="E97" s="864" t="s">
        <v>946</v>
      </c>
      <c r="F97" s="864" t="s">
        <v>946</v>
      </c>
      <c r="G97" s="877" t="s">
        <v>946</v>
      </c>
      <c r="H97" s="877" t="s">
        <v>946</v>
      </c>
      <c r="I97" s="877" t="s">
        <v>946</v>
      </c>
      <c r="J97" s="878">
        <f>'4.1 - GARAGES_CMPTZ &amp; HEATING '!J26</f>
        <v>0</v>
      </c>
      <c r="K97" s="878" t="s">
        <v>946</v>
      </c>
      <c r="L97" s="878">
        <f>'4.1 - GARAGES_CMPTZ &amp; HEATING '!I26</f>
        <v>0</v>
      </c>
      <c r="M97" s="872"/>
      <c r="N97" s="1488"/>
      <c r="O97" s="1488"/>
    </row>
    <row r="98" spans="2:43" ht="36">
      <c r="C98" s="870" t="s">
        <v>1080</v>
      </c>
      <c r="D98" s="854" t="s">
        <v>1081</v>
      </c>
      <c r="E98" s="864" t="s">
        <v>946</v>
      </c>
      <c r="F98" s="864" t="s">
        <v>946</v>
      </c>
      <c r="G98" s="877" t="s">
        <v>946</v>
      </c>
      <c r="H98" s="877" t="s">
        <v>946</v>
      </c>
      <c r="I98" s="877" t="s">
        <v>946</v>
      </c>
      <c r="J98" s="878">
        <f>'4.1 - GARAGES_CMPTZ &amp; HEATING '!J27</f>
        <v>0</v>
      </c>
      <c r="K98" s="878" t="s">
        <v>946</v>
      </c>
      <c r="L98" s="878">
        <f>'4.1 - GARAGES_CMPTZ &amp; HEATING '!I27</f>
        <v>0</v>
      </c>
      <c r="M98" s="872"/>
      <c r="N98" s="1488"/>
      <c r="O98" s="1488"/>
    </row>
    <row r="99" spans="2:43" s="1504" customFormat="1">
      <c r="C99" s="858">
        <v>5</v>
      </c>
      <c r="D99" s="859" t="s">
        <v>1082</v>
      </c>
      <c r="E99" s="860"/>
      <c r="F99" s="860"/>
      <c r="G99" s="860"/>
      <c r="H99" s="860"/>
      <c r="I99" s="860"/>
      <c r="J99" s="860"/>
      <c r="K99" s="860"/>
      <c r="L99" s="861"/>
      <c r="M99" s="847"/>
      <c r="P99" s="1505"/>
      <c r="Q99" s="1505"/>
      <c r="R99" s="1505"/>
      <c r="S99" s="1505"/>
      <c r="T99" s="1505"/>
      <c r="U99" s="1505"/>
      <c r="V99" s="1505"/>
      <c r="W99" s="1505"/>
      <c r="X99" s="1505"/>
      <c r="Y99" s="1505"/>
      <c r="Z99" s="1505"/>
      <c r="AA99" s="1505"/>
      <c r="AB99" s="1505"/>
      <c r="AC99" s="1505"/>
      <c r="AD99" s="1505"/>
      <c r="AE99" s="1505"/>
      <c r="AF99" s="1505"/>
      <c r="AG99" s="1505"/>
      <c r="AH99" s="1505"/>
      <c r="AI99" s="1505"/>
      <c r="AJ99" s="1505"/>
      <c r="AK99" s="1505"/>
      <c r="AL99" s="1505"/>
      <c r="AM99" s="1505"/>
      <c r="AN99" s="1505"/>
      <c r="AO99" s="1505"/>
      <c r="AP99" s="1505"/>
      <c r="AQ99" s="1505"/>
    </row>
    <row r="100" spans="2:43">
      <c r="C100" s="862" t="s">
        <v>1083</v>
      </c>
      <c r="D100" s="863" t="s">
        <v>949</v>
      </c>
      <c r="E100" s="879" t="str">
        <f>'5.1, 5.3 - HEATING'!F44</f>
        <v>See below</v>
      </c>
      <c r="F100" s="879">
        <f>'5.1, 5.3 - HEATING'!G44</f>
        <v>0</v>
      </c>
      <c r="G100" s="865">
        <f>'5.1, 5.3 - HEATING'!H44</f>
        <v>0</v>
      </c>
      <c r="H100" s="865">
        <f>'5.1, 5.3 - HEATING'!M44</f>
        <v>0</v>
      </c>
      <c r="I100" s="865">
        <f>'5.1, 5.3 - HEATING'!N44</f>
        <v>0</v>
      </c>
      <c r="J100" s="866">
        <f>'5.1, 5.3 - HEATING'!P44</f>
        <v>0</v>
      </c>
      <c r="K100" s="866">
        <f>'5.1, 5.3 - HEATING'!M44</f>
        <v>0</v>
      </c>
      <c r="L100" s="866">
        <f>'5.1, 5.3 - HEATING'!O44</f>
        <v>0</v>
      </c>
      <c r="M100" s="867"/>
      <c r="N100" s="1488"/>
      <c r="O100" s="1488"/>
    </row>
    <row r="101" spans="2:43">
      <c r="C101" s="873"/>
      <c r="D101" s="875" t="s">
        <v>950</v>
      </c>
      <c r="E101" s="875"/>
      <c r="F101" s="875"/>
      <c r="G101" s="875"/>
      <c r="H101" s="875"/>
      <c r="I101" s="875"/>
      <c r="J101" s="875"/>
      <c r="K101" s="875"/>
      <c r="L101" s="875"/>
      <c r="M101" s="1506"/>
      <c r="N101" s="1488"/>
      <c r="O101" s="1488"/>
    </row>
    <row r="102" spans="2:43">
      <c r="C102" s="880" t="s">
        <v>1084</v>
      </c>
      <c r="D102" s="871" t="s">
        <v>668</v>
      </c>
      <c r="E102" s="879">
        <f>'5.1, 5.3 - HEATING'!F46</f>
        <v>0</v>
      </c>
      <c r="F102" s="879">
        <f>'5.1, 5.3 - HEATING'!G46</f>
        <v>0</v>
      </c>
      <c r="G102" s="865">
        <f>'5.1, 5.3 - HEATING'!H46</f>
        <v>0</v>
      </c>
      <c r="H102" s="865">
        <f>'5.1, 5.3 - HEATING'!M46</f>
        <v>0</v>
      </c>
      <c r="I102" s="865">
        <f>'5.1, 5.3 - HEATING'!N46</f>
        <v>0</v>
      </c>
      <c r="J102" s="866">
        <f>'5.1, 5.3 - HEATING'!P46</f>
        <v>0</v>
      </c>
      <c r="K102" s="866">
        <f>'5.1, 5.3 - HEATING'!M46</f>
        <v>0</v>
      </c>
      <c r="L102" s="866">
        <f>'5.1, 5.3 - HEATING'!O46</f>
        <v>0</v>
      </c>
      <c r="M102" s="872"/>
      <c r="N102" s="1488"/>
      <c r="O102" s="1488"/>
    </row>
    <row r="103" spans="2:43" ht="36">
      <c r="C103" s="880" t="s">
        <v>1085</v>
      </c>
      <c r="D103" s="881" t="s">
        <v>666</v>
      </c>
      <c r="E103" s="879">
        <f>'5.1, 5.3 - HEATING'!F47</f>
        <v>0</v>
      </c>
      <c r="F103" s="879">
        <f>'5.1, 5.3 - HEATING'!G47</f>
        <v>0</v>
      </c>
      <c r="G103" s="865">
        <f>'5.1, 5.3 - HEATING'!H47</f>
        <v>0</v>
      </c>
      <c r="H103" s="865">
        <f>'5.1, 5.3 - HEATING'!M47</f>
        <v>0</v>
      </c>
      <c r="I103" s="865">
        <f>'5.1, 5.3 - HEATING'!N47</f>
        <v>0</v>
      </c>
      <c r="J103" s="866">
        <f>'5.1, 5.3 - HEATING'!P47</f>
        <v>0</v>
      </c>
      <c r="K103" s="866">
        <f>'5.1, 5.3 - HEATING'!M47</f>
        <v>0</v>
      </c>
      <c r="L103" s="866">
        <f>'5.1, 5.3 - HEATING'!O47</f>
        <v>0</v>
      </c>
      <c r="M103" s="882"/>
      <c r="N103" s="1488"/>
      <c r="O103" s="1488"/>
    </row>
    <row r="104" spans="2:43" ht="36">
      <c r="C104" s="880" t="s">
        <v>1086</v>
      </c>
      <c r="D104" s="871" t="s">
        <v>1087</v>
      </c>
      <c r="E104" s="879">
        <f>'5.1, 5.3 - HEATING'!F48</f>
        <v>0</v>
      </c>
      <c r="F104" s="879">
        <f>'5.1, 5.3 - HEATING'!G48</f>
        <v>0</v>
      </c>
      <c r="G104" s="865">
        <f>'5.1, 5.3 - HEATING'!H48</f>
        <v>0</v>
      </c>
      <c r="H104" s="865">
        <f>'5.1, 5.3 - HEATING'!M48</f>
        <v>0</v>
      </c>
      <c r="I104" s="865">
        <f>'5.1, 5.3 - HEATING'!N48</f>
        <v>0</v>
      </c>
      <c r="J104" s="866">
        <f>'5.1, 5.3 - HEATING'!P48</f>
        <v>0</v>
      </c>
      <c r="K104" s="866">
        <f>'5.1, 5.3 - HEATING'!M48</f>
        <v>0</v>
      </c>
      <c r="L104" s="866">
        <f>'5.1, 5.3 - HEATING'!O48</f>
        <v>0</v>
      </c>
      <c r="M104" s="872"/>
      <c r="N104" s="1488"/>
      <c r="O104" s="1488"/>
    </row>
    <row r="105" spans="2:43" ht="36">
      <c r="C105" s="880" t="s">
        <v>1088</v>
      </c>
      <c r="D105" s="871" t="s">
        <v>669</v>
      </c>
      <c r="E105" s="879">
        <f>'5.1, 5.3 - HEATING'!F49</f>
        <v>0</v>
      </c>
      <c r="F105" s="879">
        <f>'5.1, 5.3 - HEATING'!G49</f>
        <v>0</v>
      </c>
      <c r="G105" s="865">
        <f>'5.1, 5.3 - HEATING'!H49</f>
        <v>0</v>
      </c>
      <c r="H105" s="865">
        <f>'5.1, 5.3 - HEATING'!M49</f>
        <v>0</v>
      </c>
      <c r="I105" s="865">
        <f>'5.1, 5.3 - HEATING'!N49</f>
        <v>0</v>
      </c>
      <c r="J105" s="866">
        <f>'5.1, 5.3 - HEATING'!P49</f>
        <v>0</v>
      </c>
      <c r="K105" s="866">
        <f>'5.1, 5.3 - HEATING'!M49</f>
        <v>0</v>
      </c>
      <c r="L105" s="866">
        <f>'5.1, 5.3 - HEATING'!O49</f>
        <v>0</v>
      </c>
      <c r="M105" s="872"/>
      <c r="N105" s="1488"/>
      <c r="O105" s="1488"/>
    </row>
    <row r="106" spans="2:43">
      <c r="C106" s="880" t="s">
        <v>1089</v>
      </c>
      <c r="D106" s="871" t="s">
        <v>670</v>
      </c>
      <c r="E106" s="879">
        <f>'5.1, 5.3 - HEATING'!F50</f>
        <v>0</v>
      </c>
      <c r="F106" s="879">
        <f>'5.1, 5.3 - HEATING'!G50</f>
        <v>0</v>
      </c>
      <c r="G106" s="865">
        <f>'5.1, 5.3 - HEATING'!H50</f>
        <v>0</v>
      </c>
      <c r="H106" s="865">
        <f>'5.1, 5.3 - HEATING'!M50</f>
        <v>0</v>
      </c>
      <c r="I106" s="865">
        <f>'5.1, 5.3 - HEATING'!N50</f>
        <v>0</v>
      </c>
      <c r="J106" s="866">
        <f>'5.1, 5.3 - HEATING'!P50</f>
        <v>0</v>
      </c>
      <c r="K106" s="866">
        <f>'5.1, 5.3 - HEATING'!M50</f>
        <v>0</v>
      </c>
      <c r="L106" s="866">
        <f>'5.1, 5.3 - HEATING'!O50</f>
        <v>0</v>
      </c>
      <c r="M106" s="872"/>
      <c r="N106" s="1488"/>
      <c r="O106" s="1488"/>
    </row>
    <row r="107" spans="2:43" s="1489" customFormat="1">
      <c r="B107" s="1488"/>
      <c r="C107" s="873"/>
      <c r="D107" s="874" t="s">
        <v>1090</v>
      </c>
      <c r="E107" s="875"/>
      <c r="F107" s="875"/>
      <c r="G107" s="875"/>
      <c r="H107" s="875"/>
      <c r="I107" s="875"/>
      <c r="J107" s="875"/>
      <c r="K107" s="875"/>
      <c r="L107" s="875"/>
      <c r="M107" s="1506"/>
      <c r="N107" s="1488"/>
      <c r="O107" s="1488"/>
    </row>
    <row r="108" spans="2:43" s="1489" customFormat="1" ht="36">
      <c r="B108" s="1488"/>
      <c r="C108" s="870" t="s">
        <v>1091</v>
      </c>
      <c r="D108" s="871" t="s">
        <v>1092</v>
      </c>
      <c r="E108" s="864" t="s">
        <v>946</v>
      </c>
      <c r="F108" s="864" t="s">
        <v>946</v>
      </c>
      <c r="G108" s="865">
        <f>'5.1, 5.3 - HEATING'!H52</f>
        <v>0</v>
      </c>
      <c r="H108" s="865">
        <f>'5.1, 5.3 - HEATING'!M52</f>
        <v>0</v>
      </c>
      <c r="I108" s="865">
        <f>'5.1, 5.3 - HEATING'!N52</f>
        <v>0</v>
      </c>
      <c r="J108" s="866">
        <f>'5.1, 5.3 - HEATING'!P52</f>
        <v>0</v>
      </c>
      <c r="K108" s="866">
        <f>'5.1, 5.3 - HEATING'!M52</f>
        <v>0</v>
      </c>
      <c r="L108" s="866">
        <f>'5.1, 5.3 - HEATING'!O52</f>
        <v>0</v>
      </c>
      <c r="M108" s="872"/>
      <c r="N108" s="1488"/>
      <c r="O108" s="1488"/>
    </row>
    <row r="109" spans="2:43" s="1489" customFormat="1" ht="36">
      <c r="B109" s="1488"/>
      <c r="C109" s="870" t="s">
        <v>1093</v>
      </c>
      <c r="D109" s="871" t="s">
        <v>1094</v>
      </c>
      <c r="E109" s="864" t="s">
        <v>946</v>
      </c>
      <c r="F109" s="864" t="s">
        <v>946</v>
      </c>
      <c r="G109" s="865">
        <f>'5.1, 5.3 - HEATING'!H53</f>
        <v>0</v>
      </c>
      <c r="H109" s="865">
        <f>'5.1, 5.3 - HEATING'!M53</f>
        <v>0</v>
      </c>
      <c r="I109" s="865">
        <f>'5.1, 5.3 - HEATING'!N53</f>
        <v>0</v>
      </c>
      <c r="J109" s="866">
        <f>'5.1, 5.3 - HEATING'!P53</f>
        <v>0</v>
      </c>
      <c r="K109" s="866">
        <f>'5.1, 5.3 - HEATING'!M53</f>
        <v>0</v>
      </c>
      <c r="L109" s="866">
        <f>'5.1, 5.3 - HEATING'!O53</f>
        <v>0</v>
      </c>
      <c r="M109" s="872"/>
      <c r="N109" s="1488"/>
      <c r="O109" s="1488"/>
    </row>
    <row r="110" spans="2:43" s="1489" customFormat="1" ht="36">
      <c r="B110" s="1488"/>
      <c r="C110" s="870" t="s">
        <v>1095</v>
      </c>
      <c r="D110" s="871" t="s">
        <v>1096</v>
      </c>
      <c r="E110" s="864" t="s">
        <v>946</v>
      </c>
      <c r="F110" s="864" t="s">
        <v>946</v>
      </c>
      <c r="G110" s="865">
        <f>'5.1, 5.3 - HEATING'!H54</f>
        <v>0</v>
      </c>
      <c r="H110" s="865">
        <f>'5.1, 5.3 - HEATING'!M54</f>
        <v>0</v>
      </c>
      <c r="I110" s="865">
        <f>'5.1, 5.3 - HEATING'!N54</f>
        <v>0</v>
      </c>
      <c r="J110" s="866">
        <f>'5.1, 5.3 - HEATING'!P54</f>
        <v>0</v>
      </c>
      <c r="K110" s="866">
        <f>'5.1, 5.3 - HEATING'!M54</f>
        <v>0</v>
      </c>
      <c r="L110" s="866">
        <f>'5.1, 5.3 - HEATING'!O54</f>
        <v>0</v>
      </c>
      <c r="M110" s="872"/>
      <c r="N110" s="1488"/>
      <c r="O110" s="1488"/>
    </row>
    <row r="111" spans="2:43" s="1489" customFormat="1" ht="36">
      <c r="B111" s="1488"/>
      <c r="C111" s="870" t="s">
        <v>1097</v>
      </c>
      <c r="D111" s="871" t="s">
        <v>1098</v>
      </c>
      <c r="E111" s="864" t="s">
        <v>946</v>
      </c>
      <c r="F111" s="864" t="s">
        <v>946</v>
      </c>
      <c r="G111" s="865">
        <f>'5.1, 5.3 - HEATING'!H55</f>
        <v>0</v>
      </c>
      <c r="H111" s="865">
        <f>'5.1, 5.3 - HEATING'!M55</f>
        <v>0</v>
      </c>
      <c r="I111" s="865">
        <f>'5.1, 5.3 - HEATING'!N55</f>
        <v>0</v>
      </c>
      <c r="J111" s="866">
        <f>'5.1, 5.3 - HEATING'!P55</f>
        <v>0</v>
      </c>
      <c r="K111" s="866">
        <f>'5.1, 5.3 - HEATING'!M55</f>
        <v>0</v>
      </c>
      <c r="L111" s="866">
        <f>'5.1, 5.3 - HEATING'!O55</f>
        <v>0</v>
      </c>
      <c r="M111" s="872"/>
      <c r="N111" s="1488"/>
      <c r="O111" s="1488"/>
    </row>
    <row r="112" spans="2:43" s="1489" customFormat="1" ht="36">
      <c r="B112" s="1488"/>
      <c r="C112" s="870" t="s">
        <v>1099</v>
      </c>
      <c r="D112" s="871" t="s">
        <v>1100</v>
      </c>
      <c r="E112" s="864" t="s">
        <v>946</v>
      </c>
      <c r="F112" s="864" t="s">
        <v>946</v>
      </c>
      <c r="G112" s="865">
        <f>'5.1, 5.3 - HEATING'!H56</f>
        <v>0</v>
      </c>
      <c r="H112" s="865">
        <f>'5.1, 5.3 - HEATING'!M56</f>
        <v>0</v>
      </c>
      <c r="I112" s="865">
        <f>'5.1, 5.3 - HEATING'!N56</f>
        <v>0</v>
      </c>
      <c r="J112" s="866">
        <f>'5.1, 5.3 - HEATING'!P56</f>
        <v>0</v>
      </c>
      <c r="K112" s="866">
        <f>'5.1, 5.3 - HEATING'!M56</f>
        <v>0</v>
      </c>
      <c r="L112" s="866">
        <f>'5.1, 5.3 - HEATING'!O56</f>
        <v>0</v>
      </c>
      <c r="M112" s="872"/>
      <c r="N112" s="1488"/>
      <c r="O112" s="1488"/>
    </row>
    <row r="113" spans="2:15" s="1489" customFormat="1" ht="36">
      <c r="B113" s="1488"/>
      <c r="C113" s="870" t="s">
        <v>1101</v>
      </c>
      <c r="D113" s="871" t="s">
        <v>1102</v>
      </c>
      <c r="E113" s="864" t="s">
        <v>946</v>
      </c>
      <c r="F113" s="864" t="s">
        <v>946</v>
      </c>
      <c r="G113" s="865">
        <f>'5.1, 5.3 - HEATING'!H57</f>
        <v>0</v>
      </c>
      <c r="H113" s="865">
        <f>'5.1, 5.3 - HEATING'!M57</f>
        <v>0</v>
      </c>
      <c r="I113" s="865">
        <f>'5.1, 5.3 - HEATING'!N57</f>
        <v>0</v>
      </c>
      <c r="J113" s="866">
        <f>'5.1, 5.3 - HEATING'!P57</f>
        <v>0</v>
      </c>
      <c r="K113" s="866">
        <f>'5.1, 5.3 - HEATING'!M57</f>
        <v>0</v>
      </c>
      <c r="L113" s="866">
        <f>'5.1, 5.3 - HEATING'!O57</f>
        <v>0</v>
      </c>
      <c r="M113" s="872"/>
      <c r="N113" s="1488"/>
      <c r="O113" s="1488"/>
    </row>
    <row r="114" spans="2:15" s="1489" customFormat="1" ht="54">
      <c r="B114" s="1488"/>
      <c r="C114" s="873"/>
      <c r="D114" s="875" t="s">
        <v>1103</v>
      </c>
      <c r="E114" s="875"/>
      <c r="F114" s="875"/>
      <c r="G114" s="875"/>
      <c r="H114" s="875"/>
      <c r="I114" s="875"/>
      <c r="J114" s="875"/>
      <c r="K114" s="875"/>
      <c r="L114" s="875"/>
      <c r="M114" s="1506"/>
      <c r="N114" s="1488"/>
      <c r="O114" s="1488"/>
    </row>
    <row r="115" spans="2:15" s="1489" customFormat="1" ht="36">
      <c r="B115" s="1488"/>
      <c r="C115" s="870" t="s">
        <v>1104</v>
      </c>
      <c r="D115" s="871" t="s">
        <v>1105</v>
      </c>
      <c r="E115" s="864" t="s">
        <v>946</v>
      </c>
      <c r="F115" s="864" t="s">
        <v>946</v>
      </c>
      <c r="G115" s="865">
        <f>'5.1, 5.3 - HEATING'!H59</f>
        <v>0</v>
      </c>
      <c r="H115" s="865">
        <f>'5.1, 5.3 - HEATING'!M59</f>
        <v>0</v>
      </c>
      <c r="I115" s="865">
        <f>'5.1, 5.3 - HEATING'!N59</f>
        <v>0</v>
      </c>
      <c r="J115" s="866">
        <f>'5.1, 5.3 - HEATING'!P59</f>
        <v>0</v>
      </c>
      <c r="K115" s="866">
        <f>'5.1, 5.3 - HEATING'!M59</f>
        <v>0</v>
      </c>
      <c r="L115" s="866">
        <f>'5.1, 5.3 - HEATING'!O59</f>
        <v>0</v>
      </c>
      <c r="M115" s="872"/>
      <c r="N115" s="1488"/>
      <c r="O115" s="1488"/>
    </row>
    <row r="116" spans="2:15" s="1489" customFormat="1" ht="36">
      <c r="B116" s="1488"/>
      <c r="C116" s="870" t="s">
        <v>1106</v>
      </c>
      <c r="D116" s="871" t="s">
        <v>1107</v>
      </c>
      <c r="E116" s="864" t="s">
        <v>946</v>
      </c>
      <c r="F116" s="864" t="s">
        <v>946</v>
      </c>
      <c r="G116" s="865">
        <f>'5.1, 5.3 - HEATING'!H60</f>
        <v>0</v>
      </c>
      <c r="H116" s="865">
        <f>'5.1, 5.3 - HEATING'!M60</f>
        <v>0</v>
      </c>
      <c r="I116" s="865">
        <f>'5.1, 5.3 - HEATING'!N60</f>
        <v>0</v>
      </c>
      <c r="J116" s="866">
        <f>'5.1, 5.3 - HEATING'!P60</f>
        <v>0</v>
      </c>
      <c r="K116" s="866">
        <f>'5.1, 5.3 - HEATING'!M60</f>
        <v>0</v>
      </c>
      <c r="L116" s="866">
        <f>'5.1, 5.3 - HEATING'!O60</f>
        <v>0</v>
      </c>
      <c r="M116" s="872"/>
      <c r="N116" s="1488"/>
      <c r="O116" s="1488"/>
    </row>
    <row r="117" spans="2:15" ht="36">
      <c r="C117" s="870" t="s">
        <v>1108</v>
      </c>
      <c r="D117" s="871" t="s">
        <v>1109</v>
      </c>
      <c r="E117" s="864" t="s">
        <v>946</v>
      </c>
      <c r="F117" s="864" t="s">
        <v>946</v>
      </c>
      <c r="G117" s="865">
        <f>'5.1, 5.3 - HEATING'!H61</f>
        <v>0</v>
      </c>
      <c r="H117" s="865">
        <f>'5.1, 5.3 - HEATING'!M61</f>
        <v>0</v>
      </c>
      <c r="I117" s="865">
        <f>'5.1, 5.3 - HEATING'!N61</f>
        <v>0</v>
      </c>
      <c r="J117" s="866">
        <f>'5.1, 5.3 - HEATING'!P61</f>
        <v>0</v>
      </c>
      <c r="K117" s="866">
        <f>'5.1, 5.3 - HEATING'!M61</f>
        <v>0</v>
      </c>
      <c r="L117" s="866">
        <f>'5.1, 5.3 - HEATING'!O61</f>
        <v>0</v>
      </c>
      <c r="M117" s="872"/>
      <c r="N117" s="1488"/>
      <c r="O117" s="1488"/>
    </row>
    <row r="118" spans="2:15" ht="36">
      <c r="C118" s="870" t="s">
        <v>1110</v>
      </c>
      <c r="D118" s="871" t="s">
        <v>1111</v>
      </c>
      <c r="E118" s="864" t="s">
        <v>946</v>
      </c>
      <c r="F118" s="864" t="s">
        <v>946</v>
      </c>
      <c r="G118" s="865">
        <f>'5.1, 5.3 - HEATING'!H62</f>
        <v>0</v>
      </c>
      <c r="H118" s="865">
        <f>'5.1, 5.3 - HEATING'!M62</f>
        <v>0</v>
      </c>
      <c r="I118" s="865">
        <f>'5.1, 5.3 - HEATING'!N62</f>
        <v>0</v>
      </c>
      <c r="J118" s="866">
        <f>'5.1, 5.3 - HEATING'!P62</f>
        <v>0</v>
      </c>
      <c r="K118" s="866">
        <f>'5.1, 5.3 - HEATING'!M62</f>
        <v>0</v>
      </c>
      <c r="L118" s="866">
        <f>'5.1, 5.3 - HEATING'!O62</f>
        <v>0</v>
      </c>
      <c r="M118" s="872"/>
      <c r="N118" s="1488"/>
      <c r="O118" s="1488"/>
    </row>
    <row r="119" spans="2:15" ht="36">
      <c r="C119" s="870" t="s">
        <v>1112</v>
      </c>
      <c r="D119" s="871" t="s">
        <v>1113</v>
      </c>
      <c r="E119" s="864" t="s">
        <v>946</v>
      </c>
      <c r="F119" s="864" t="s">
        <v>946</v>
      </c>
      <c r="G119" s="865" t="s">
        <v>946</v>
      </c>
      <c r="H119" s="865" t="s">
        <v>946</v>
      </c>
      <c r="I119" s="865" t="s">
        <v>946</v>
      </c>
      <c r="J119" s="866">
        <f>'5.1, 5.3 - HEATING'!P63</f>
        <v>0</v>
      </c>
      <c r="K119" s="866">
        <f>'5.1, 5.3 - HEATING'!M63</f>
        <v>0</v>
      </c>
      <c r="L119" s="866">
        <f>'5.1, 5.3 - HEATING'!O63</f>
        <v>0</v>
      </c>
      <c r="M119" s="872"/>
      <c r="N119" s="1488"/>
      <c r="O119" s="1488"/>
    </row>
    <row r="120" spans="2:15" ht="54">
      <c r="C120" s="870" t="s">
        <v>1114</v>
      </c>
      <c r="D120" s="871" t="s">
        <v>1115</v>
      </c>
      <c r="E120" s="864" t="s">
        <v>946</v>
      </c>
      <c r="F120" s="864" t="s">
        <v>946</v>
      </c>
      <c r="G120" s="865" t="s">
        <v>946</v>
      </c>
      <c r="H120" s="865" t="s">
        <v>946</v>
      </c>
      <c r="I120" s="865" t="s">
        <v>946</v>
      </c>
      <c r="J120" s="866">
        <f>'5.1, 5.3 - HEATING'!P64</f>
        <v>0</v>
      </c>
      <c r="K120" s="866">
        <f>'5.1, 5.3 - HEATING'!M64</f>
        <v>0</v>
      </c>
      <c r="L120" s="866">
        <f>'5.1, 5.3 - HEATING'!O64</f>
        <v>0</v>
      </c>
      <c r="M120" s="872"/>
      <c r="N120" s="1488"/>
      <c r="O120" s="1488"/>
    </row>
    <row r="121" spans="2:15" ht="36">
      <c r="C121" s="873"/>
      <c r="D121" s="875" t="s">
        <v>1116</v>
      </c>
      <c r="E121" s="875"/>
      <c r="F121" s="875"/>
      <c r="G121" s="875"/>
      <c r="H121" s="875"/>
      <c r="I121" s="875"/>
      <c r="J121" s="875"/>
      <c r="K121" s="875"/>
      <c r="L121" s="875"/>
      <c r="M121" s="1506"/>
      <c r="N121" s="1488"/>
      <c r="O121" s="1488"/>
    </row>
    <row r="122" spans="2:15" ht="36">
      <c r="C122" s="870" t="s">
        <v>1117</v>
      </c>
      <c r="D122" s="871" t="s">
        <v>1118</v>
      </c>
      <c r="E122" s="864" t="s">
        <v>946</v>
      </c>
      <c r="F122" s="864" t="s">
        <v>946</v>
      </c>
      <c r="G122" s="865">
        <f>'5.1, 5.3 - HEATING'!H66</f>
        <v>0</v>
      </c>
      <c r="H122" s="865">
        <f>'5.1, 5.3 - HEATING'!M66</f>
        <v>0</v>
      </c>
      <c r="I122" s="865">
        <f>'5.1, 5.3 - HEATING'!N66</f>
        <v>0</v>
      </c>
      <c r="J122" s="866">
        <f>'5.1, 5.3 - HEATING'!P66</f>
        <v>0</v>
      </c>
      <c r="K122" s="866">
        <f>'5.1, 5.3 - HEATING'!M66</f>
        <v>0</v>
      </c>
      <c r="L122" s="866">
        <f>'5.1, 5.3 - HEATING'!O66</f>
        <v>0</v>
      </c>
      <c r="M122" s="872"/>
      <c r="N122" s="1488"/>
      <c r="O122" s="1488"/>
    </row>
    <row r="123" spans="2:15" ht="36">
      <c r="C123" s="870" t="s">
        <v>1119</v>
      </c>
      <c r="D123" s="871" t="s">
        <v>1120</v>
      </c>
      <c r="E123" s="864" t="s">
        <v>946</v>
      </c>
      <c r="F123" s="864" t="s">
        <v>946</v>
      </c>
      <c r="G123" s="865">
        <f>'5.1, 5.3 - HEATING'!H67</f>
        <v>0</v>
      </c>
      <c r="H123" s="865">
        <f>'5.1, 5.3 - HEATING'!M67</f>
        <v>0</v>
      </c>
      <c r="I123" s="865">
        <f>'5.1, 5.3 - HEATING'!N67</f>
        <v>0</v>
      </c>
      <c r="J123" s="866">
        <f>'5.1, 5.3 - HEATING'!P67</f>
        <v>0</v>
      </c>
      <c r="K123" s="866">
        <f>'5.1, 5.3 - HEATING'!M67</f>
        <v>0</v>
      </c>
      <c r="L123" s="866">
        <f>'5.1, 5.3 - HEATING'!O67</f>
        <v>0</v>
      </c>
      <c r="M123" s="872"/>
      <c r="N123" s="1488"/>
      <c r="O123" s="1488"/>
    </row>
    <row r="124" spans="2:15" ht="36">
      <c r="C124" s="870" t="s">
        <v>1121</v>
      </c>
      <c r="D124" s="871" t="s">
        <v>1122</v>
      </c>
      <c r="E124" s="864" t="s">
        <v>946</v>
      </c>
      <c r="F124" s="864" t="s">
        <v>946</v>
      </c>
      <c r="G124" s="865">
        <f>'5.1, 5.3 - HEATING'!H68</f>
        <v>0</v>
      </c>
      <c r="H124" s="865">
        <f>'5.1, 5.3 - HEATING'!M68</f>
        <v>0</v>
      </c>
      <c r="I124" s="865">
        <f>'5.1, 5.3 - HEATING'!N68</f>
        <v>0</v>
      </c>
      <c r="J124" s="866">
        <f>'5.1, 5.3 - HEATING'!P68</f>
        <v>0</v>
      </c>
      <c r="K124" s="866">
        <f>'5.1, 5.3 - HEATING'!M68</f>
        <v>0</v>
      </c>
      <c r="L124" s="866">
        <f>'5.1, 5.3 - HEATING'!O68</f>
        <v>0</v>
      </c>
      <c r="M124" s="872"/>
      <c r="N124" s="1488"/>
      <c r="O124" s="1488"/>
    </row>
    <row r="125" spans="2:15" ht="36">
      <c r="C125" s="870" t="s">
        <v>1123</v>
      </c>
      <c r="D125" s="871" t="s">
        <v>1124</v>
      </c>
      <c r="E125" s="864" t="s">
        <v>946</v>
      </c>
      <c r="F125" s="864" t="s">
        <v>946</v>
      </c>
      <c r="G125" s="865">
        <f>'5.1, 5.3 - HEATING'!H69</f>
        <v>0</v>
      </c>
      <c r="H125" s="865">
        <f>'5.1, 5.3 - HEATING'!M69</f>
        <v>0</v>
      </c>
      <c r="I125" s="865">
        <f>'5.1, 5.3 - HEATING'!N69</f>
        <v>0</v>
      </c>
      <c r="J125" s="866">
        <f>'5.1, 5.3 - HEATING'!P69</f>
        <v>0</v>
      </c>
      <c r="K125" s="866">
        <f>'5.1, 5.3 - HEATING'!M69</f>
        <v>0</v>
      </c>
      <c r="L125" s="866">
        <f>'5.1, 5.3 - HEATING'!O69</f>
        <v>0</v>
      </c>
      <c r="M125" s="872"/>
      <c r="N125" s="1488"/>
      <c r="O125" s="1488"/>
    </row>
    <row r="126" spans="2:15">
      <c r="C126" s="873"/>
      <c r="D126" s="875" t="s">
        <v>1125</v>
      </c>
      <c r="E126" s="875"/>
      <c r="F126" s="875"/>
      <c r="G126" s="875"/>
      <c r="H126" s="875"/>
      <c r="I126" s="875"/>
      <c r="J126" s="875"/>
      <c r="K126" s="875"/>
      <c r="L126" s="875"/>
      <c r="M126" s="1506"/>
      <c r="N126" s="1488"/>
      <c r="O126" s="1488"/>
    </row>
    <row r="127" spans="2:15">
      <c r="C127" s="870" t="s">
        <v>1126</v>
      </c>
      <c r="D127" s="871" t="s">
        <v>1127</v>
      </c>
      <c r="E127" s="864" t="s">
        <v>946</v>
      </c>
      <c r="F127" s="864" t="s">
        <v>946</v>
      </c>
      <c r="G127" s="865">
        <f>'5.1, 5.3 - HEATING'!H71</f>
        <v>0</v>
      </c>
      <c r="H127" s="865">
        <f>'5.1, 5.3 - HEATING'!M71</f>
        <v>0</v>
      </c>
      <c r="I127" s="865">
        <f>'5.1, 5.3 - HEATING'!N71</f>
        <v>0</v>
      </c>
      <c r="J127" s="866">
        <f>'5.1, 5.3 - HEATING'!P71</f>
        <v>0</v>
      </c>
      <c r="K127" s="866">
        <f>'5.1, 5.3 - HEATING'!M71</f>
        <v>0</v>
      </c>
      <c r="L127" s="866">
        <f>'5.1, 5.3 - HEATING'!O71</f>
        <v>0</v>
      </c>
      <c r="M127" s="872"/>
      <c r="N127" s="1488"/>
      <c r="O127" s="1488"/>
    </row>
    <row r="128" spans="2:15" ht="36">
      <c r="C128" s="870" t="s">
        <v>1128</v>
      </c>
      <c r="D128" s="871" t="s">
        <v>1129</v>
      </c>
      <c r="E128" s="864" t="s">
        <v>946</v>
      </c>
      <c r="F128" s="864" t="s">
        <v>946</v>
      </c>
      <c r="G128" s="865" t="s">
        <v>946</v>
      </c>
      <c r="H128" s="865" t="s">
        <v>946</v>
      </c>
      <c r="I128" s="865" t="s">
        <v>946</v>
      </c>
      <c r="J128" s="866">
        <f>'5.1, 5.3 - HEATING'!P72</f>
        <v>0</v>
      </c>
      <c r="K128" s="866">
        <f>'5.1, 5.3 - HEATING'!M72</f>
        <v>0</v>
      </c>
      <c r="L128" s="866">
        <f>'5.1, 5.3 - HEATING'!O72</f>
        <v>0</v>
      </c>
      <c r="M128" s="872"/>
      <c r="N128" s="1488"/>
      <c r="O128" s="1488"/>
    </row>
    <row r="129" spans="2:51" ht="36">
      <c r="C129" s="870" t="s">
        <v>1130</v>
      </c>
      <c r="D129" s="871" t="s">
        <v>1131</v>
      </c>
      <c r="E129" s="864" t="s">
        <v>946</v>
      </c>
      <c r="F129" s="864" t="s">
        <v>946</v>
      </c>
      <c r="G129" s="865" t="s">
        <v>946</v>
      </c>
      <c r="H129" s="865" t="s">
        <v>946</v>
      </c>
      <c r="I129" s="865" t="s">
        <v>946</v>
      </c>
      <c r="J129" s="866">
        <f>'5.1, 5.3 - HEATING'!P73</f>
        <v>0</v>
      </c>
      <c r="K129" s="866">
        <f>'5.1, 5.3 - HEATING'!M73</f>
        <v>0</v>
      </c>
      <c r="L129" s="866">
        <f>'5.1, 5.3 - HEATING'!O73</f>
        <v>0</v>
      </c>
      <c r="M129" s="872"/>
      <c r="N129" s="1488"/>
      <c r="O129" s="1488"/>
    </row>
    <row r="130" spans="2:51" ht="36">
      <c r="C130" s="870" t="s">
        <v>1132</v>
      </c>
      <c r="D130" s="871" t="s">
        <v>971</v>
      </c>
      <c r="E130" s="864" t="s">
        <v>946</v>
      </c>
      <c r="F130" s="864" t="s">
        <v>946</v>
      </c>
      <c r="G130" s="865" t="s">
        <v>946</v>
      </c>
      <c r="H130" s="865" t="s">
        <v>946</v>
      </c>
      <c r="I130" s="865" t="s">
        <v>946</v>
      </c>
      <c r="J130" s="866">
        <f>'5.1, 5.3 - HEATING'!P74</f>
        <v>0</v>
      </c>
      <c r="K130" s="866">
        <f>'5.1, 5.3 - HEATING'!M74</f>
        <v>0</v>
      </c>
      <c r="L130" s="866">
        <f>'5.1, 5.3 - HEATING'!O74</f>
        <v>0</v>
      </c>
      <c r="M130" s="872"/>
      <c r="N130" s="1488"/>
      <c r="O130" s="1488"/>
    </row>
    <row r="131" spans="2:51" s="1504" customFormat="1">
      <c r="C131" s="858">
        <v>5.6</v>
      </c>
      <c r="D131" s="859" t="s">
        <v>1133</v>
      </c>
      <c r="E131" s="860"/>
      <c r="F131" s="860"/>
      <c r="G131" s="860"/>
      <c r="H131" s="860"/>
      <c r="I131" s="860"/>
      <c r="J131" s="860"/>
      <c r="K131" s="860"/>
      <c r="L131" s="861"/>
      <c r="M131" s="847"/>
      <c r="P131" s="1505"/>
      <c r="Q131" s="1505"/>
      <c r="R131" s="1505"/>
      <c r="S131" s="1505"/>
      <c r="T131" s="1505"/>
      <c r="U131" s="1505"/>
      <c r="V131" s="1505"/>
      <c r="W131" s="1505"/>
      <c r="X131" s="1505"/>
      <c r="Y131" s="1505"/>
      <c r="Z131" s="1505"/>
      <c r="AA131" s="1505"/>
      <c r="AB131" s="1505"/>
      <c r="AC131" s="1505"/>
      <c r="AD131" s="1505"/>
      <c r="AE131" s="1505"/>
      <c r="AF131" s="1505"/>
      <c r="AG131" s="1505"/>
      <c r="AH131" s="1505"/>
      <c r="AI131" s="1505"/>
      <c r="AJ131" s="1505"/>
      <c r="AK131" s="1505"/>
      <c r="AL131" s="1505"/>
      <c r="AM131" s="1505"/>
      <c r="AN131" s="1505"/>
      <c r="AO131" s="1505"/>
      <c r="AP131" s="1505"/>
      <c r="AQ131" s="1505"/>
    </row>
    <row r="132" spans="2:51">
      <c r="C132" s="870" t="s">
        <v>1134</v>
      </c>
      <c r="D132" s="854" t="s">
        <v>949</v>
      </c>
      <c r="E132" s="864" t="str">
        <f>'5.2, 5.4 - COOLING'!E33</f>
        <v>see below</v>
      </c>
      <c r="F132" s="864">
        <f>'5.2, 5.4 - COOLING'!F33</f>
        <v>0</v>
      </c>
      <c r="G132" s="877">
        <f>'5.2, 5.4 - COOLING'!G33</f>
        <v>0</v>
      </c>
      <c r="H132" s="877">
        <f>'5.2, 5.4 - COOLING'!N33</f>
        <v>0</v>
      </c>
      <c r="I132" s="877">
        <f>'5.2, 5.4 - COOLING'!O33</f>
        <v>0</v>
      </c>
      <c r="J132" s="878">
        <f>'5.2, 5.4 - COOLING'!Q33</f>
        <v>0</v>
      </c>
      <c r="K132" s="878">
        <f>'5.2, 5.4 - COOLING'!N33</f>
        <v>0</v>
      </c>
      <c r="L132" s="878">
        <f>'5.2, 5.4 - COOLING'!P33</f>
        <v>0</v>
      </c>
      <c r="M132" s="872"/>
      <c r="N132" s="1488"/>
      <c r="O132" s="1488"/>
    </row>
    <row r="133" spans="2:51">
      <c r="C133" s="873"/>
      <c r="D133" s="875" t="s">
        <v>950</v>
      </c>
      <c r="E133" s="875"/>
      <c r="F133" s="875"/>
      <c r="G133" s="875"/>
      <c r="H133" s="875"/>
      <c r="I133" s="875"/>
      <c r="J133" s="875"/>
      <c r="K133" s="875"/>
      <c r="L133" s="875"/>
      <c r="M133" s="1506"/>
      <c r="N133" s="1488"/>
      <c r="O133" s="1488"/>
    </row>
    <row r="134" spans="2:51">
      <c r="C134" s="870" t="s">
        <v>1135</v>
      </c>
      <c r="D134" s="854" t="s">
        <v>1136</v>
      </c>
      <c r="E134" s="864">
        <f>'5.2, 5.4 - COOLING'!E35</f>
        <v>0</v>
      </c>
      <c r="F134" s="864">
        <f>'5.2, 5.4 - COOLING'!F35</f>
        <v>0</v>
      </c>
      <c r="G134" s="877">
        <f>'5.2, 5.4 - COOLING'!G35</f>
        <v>0</v>
      </c>
      <c r="H134" s="877">
        <f>'5.2, 5.4 - COOLING'!N35</f>
        <v>0</v>
      </c>
      <c r="I134" s="877">
        <f>'5.2, 5.4 - COOLING'!O35</f>
        <v>0</v>
      </c>
      <c r="J134" s="878">
        <f>'5.2, 5.4 - COOLING'!Q35</f>
        <v>0</v>
      </c>
      <c r="K134" s="878">
        <f>'5.2, 5.4 - COOLING'!N35</f>
        <v>0</v>
      </c>
      <c r="L134" s="878">
        <f>'5.2, 5.4 - COOLING'!P35</f>
        <v>0</v>
      </c>
      <c r="M134" s="872"/>
      <c r="N134" s="1488"/>
      <c r="O134" s="1488"/>
    </row>
    <row r="135" spans="2:51" s="1489" customFormat="1" ht="36">
      <c r="B135" s="1488"/>
      <c r="C135" s="870" t="s">
        <v>1137</v>
      </c>
      <c r="D135" s="854" t="s">
        <v>1138</v>
      </c>
      <c r="E135" s="864">
        <f>'5.2, 5.4 - COOLING'!E36</f>
        <v>0</v>
      </c>
      <c r="F135" s="864">
        <f>'5.2, 5.4 - COOLING'!F36</f>
        <v>0</v>
      </c>
      <c r="G135" s="877">
        <f>'5.2, 5.4 - COOLING'!G36</f>
        <v>0</v>
      </c>
      <c r="H135" s="877">
        <f>'5.2, 5.4 - COOLING'!N36</f>
        <v>0</v>
      </c>
      <c r="I135" s="877">
        <f>'5.2, 5.4 - COOLING'!O36</f>
        <v>0</v>
      </c>
      <c r="J135" s="878">
        <f>'5.2, 5.4 - COOLING'!Q36</f>
        <v>0</v>
      </c>
      <c r="K135" s="878">
        <f>'5.2, 5.4 - COOLING'!N36</f>
        <v>0</v>
      </c>
      <c r="L135" s="878">
        <f>'5.2, 5.4 - COOLING'!P36</f>
        <v>0</v>
      </c>
      <c r="M135" s="872"/>
      <c r="N135" s="1488"/>
      <c r="O135" s="1488"/>
      <c r="AR135" s="1488"/>
      <c r="AS135" s="1488"/>
      <c r="AT135" s="1488"/>
      <c r="AU135" s="1488"/>
      <c r="AV135" s="1488"/>
      <c r="AW135" s="1488"/>
      <c r="AX135" s="1488"/>
      <c r="AY135" s="1488"/>
    </row>
    <row r="136" spans="2:51" s="1489" customFormat="1">
      <c r="B136" s="1488"/>
      <c r="C136" s="870" t="s">
        <v>1139</v>
      </c>
      <c r="D136" s="854" t="s">
        <v>1140</v>
      </c>
      <c r="E136" s="864">
        <f>'5.2, 5.4 - COOLING'!E37</f>
        <v>0</v>
      </c>
      <c r="F136" s="864">
        <f>'5.2, 5.4 - COOLING'!F37</f>
        <v>0</v>
      </c>
      <c r="G136" s="877">
        <f>'5.2, 5.4 - COOLING'!G37</f>
        <v>0</v>
      </c>
      <c r="H136" s="877">
        <f>'5.2, 5.4 - COOLING'!N37</f>
        <v>0</v>
      </c>
      <c r="I136" s="877">
        <f>'5.2, 5.4 - COOLING'!O37</f>
        <v>0</v>
      </c>
      <c r="J136" s="878">
        <f>'5.2, 5.4 - COOLING'!Q37</f>
        <v>0</v>
      </c>
      <c r="K136" s="878">
        <f>'5.2, 5.4 - COOLING'!N37</f>
        <v>0</v>
      </c>
      <c r="L136" s="878">
        <f>'5.2, 5.4 - COOLING'!P37</f>
        <v>0</v>
      </c>
      <c r="M136" s="872"/>
      <c r="N136" s="1488"/>
      <c r="O136" s="1488"/>
      <c r="AR136" s="1488"/>
      <c r="AS136" s="1488"/>
      <c r="AT136" s="1488"/>
      <c r="AU136" s="1488"/>
      <c r="AV136" s="1488"/>
      <c r="AW136" s="1488"/>
      <c r="AX136" s="1488"/>
      <c r="AY136" s="1488"/>
    </row>
    <row r="137" spans="2:51" s="1489" customFormat="1" ht="36">
      <c r="B137" s="1488"/>
      <c r="C137" s="873"/>
      <c r="D137" s="875" t="s">
        <v>1141</v>
      </c>
      <c r="E137" s="875"/>
      <c r="F137" s="875"/>
      <c r="G137" s="875"/>
      <c r="H137" s="875"/>
      <c r="I137" s="875"/>
      <c r="J137" s="875"/>
      <c r="K137" s="875"/>
      <c r="L137" s="875"/>
      <c r="M137" s="1506"/>
      <c r="N137" s="1488"/>
      <c r="O137" s="1488"/>
      <c r="AR137" s="1488"/>
      <c r="AS137" s="1488"/>
      <c r="AT137" s="1488"/>
      <c r="AU137" s="1488"/>
      <c r="AV137" s="1488"/>
      <c r="AW137" s="1488"/>
      <c r="AX137" s="1488"/>
      <c r="AY137" s="1488"/>
    </row>
    <row r="138" spans="2:51" s="1489" customFormat="1" ht="36">
      <c r="B138" s="1488"/>
      <c r="C138" s="870" t="s">
        <v>1142</v>
      </c>
      <c r="D138" s="854" t="s">
        <v>1143</v>
      </c>
      <c r="E138" s="864" t="s">
        <v>946</v>
      </c>
      <c r="F138" s="864" t="s">
        <v>946</v>
      </c>
      <c r="G138" s="877">
        <f>'5.2, 5.4 - COOLING'!G39</f>
        <v>0</v>
      </c>
      <c r="H138" s="877">
        <f>'5.2, 5.4 - COOLING'!N39</f>
        <v>0</v>
      </c>
      <c r="I138" s="877">
        <f>'5.2, 5.4 - COOLING'!O39</f>
        <v>0</v>
      </c>
      <c r="J138" s="878">
        <f>'5.2, 5.4 - COOLING'!Q39</f>
        <v>0</v>
      </c>
      <c r="K138" s="878">
        <f>'5.2, 5.4 - COOLING'!N39</f>
        <v>0</v>
      </c>
      <c r="L138" s="878">
        <f>'5.2, 5.4 - COOLING'!P39</f>
        <v>0</v>
      </c>
      <c r="M138" s="872"/>
      <c r="N138" s="1488"/>
      <c r="O138" s="1488"/>
      <c r="AR138" s="1488"/>
      <c r="AS138" s="1488"/>
      <c r="AT138" s="1488"/>
      <c r="AU138" s="1488"/>
      <c r="AV138" s="1488"/>
      <c r="AW138" s="1488"/>
      <c r="AX138" s="1488"/>
      <c r="AY138" s="1488"/>
    </row>
    <row r="139" spans="2:51" s="1489" customFormat="1" ht="36">
      <c r="B139" s="1488"/>
      <c r="C139" s="870" t="s">
        <v>1144</v>
      </c>
      <c r="D139" s="854" t="s">
        <v>1145</v>
      </c>
      <c r="E139" s="864" t="s">
        <v>946</v>
      </c>
      <c r="F139" s="864" t="s">
        <v>946</v>
      </c>
      <c r="G139" s="877">
        <f>'5.2, 5.4 - COOLING'!G40</f>
        <v>0</v>
      </c>
      <c r="H139" s="877">
        <f>'5.2, 5.4 - COOLING'!N40</f>
        <v>0</v>
      </c>
      <c r="I139" s="877">
        <f>'5.2, 5.4 - COOLING'!O40</f>
        <v>0</v>
      </c>
      <c r="J139" s="878">
        <f>'5.2, 5.4 - COOLING'!Q40</f>
        <v>0</v>
      </c>
      <c r="K139" s="878">
        <f>'5.2, 5.4 - COOLING'!N40</f>
        <v>0</v>
      </c>
      <c r="L139" s="878">
        <f>'5.2, 5.4 - COOLING'!P40</f>
        <v>0</v>
      </c>
      <c r="M139" s="872"/>
      <c r="N139" s="1488"/>
      <c r="O139" s="1488"/>
      <c r="AR139" s="1488"/>
      <c r="AS139" s="1488"/>
      <c r="AT139" s="1488"/>
      <c r="AU139" s="1488"/>
      <c r="AV139" s="1488"/>
      <c r="AW139" s="1488"/>
      <c r="AX139" s="1488"/>
      <c r="AY139" s="1488"/>
    </row>
    <row r="140" spans="2:51" s="1489" customFormat="1" ht="36">
      <c r="B140" s="1488"/>
      <c r="C140" s="870" t="s">
        <v>1146</v>
      </c>
      <c r="D140" s="854" t="s">
        <v>1147</v>
      </c>
      <c r="E140" s="864" t="s">
        <v>946</v>
      </c>
      <c r="F140" s="864" t="s">
        <v>946</v>
      </c>
      <c r="G140" s="877">
        <f>'5.2, 5.4 - COOLING'!G41</f>
        <v>0</v>
      </c>
      <c r="H140" s="877">
        <f>'5.2, 5.4 - COOLING'!N41</f>
        <v>0</v>
      </c>
      <c r="I140" s="877">
        <f>'5.2, 5.4 - COOLING'!O41</f>
        <v>0</v>
      </c>
      <c r="J140" s="878">
        <f>'5.2, 5.4 - COOLING'!Q41</f>
        <v>0</v>
      </c>
      <c r="K140" s="878">
        <f>'5.2, 5.4 - COOLING'!N41</f>
        <v>0</v>
      </c>
      <c r="L140" s="878">
        <f>'5.2, 5.4 - COOLING'!P41</f>
        <v>0</v>
      </c>
      <c r="M140" s="872"/>
      <c r="N140" s="1488"/>
      <c r="O140" s="1488"/>
      <c r="AR140" s="1488"/>
      <c r="AS140" s="1488"/>
      <c r="AT140" s="1488"/>
      <c r="AU140" s="1488"/>
      <c r="AV140" s="1488"/>
      <c r="AW140" s="1488"/>
      <c r="AX140" s="1488"/>
      <c r="AY140" s="1488"/>
    </row>
    <row r="141" spans="2:51" s="1489" customFormat="1" ht="36">
      <c r="B141" s="1488"/>
      <c r="C141" s="870" t="s">
        <v>1148</v>
      </c>
      <c r="D141" s="854" t="s">
        <v>1149</v>
      </c>
      <c r="E141" s="864" t="s">
        <v>946</v>
      </c>
      <c r="F141" s="864" t="s">
        <v>946</v>
      </c>
      <c r="G141" s="877">
        <f>'5.2, 5.4 - COOLING'!G42</f>
        <v>0</v>
      </c>
      <c r="H141" s="877">
        <f>'5.2, 5.4 - COOLING'!N42</f>
        <v>0</v>
      </c>
      <c r="I141" s="877">
        <f>'5.2, 5.4 - COOLING'!O42</f>
        <v>0</v>
      </c>
      <c r="J141" s="878">
        <f>'5.2, 5.4 - COOLING'!Q42</f>
        <v>0</v>
      </c>
      <c r="K141" s="878">
        <f>'5.2, 5.4 - COOLING'!N42</f>
        <v>0</v>
      </c>
      <c r="L141" s="878">
        <f>'5.2, 5.4 - COOLING'!P42</f>
        <v>0</v>
      </c>
      <c r="M141" s="872"/>
      <c r="N141" s="1488"/>
      <c r="O141" s="1488"/>
      <c r="AR141" s="1488"/>
      <c r="AS141" s="1488"/>
      <c r="AT141" s="1488"/>
      <c r="AU141" s="1488"/>
      <c r="AV141" s="1488"/>
      <c r="AW141" s="1488"/>
      <c r="AX141" s="1488"/>
      <c r="AY141" s="1488"/>
    </row>
    <row r="142" spans="2:51" s="1489" customFormat="1" ht="36">
      <c r="B142" s="1488"/>
      <c r="C142" s="870" t="s">
        <v>1150</v>
      </c>
      <c r="D142" s="854" t="s">
        <v>1151</v>
      </c>
      <c r="E142" s="864" t="s">
        <v>946</v>
      </c>
      <c r="F142" s="864" t="s">
        <v>946</v>
      </c>
      <c r="G142" s="877">
        <f>'5.2, 5.4 - COOLING'!G43</f>
        <v>0</v>
      </c>
      <c r="H142" s="877">
        <f>'5.2, 5.4 - COOLING'!N43</f>
        <v>0</v>
      </c>
      <c r="I142" s="877">
        <f>'5.2, 5.4 - COOLING'!O43</f>
        <v>0</v>
      </c>
      <c r="J142" s="878">
        <f>'5.2, 5.4 - COOLING'!Q43</f>
        <v>0</v>
      </c>
      <c r="K142" s="878">
        <f>'5.2, 5.4 - COOLING'!N43</f>
        <v>0</v>
      </c>
      <c r="L142" s="878">
        <f>'5.2, 5.4 - COOLING'!P43</f>
        <v>0</v>
      </c>
      <c r="M142" s="872"/>
      <c r="N142" s="1488"/>
      <c r="O142" s="1488"/>
      <c r="AR142" s="1488"/>
      <c r="AS142" s="1488"/>
      <c r="AT142" s="1488"/>
      <c r="AU142" s="1488"/>
      <c r="AV142" s="1488"/>
      <c r="AW142" s="1488"/>
      <c r="AX142" s="1488"/>
      <c r="AY142" s="1488"/>
    </row>
    <row r="143" spans="2:51" s="1489" customFormat="1" ht="36">
      <c r="B143" s="1488"/>
      <c r="C143" s="870" t="s">
        <v>1152</v>
      </c>
      <c r="D143" s="854" t="s">
        <v>1153</v>
      </c>
      <c r="E143" s="864" t="s">
        <v>946</v>
      </c>
      <c r="F143" s="864" t="s">
        <v>946</v>
      </c>
      <c r="G143" s="877" t="s">
        <v>946</v>
      </c>
      <c r="H143" s="877" t="s">
        <v>946</v>
      </c>
      <c r="I143" s="877" t="s">
        <v>946</v>
      </c>
      <c r="J143" s="878">
        <f>'5.2, 5.4 - COOLING'!Q44</f>
        <v>0</v>
      </c>
      <c r="K143" s="878" t="s">
        <v>946</v>
      </c>
      <c r="L143" s="878">
        <f>'5.2, 5.4 - COOLING'!P44</f>
        <v>0</v>
      </c>
      <c r="M143" s="872"/>
      <c r="N143" s="1488"/>
      <c r="O143" s="1488"/>
      <c r="AR143" s="1488"/>
      <c r="AS143" s="1488"/>
      <c r="AT143" s="1488"/>
      <c r="AU143" s="1488"/>
      <c r="AV143" s="1488"/>
      <c r="AW143" s="1488"/>
      <c r="AX143" s="1488"/>
      <c r="AY143" s="1488"/>
    </row>
    <row r="144" spans="2:51" s="1489" customFormat="1" ht="72">
      <c r="B144" s="1488"/>
      <c r="C144" s="868"/>
      <c r="D144" s="869" t="s">
        <v>1154</v>
      </c>
      <c r="E144" s="869"/>
      <c r="F144" s="869"/>
      <c r="G144" s="869"/>
      <c r="H144" s="869"/>
      <c r="I144" s="869"/>
      <c r="J144" s="869"/>
      <c r="K144" s="869"/>
      <c r="L144" s="869"/>
      <c r="M144" s="869"/>
      <c r="N144" s="1488"/>
      <c r="O144" s="1488"/>
      <c r="AR144" s="1488"/>
      <c r="AS144" s="1488"/>
      <c r="AT144" s="1488"/>
      <c r="AU144" s="1488"/>
      <c r="AV144" s="1488"/>
      <c r="AW144" s="1488"/>
      <c r="AX144" s="1488"/>
      <c r="AY144" s="1488"/>
    </row>
    <row r="145" spans="2:51" s="1489" customFormat="1" ht="36">
      <c r="B145" s="1488"/>
      <c r="C145" s="870" t="s">
        <v>1155</v>
      </c>
      <c r="D145" s="854" t="s">
        <v>1156</v>
      </c>
      <c r="E145" s="864" t="s">
        <v>946</v>
      </c>
      <c r="F145" s="864" t="s">
        <v>946</v>
      </c>
      <c r="G145" s="877">
        <f>'5.2, 5.4 - COOLING'!G46</f>
        <v>0</v>
      </c>
      <c r="H145" s="877">
        <f>'5.2, 5.4 - COOLING'!N46</f>
        <v>0</v>
      </c>
      <c r="I145" s="877">
        <f>'5.2, 5.4 - COOLING'!O46</f>
        <v>0</v>
      </c>
      <c r="J145" s="878">
        <f>'5.2, 5.4 - COOLING'!Q46</f>
        <v>0</v>
      </c>
      <c r="K145" s="878">
        <f>'5.2, 5.4 - COOLING'!N46</f>
        <v>0</v>
      </c>
      <c r="L145" s="878">
        <f>'5.2, 5.4 - COOLING'!P46</f>
        <v>0</v>
      </c>
      <c r="M145" s="872"/>
      <c r="N145" s="1488"/>
      <c r="O145" s="1488"/>
      <c r="AR145" s="1488"/>
      <c r="AS145" s="1488"/>
      <c r="AT145" s="1488"/>
      <c r="AU145" s="1488"/>
      <c r="AV145" s="1488"/>
      <c r="AW145" s="1488"/>
      <c r="AX145" s="1488"/>
      <c r="AY145" s="1488"/>
    </row>
    <row r="146" spans="2:51" s="1489" customFormat="1" ht="36">
      <c r="B146" s="1488"/>
      <c r="C146" s="870" t="s">
        <v>1157</v>
      </c>
      <c r="D146" s="854" t="s">
        <v>1158</v>
      </c>
      <c r="E146" s="864" t="s">
        <v>946</v>
      </c>
      <c r="F146" s="864" t="s">
        <v>946</v>
      </c>
      <c r="G146" s="877">
        <f>'5.2, 5.4 - COOLING'!G47</f>
        <v>0</v>
      </c>
      <c r="H146" s="877">
        <f>'5.2, 5.4 - COOLING'!N47</f>
        <v>0</v>
      </c>
      <c r="I146" s="877">
        <f>'5.2, 5.4 - COOLING'!O47</f>
        <v>0</v>
      </c>
      <c r="J146" s="878">
        <f>'5.2, 5.4 - COOLING'!Q47</f>
        <v>0</v>
      </c>
      <c r="K146" s="878">
        <f>'5.2, 5.4 - COOLING'!N47</f>
        <v>0</v>
      </c>
      <c r="L146" s="878">
        <f>'5.2, 5.4 - COOLING'!P47</f>
        <v>0</v>
      </c>
      <c r="M146" s="872"/>
      <c r="N146" s="1488"/>
      <c r="O146" s="1488"/>
      <c r="AR146" s="1488"/>
      <c r="AS146" s="1488"/>
      <c r="AT146" s="1488"/>
      <c r="AU146" s="1488"/>
      <c r="AV146" s="1488"/>
      <c r="AW146" s="1488"/>
      <c r="AX146" s="1488"/>
      <c r="AY146" s="1488"/>
    </row>
    <row r="147" spans="2:51" s="1489" customFormat="1" ht="36">
      <c r="B147" s="1488"/>
      <c r="C147" s="870" t="s">
        <v>1159</v>
      </c>
      <c r="D147" s="854" t="s">
        <v>1160</v>
      </c>
      <c r="E147" s="864" t="s">
        <v>946</v>
      </c>
      <c r="F147" s="864" t="s">
        <v>946</v>
      </c>
      <c r="G147" s="877">
        <f>'5.2, 5.4 - COOLING'!G48</f>
        <v>0</v>
      </c>
      <c r="H147" s="877">
        <f>'5.2, 5.4 - COOLING'!N48</f>
        <v>0</v>
      </c>
      <c r="I147" s="877">
        <f>'5.2, 5.4 - COOLING'!O48</f>
        <v>0</v>
      </c>
      <c r="J147" s="878">
        <f>'5.2, 5.4 - COOLING'!Q48</f>
        <v>0</v>
      </c>
      <c r="K147" s="878">
        <f>'5.2, 5.4 - COOLING'!N48</f>
        <v>0</v>
      </c>
      <c r="L147" s="878">
        <f>'5.2, 5.4 - COOLING'!P48</f>
        <v>0</v>
      </c>
      <c r="M147" s="872"/>
      <c r="N147" s="1488"/>
      <c r="O147" s="1488"/>
      <c r="AR147" s="1488"/>
      <c r="AS147" s="1488"/>
      <c r="AT147" s="1488"/>
      <c r="AU147" s="1488"/>
      <c r="AV147" s="1488"/>
      <c r="AW147" s="1488"/>
      <c r="AX147" s="1488"/>
      <c r="AY147" s="1488"/>
    </row>
    <row r="148" spans="2:51" ht="36">
      <c r="C148" s="870" t="s">
        <v>1161</v>
      </c>
      <c r="D148" s="854" t="s">
        <v>1162</v>
      </c>
      <c r="E148" s="864" t="s">
        <v>946</v>
      </c>
      <c r="F148" s="864" t="s">
        <v>946</v>
      </c>
      <c r="G148" s="877">
        <f>'5.2, 5.4 - COOLING'!G49</f>
        <v>0</v>
      </c>
      <c r="H148" s="877">
        <f>'5.2, 5.4 - COOLING'!N49</f>
        <v>0</v>
      </c>
      <c r="I148" s="877">
        <f>'5.2, 5.4 - COOLING'!O49</f>
        <v>0</v>
      </c>
      <c r="J148" s="878">
        <f>'5.2, 5.4 - COOLING'!Q49</f>
        <v>0</v>
      </c>
      <c r="K148" s="878">
        <f>'5.2, 5.4 - COOLING'!N49</f>
        <v>0</v>
      </c>
      <c r="L148" s="878">
        <f>'5.2, 5.4 - COOLING'!P49</f>
        <v>0</v>
      </c>
      <c r="M148" s="872"/>
      <c r="N148" s="1488"/>
      <c r="O148" s="1488"/>
    </row>
    <row r="149" spans="2:51" ht="36">
      <c r="C149" s="870" t="s">
        <v>1163</v>
      </c>
      <c r="D149" s="854" t="s">
        <v>1164</v>
      </c>
      <c r="E149" s="864" t="s">
        <v>946</v>
      </c>
      <c r="F149" s="864" t="s">
        <v>946</v>
      </c>
      <c r="G149" s="877">
        <f>'5.2, 5.4 - COOLING'!G50</f>
        <v>0</v>
      </c>
      <c r="H149" s="877">
        <f>'5.2, 5.4 - COOLING'!N50</f>
        <v>0</v>
      </c>
      <c r="I149" s="877">
        <f>'5.2, 5.4 - COOLING'!O50</f>
        <v>0</v>
      </c>
      <c r="J149" s="878">
        <f>'5.2, 5.4 - COOLING'!Q50</f>
        <v>0</v>
      </c>
      <c r="K149" s="878">
        <f>'5.2, 5.4 - COOLING'!N50</f>
        <v>0</v>
      </c>
      <c r="L149" s="878">
        <f>'5.2, 5.4 - COOLING'!P50</f>
        <v>0</v>
      </c>
      <c r="M149" s="872"/>
      <c r="N149" s="1488"/>
      <c r="O149" s="1488"/>
    </row>
    <row r="150" spans="2:51" ht="36">
      <c r="C150" s="870" t="s">
        <v>1165</v>
      </c>
      <c r="D150" s="854" t="s">
        <v>1166</v>
      </c>
      <c r="E150" s="864" t="s">
        <v>946</v>
      </c>
      <c r="F150" s="864" t="s">
        <v>946</v>
      </c>
      <c r="G150" s="877">
        <f>'5.2, 5.4 - COOLING'!G51</f>
        <v>0</v>
      </c>
      <c r="H150" s="877">
        <f>'5.2, 5.4 - COOLING'!N51</f>
        <v>0</v>
      </c>
      <c r="I150" s="877">
        <f>'5.2, 5.4 - COOLING'!O51</f>
        <v>0</v>
      </c>
      <c r="J150" s="878">
        <f>'5.2, 5.4 - COOLING'!Q51</f>
        <v>0</v>
      </c>
      <c r="K150" s="878">
        <f>'5.2, 5.4 - COOLING'!N51</f>
        <v>0</v>
      </c>
      <c r="L150" s="878">
        <f>'5.2, 5.4 - COOLING'!P51</f>
        <v>0</v>
      </c>
      <c r="M150" s="872"/>
      <c r="N150" s="1488"/>
      <c r="O150" s="1488"/>
    </row>
    <row r="151" spans="2:51" ht="36">
      <c r="C151" s="870" t="s">
        <v>1167</v>
      </c>
      <c r="D151" s="854" t="s">
        <v>1168</v>
      </c>
      <c r="E151" s="864" t="s">
        <v>946</v>
      </c>
      <c r="F151" s="864" t="s">
        <v>946</v>
      </c>
      <c r="G151" s="877">
        <f>'5.2, 5.4 - COOLING'!G56</f>
        <v>0</v>
      </c>
      <c r="H151" s="877">
        <f>'5.2, 5.4 - COOLING'!N56</f>
        <v>0</v>
      </c>
      <c r="I151" s="877">
        <f>'5.2, 5.4 - COOLING'!O56</f>
        <v>0</v>
      </c>
      <c r="J151" s="878">
        <f>'5.2, 5.4 - COOLING'!Q52</f>
        <v>0</v>
      </c>
      <c r="K151" s="878" t="s">
        <v>946</v>
      </c>
      <c r="L151" s="878">
        <f>'5.2, 5.4 - COOLING'!P52</f>
        <v>0</v>
      </c>
      <c r="M151" s="872"/>
      <c r="N151" s="1488"/>
      <c r="O151" s="1488"/>
    </row>
    <row r="152" spans="2:51" s="1504" customFormat="1" ht="36">
      <c r="B152" s="1488"/>
      <c r="C152" s="870" t="s">
        <v>1169</v>
      </c>
      <c r="D152" s="854" t="s">
        <v>1170</v>
      </c>
      <c r="E152" s="864" t="s">
        <v>946</v>
      </c>
      <c r="F152" s="864" t="s">
        <v>946</v>
      </c>
      <c r="G152" s="877">
        <f>'5.2, 5.4 - COOLING'!G57</f>
        <v>0</v>
      </c>
      <c r="H152" s="877">
        <f>'5.2, 5.4 - COOLING'!N57</f>
        <v>0</v>
      </c>
      <c r="I152" s="877">
        <f>'5.2, 5.4 - COOLING'!O57</f>
        <v>0</v>
      </c>
      <c r="J152" s="878">
        <f>'5.2, 5.4 - COOLING'!Q53</f>
        <v>0</v>
      </c>
      <c r="K152" s="878" t="s">
        <v>946</v>
      </c>
      <c r="L152" s="878">
        <f>'5.2, 5.4 - COOLING'!P53</f>
        <v>0</v>
      </c>
      <c r="M152" s="884"/>
      <c r="P152" s="1505"/>
      <c r="Q152" s="1505"/>
      <c r="R152" s="1505"/>
      <c r="S152" s="1505"/>
      <c r="T152" s="1505"/>
      <c r="U152" s="1505"/>
      <c r="V152" s="1505"/>
      <c r="W152" s="1505"/>
      <c r="X152" s="1505"/>
      <c r="Y152" s="1505"/>
      <c r="Z152" s="1505"/>
      <c r="AA152" s="1505"/>
      <c r="AB152" s="1505"/>
      <c r="AC152" s="1505"/>
      <c r="AD152" s="1505"/>
      <c r="AE152" s="1505"/>
      <c r="AF152" s="1505"/>
      <c r="AG152" s="1505"/>
      <c r="AH152" s="1505"/>
      <c r="AI152" s="1505"/>
      <c r="AJ152" s="1505"/>
      <c r="AK152" s="1505"/>
      <c r="AL152" s="1505"/>
      <c r="AM152" s="1505"/>
      <c r="AN152" s="1505"/>
      <c r="AO152" s="1505"/>
      <c r="AP152" s="1505"/>
      <c r="AQ152" s="1505"/>
    </row>
    <row r="153" spans="2:51" s="1489" customFormat="1" ht="54">
      <c r="B153" s="1488"/>
      <c r="C153" s="885" t="s">
        <v>1171</v>
      </c>
      <c r="D153" s="854" t="s">
        <v>1172</v>
      </c>
      <c r="E153" s="864" t="s">
        <v>946</v>
      </c>
      <c r="F153" s="864" t="s">
        <v>946</v>
      </c>
      <c r="G153" s="877" t="s">
        <v>946</v>
      </c>
      <c r="H153" s="877" t="s">
        <v>946</v>
      </c>
      <c r="I153" s="877" t="s">
        <v>946</v>
      </c>
      <c r="J153" s="878">
        <f>'5.2, 5.4 - COOLING'!Q54</f>
        <v>0</v>
      </c>
      <c r="K153" s="878" t="s">
        <v>946</v>
      </c>
      <c r="L153" s="878">
        <f>'5.2, 5.4 - COOLING'!P54</f>
        <v>0</v>
      </c>
      <c r="M153" s="872"/>
      <c r="N153" s="1488"/>
      <c r="O153" s="1488"/>
      <c r="AR153" s="1488"/>
      <c r="AS153" s="1488"/>
      <c r="AT153" s="1488"/>
      <c r="AU153" s="1488"/>
      <c r="AV153" s="1488"/>
      <c r="AW153" s="1488"/>
      <c r="AX153" s="1488"/>
      <c r="AY153" s="1488"/>
    </row>
    <row r="154" spans="2:51" ht="54">
      <c r="C154" s="868" t="s">
        <v>1173</v>
      </c>
      <c r="D154" s="869"/>
      <c r="E154" s="869"/>
      <c r="F154" s="869"/>
      <c r="G154" s="869"/>
      <c r="H154" s="869"/>
      <c r="I154" s="869"/>
      <c r="J154" s="869"/>
      <c r="K154" s="869"/>
      <c r="L154" s="869"/>
      <c r="M154" s="869"/>
      <c r="N154" s="1488"/>
      <c r="O154" s="1488"/>
    </row>
    <row r="155" spans="2:51">
      <c r="C155" s="870" t="s">
        <v>1174</v>
      </c>
      <c r="D155" s="854" t="s">
        <v>1175</v>
      </c>
      <c r="E155" s="864" t="s">
        <v>946</v>
      </c>
      <c r="F155" s="864" t="s">
        <v>946</v>
      </c>
      <c r="G155" s="877">
        <f>'5.2, 5.4 - COOLING'!G56</f>
        <v>0</v>
      </c>
      <c r="H155" s="877">
        <f>'5.2, 5.4 - COOLING'!N56</f>
        <v>0</v>
      </c>
      <c r="I155" s="877">
        <f>'5.2, 5.4 - COOLING'!O56</f>
        <v>0</v>
      </c>
      <c r="J155" s="878">
        <f>'5.2, 5.4 - COOLING'!Q56</f>
        <v>0</v>
      </c>
      <c r="K155" s="878">
        <f>'5.2, 5.4 - COOLING'!N56</f>
        <v>0</v>
      </c>
      <c r="L155" s="878">
        <f>'5.2, 5.4 - COOLING'!P56</f>
        <v>0</v>
      </c>
      <c r="M155" s="872"/>
      <c r="N155" s="1488"/>
      <c r="O155" s="1488"/>
    </row>
    <row r="156" spans="2:51" ht="36">
      <c r="C156" s="870" t="s">
        <v>1176</v>
      </c>
      <c r="D156" s="854" t="s">
        <v>1177</v>
      </c>
      <c r="E156" s="864" t="s">
        <v>946</v>
      </c>
      <c r="F156" s="864" t="s">
        <v>946</v>
      </c>
      <c r="G156" s="877">
        <f>'5.2, 5.4 - COOLING'!G57</f>
        <v>0</v>
      </c>
      <c r="H156" s="877">
        <f>'5.2, 5.4 - COOLING'!N57</f>
        <v>0</v>
      </c>
      <c r="I156" s="877">
        <f>'5.2, 5.4 - COOLING'!O57</f>
        <v>0</v>
      </c>
      <c r="J156" s="878">
        <f>'5.2, 5.4 - COOLING'!Q57</f>
        <v>0</v>
      </c>
      <c r="K156" s="878">
        <f>'5.2, 5.4 - COOLING'!N57</f>
        <v>0</v>
      </c>
      <c r="L156" s="878">
        <f>'5.2, 5.4 - COOLING'!P57</f>
        <v>0</v>
      </c>
      <c r="M156" s="872"/>
      <c r="N156" s="1488"/>
      <c r="O156" s="1488"/>
    </row>
    <row r="157" spans="2:51" s="1489" customFormat="1">
      <c r="B157" s="1488"/>
      <c r="C157" s="870" t="s">
        <v>1178</v>
      </c>
      <c r="D157" s="854" t="s">
        <v>1179</v>
      </c>
      <c r="E157" s="864" t="s">
        <v>946</v>
      </c>
      <c r="F157" s="864" t="s">
        <v>946</v>
      </c>
      <c r="G157" s="877" t="s">
        <v>946</v>
      </c>
      <c r="H157" s="877" t="s">
        <v>946</v>
      </c>
      <c r="I157" s="877" t="s">
        <v>946</v>
      </c>
      <c r="J157" s="878">
        <f>'5.2, 5.4 - COOLING'!Q58</f>
        <v>0</v>
      </c>
      <c r="K157" s="878" t="s">
        <v>946</v>
      </c>
      <c r="L157" s="878">
        <f>'5.2, 5.4 - COOLING'!P58</f>
        <v>0</v>
      </c>
      <c r="M157" s="872"/>
      <c r="N157" s="1488"/>
      <c r="O157" s="1488"/>
      <c r="AR157" s="1488"/>
      <c r="AS157" s="1488"/>
      <c r="AT157" s="1488"/>
      <c r="AU157" s="1488"/>
      <c r="AV157" s="1488"/>
      <c r="AW157" s="1488"/>
      <c r="AX157" s="1488"/>
      <c r="AY157" s="1488"/>
    </row>
    <row r="158" spans="2:51" s="1489" customFormat="1" ht="36">
      <c r="B158" s="1488"/>
      <c r="C158" s="870" t="s">
        <v>1180</v>
      </c>
      <c r="D158" s="854" t="s">
        <v>1181</v>
      </c>
      <c r="E158" s="864" t="s">
        <v>946</v>
      </c>
      <c r="F158" s="864" t="s">
        <v>946</v>
      </c>
      <c r="G158" s="877" t="s">
        <v>946</v>
      </c>
      <c r="H158" s="877" t="s">
        <v>946</v>
      </c>
      <c r="I158" s="877" t="s">
        <v>946</v>
      </c>
      <c r="J158" s="878">
        <f>'5.2, 5.4 - COOLING'!Q59</f>
        <v>0</v>
      </c>
      <c r="K158" s="878" t="s">
        <v>946</v>
      </c>
      <c r="L158" s="878">
        <f>'5.2, 5.4 - COOLING'!P59</f>
        <v>0</v>
      </c>
      <c r="M158" s="872"/>
      <c r="N158" s="1488"/>
      <c r="O158" s="1488"/>
      <c r="AR158" s="1488"/>
      <c r="AS158" s="1488"/>
      <c r="AT158" s="1488"/>
      <c r="AU158" s="1488"/>
      <c r="AV158" s="1488"/>
      <c r="AW158" s="1488"/>
      <c r="AX158" s="1488"/>
      <c r="AY158" s="1488"/>
    </row>
    <row r="159" spans="2:51" ht="36">
      <c r="C159" s="870" t="s">
        <v>1182</v>
      </c>
      <c r="D159" s="871" t="s">
        <v>971</v>
      </c>
      <c r="E159" s="864" t="s">
        <v>946</v>
      </c>
      <c r="F159" s="864" t="s">
        <v>946</v>
      </c>
      <c r="G159" s="877" t="s">
        <v>946</v>
      </c>
      <c r="H159" s="877" t="s">
        <v>946</v>
      </c>
      <c r="I159" s="877" t="s">
        <v>946</v>
      </c>
      <c r="J159" s="878">
        <f>'5.2, 5.4 - COOLING'!Q60</f>
        <v>0</v>
      </c>
      <c r="K159" s="878" t="s">
        <v>946</v>
      </c>
      <c r="L159" s="878">
        <f>'5.2, 5.4 - COOLING'!P60</f>
        <v>0</v>
      </c>
      <c r="M159" s="872"/>
      <c r="N159" s="1488"/>
      <c r="O159" s="1488"/>
    </row>
    <row r="160" spans="2:51">
      <c r="B160" s="1504"/>
      <c r="C160" s="846">
        <v>6</v>
      </c>
      <c r="D160" s="847" t="s">
        <v>1183</v>
      </c>
      <c r="E160" s="847"/>
      <c r="F160" s="847"/>
      <c r="G160" s="847"/>
      <c r="H160" s="847"/>
      <c r="I160" s="847"/>
      <c r="J160" s="847"/>
      <c r="K160" s="847"/>
      <c r="L160" s="847"/>
      <c r="M160" s="847"/>
      <c r="N160" s="1488"/>
      <c r="O160" s="1488"/>
    </row>
    <row r="161" spans="3:43">
      <c r="C161" s="870" t="s">
        <v>1184</v>
      </c>
      <c r="D161" s="854" t="s">
        <v>949</v>
      </c>
      <c r="E161" s="864" t="s">
        <v>946</v>
      </c>
      <c r="F161" s="864" t="s">
        <v>946</v>
      </c>
      <c r="G161" s="877">
        <f>'6.1, 6.2, 6.3 - LIGHTING'!J96</f>
        <v>0</v>
      </c>
      <c r="H161" s="877">
        <f>'6.1, 6.2, 6.3 - LIGHTING'!K96</f>
        <v>0</v>
      </c>
      <c r="I161" s="877">
        <f>'6.1, 6.2, 6.3 - LIGHTING'!L96</f>
        <v>0</v>
      </c>
      <c r="J161" s="878">
        <f>'6.1, 6.2, 6.3 - LIGHTING'!N96</f>
        <v>0</v>
      </c>
      <c r="K161" s="878">
        <f>'6.1, 6.2, 6.3 - LIGHTING'!K96</f>
        <v>0</v>
      </c>
      <c r="L161" s="878">
        <f>'6.1, 6.2, 6.3 - LIGHTING'!M96</f>
        <v>0</v>
      </c>
      <c r="M161" s="872"/>
      <c r="N161" s="1488"/>
      <c r="O161" s="1488"/>
    </row>
    <row r="162" spans="3:43">
      <c r="C162" s="870" t="s">
        <v>1185</v>
      </c>
      <c r="D162" s="871" t="s">
        <v>1188</v>
      </c>
      <c r="E162" s="864" t="s">
        <v>946</v>
      </c>
      <c r="F162" s="864" t="s">
        <v>946</v>
      </c>
      <c r="G162" s="877">
        <f>'6.1, 6.2, 6.3 - LIGHTING'!J28</f>
        <v>0</v>
      </c>
      <c r="H162" s="877">
        <f>'6.1, 6.2, 6.3 - LIGHTING'!K28</f>
        <v>0</v>
      </c>
      <c r="I162" s="877">
        <f>'6.1, 6.2, 6.3 - LIGHTING'!L28</f>
        <v>0</v>
      </c>
      <c r="J162" s="878">
        <f>'6.1, 6.2, 6.3 - LIGHTING'!N28</f>
        <v>0</v>
      </c>
      <c r="K162" s="878">
        <f>'6.1, 6.2, 6.3 - LIGHTING'!K28</f>
        <v>0</v>
      </c>
      <c r="L162" s="878">
        <f>'6.1, 6.2, 6.3 - LIGHTING'!M28</f>
        <v>0</v>
      </c>
      <c r="M162" s="872"/>
      <c r="N162" s="1488"/>
      <c r="O162" s="1488"/>
    </row>
    <row r="163" spans="3:43">
      <c r="C163" s="870" t="s">
        <v>1186</v>
      </c>
      <c r="D163" s="871" t="s">
        <v>1190</v>
      </c>
      <c r="E163" s="864">
        <f>'6.1, 6.2, 6.3 - LIGHTING'!F97</f>
        <v>0</v>
      </c>
      <c r="F163" s="864">
        <f>'6.1, 6.2, 6.3 - LIGHTING'!H97</f>
        <v>0</v>
      </c>
      <c r="G163" s="877">
        <f>'6.1, 6.2, 6.3 - LIGHTING'!J97</f>
        <v>0</v>
      </c>
      <c r="H163" s="877">
        <f>'6.1, 6.2, 6.3 - LIGHTING'!K97</f>
        <v>0</v>
      </c>
      <c r="I163" s="877">
        <f>'6.1, 6.2, 6.3 - LIGHTING'!L97</f>
        <v>0</v>
      </c>
      <c r="J163" s="878">
        <f>'6.1, 6.2, 6.3 - LIGHTING'!N97</f>
        <v>0</v>
      </c>
      <c r="K163" s="878">
        <f>'6.1, 6.2, 6.3 - LIGHTING'!K97</f>
        <v>0</v>
      </c>
      <c r="L163" s="878">
        <f>'6.1, 6.2, 6.3 - LIGHTING'!M97</f>
        <v>0</v>
      </c>
      <c r="M163" s="872"/>
      <c r="N163" s="1488"/>
      <c r="O163" s="1488"/>
    </row>
    <row r="164" spans="3:43" ht="36">
      <c r="C164" s="870" t="s">
        <v>1187</v>
      </c>
      <c r="D164" s="871" t="s">
        <v>1192</v>
      </c>
      <c r="E164" s="864">
        <f>'6.1, 6.2, 6.3 - LIGHTING'!F98</f>
        <v>0</v>
      </c>
      <c r="F164" s="864">
        <f>'6.1, 6.2, 6.3 - LIGHTING'!H98</f>
        <v>0</v>
      </c>
      <c r="G164" s="877">
        <f>'6.1, 6.2, 6.3 - LIGHTING'!J98</f>
        <v>0</v>
      </c>
      <c r="H164" s="877">
        <f>'6.1, 6.2, 6.3 - LIGHTING'!K98</f>
        <v>0</v>
      </c>
      <c r="I164" s="877">
        <f>'6.1, 6.2, 6.3 - LIGHTING'!L98</f>
        <v>0</v>
      </c>
      <c r="J164" s="878">
        <f>'6.1, 6.2, 6.3 - LIGHTING'!N98</f>
        <v>0</v>
      </c>
      <c r="K164" s="878">
        <f>'6.1, 6.2, 6.3 - LIGHTING'!K98</f>
        <v>0</v>
      </c>
      <c r="L164" s="878">
        <f>'6.1, 6.2, 6.3 - LIGHTING'!M98</f>
        <v>0</v>
      </c>
      <c r="M164" s="872"/>
      <c r="N164" s="1488"/>
      <c r="O164" s="1488"/>
    </row>
    <row r="165" spans="3:43">
      <c r="C165" s="870" t="s">
        <v>1189</v>
      </c>
      <c r="D165" s="871" t="s">
        <v>1194</v>
      </c>
      <c r="E165" s="864">
        <f>'6.1, 6.2, 6.3 - LIGHTING'!F98</f>
        <v>0</v>
      </c>
      <c r="F165" s="864">
        <f>'6.1, 6.2, 6.3 - LIGHTING'!H98</f>
        <v>0</v>
      </c>
      <c r="G165" s="877">
        <f>'6.1, 6.2, 6.3 - LIGHTING'!J99</f>
        <v>0</v>
      </c>
      <c r="H165" s="877">
        <f>'6.1, 6.2, 6.3 - LIGHTING'!K99</f>
        <v>0</v>
      </c>
      <c r="I165" s="877">
        <f>'6.1, 6.2, 6.3 - LIGHTING'!L99</f>
        <v>0</v>
      </c>
      <c r="J165" s="878">
        <f>'6.1, 6.2, 6.3 - LIGHTING'!N99</f>
        <v>0</v>
      </c>
      <c r="K165" s="878">
        <f>'6.1, 6.2, 6.3 - LIGHTING'!K99</f>
        <v>0</v>
      </c>
      <c r="L165" s="878">
        <f>'6.1, 6.2, 6.3 - LIGHTING'!M99</f>
        <v>0</v>
      </c>
      <c r="M165" s="872"/>
      <c r="N165" s="1488"/>
      <c r="O165" s="1488"/>
    </row>
    <row r="166" spans="3:43">
      <c r="C166" s="870" t="s">
        <v>1191</v>
      </c>
      <c r="D166" s="871" t="s">
        <v>1196</v>
      </c>
      <c r="E166" s="864" t="e">
        <f>'6.1, 6.2, 6.3 - LIGHTING'!F100</f>
        <v>#REF!</v>
      </c>
      <c r="F166" s="864">
        <f>'6.1, 6.2, 6.3 - LIGHTING'!H100</f>
        <v>0</v>
      </c>
      <c r="G166" s="877">
        <f>'6.1, 6.2, 6.3 - LIGHTING'!J100</f>
        <v>0</v>
      </c>
      <c r="H166" s="877">
        <f>'6.1, 6.2, 6.3 - LIGHTING'!K100</f>
        <v>0</v>
      </c>
      <c r="I166" s="877">
        <f>'6.1, 6.2, 6.3 - LIGHTING'!L100</f>
        <v>0</v>
      </c>
      <c r="J166" s="878">
        <f>'6.1, 6.2, 6.3 - LIGHTING'!N100</f>
        <v>0</v>
      </c>
      <c r="K166" s="878">
        <f>'6.1, 6.2, 6.3 - LIGHTING'!K100</f>
        <v>0</v>
      </c>
      <c r="L166" s="878">
        <f>'6.1, 6.2, 6.3 - LIGHTING'!M100</f>
        <v>0</v>
      </c>
      <c r="M166" s="872"/>
      <c r="N166" s="1488"/>
      <c r="O166" s="1488"/>
    </row>
    <row r="167" spans="3:43">
      <c r="C167" s="870" t="s">
        <v>1193</v>
      </c>
      <c r="D167" s="871" t="s">
        <v>1198</v>
      </c>
      <c r="E167" s="864">
        <f>'6.1, 6.2, 6.3 - LIGHTING'!F101</f>
        <v>0</v>
      </c>
      <c r="F167" s="864">
        <f>'6.1, 6.2, 6.3 - LIGHTING'!H101</f>
        <v>0</v>
      </c>
      <c r="G167" s="877">
        <f>'6.1, 6.2, 6.3 - LIGHTING'!J101</f>
        <v>0</v>
      </c>
      <c r="H167" s="877">
        <f>'6.1, 6.2, 6.3 - LIGHTING'!K101</f>
        <v>0</v>
      </c>
      <c r="I167" s="877">
        <f>'6.1, 6.2, 6.3 - LIGHTING'!L101</f>
        <v>0</v>
      </c>
      <c r="J167" s="878">
        <f>'6.1, 6.2, 6.3 - LIGHTING'!N101</f>
        <v>0</v>
      </c>
      <c r="K167" s="878">
        <f>'6.1, 6.2, 6.3 - LIGHTING'!K101</f>
        <v>0</v>
      </c>
      <c r="L167" s="878">
        <f>'6.1, 6.2, 6.3 - LIGHTING'!M101</f>
        <v>0</v>
      </c>
      <c r="M167" s="872"/>
      <c r="N167" s="1488"/>
      <c r="O167" s="1488"/>
    </row>
    <row r="168" spans="3:43" ht="36">
      <c r="C168" s="870" t="s">
        <v>1195</v>
      </c>
      <c r="D168" s="871" t="s">
        <v>1200</v>
      </c>
      <c r="E168" s="864">
        <f>'6.1, 6.2, 6.3 - LIGHTING'!F101</f>
        <v>0</v>
      </c>
      <c r="F168" s="864">
        <f>'6.1, 6.2, 6.3 - LIGHTING'!H101</f>
        <v>0</v>
      </c>
      <c r="G168" s="877">
        <f>'6.1, 6.2, 6.3 - LIGHTING'!J102</f>
        <v>0</v>
      </c>
      <c r="H168" s="877">
        <f>'6.1, 6.2, 6.3 - LIGHTING'!K102</f>
        <v>0</v>
      </c>
      <c r="I168" s="877">
        <f>'6.1, 6.2, 6.3 - LIGHTING'!L102</f>
        <v>0</v>
      </c>
      <c r="J168" s="878">
        <f>'6.1, 6.2, 6.3 - LIGHTING'!N102</f>
        <v>0</v>
      </c>
      <c r="K168" s="878">
        <f>'6.1, 6.2, 6.3 - LIGHTING'!K102</f>
        <v>0</v>
      </c>
      <c r="L168" s="878">
        <f>'6.1, 6.2, 6.3 - LIGHTING'!M102</f>
        <v>0</v>
      </c>
      <c r="M168" s="872"/>
      <c r="N168" s="1488"/>
      <c r="O168" s="1488"/>
    </row>
    <row r="169" spans="3:43" ht="36.75">
      <c r="C169" s="870" t="s">
        <v>1197</v>
      </c>
      <c r="D169" s="871" t="s">
        <v>1201</v>
      </c>
      <c r="E169" s="864">
        <f>'6.1, 6.2, 6.3 - LIGHTING'!F101</f>
        <v>0</v>
      </c>
      <c r="F169" s="864">
        <f>'6.1, 6.2, 6.3 - LIGHTING'!H101</f>
        <v>0</v>
      </c>
      <c r="G169" s="877">
        <f>'6.1, 6.2, 6.3 - LIGHTING'!J103</f>
        <v>0</v>
      </c>
      <c r="H169" s="877">
        <f>'6.1, 6.2, 6.3 - LIGHTING'!K103</f>
        <v>0</v>
      </c>
      <c r="I169" s="877">
        <f>'6.1, 6.2, 6.3 - LIGHTING'!L103</f>
        <v>0</v>
      </c>
      <c r="J169" s="878">
        <f>'6.1, 6.2, 6.3 - LIGHTING'!N103</f>
        <v>0</v>
      </c>
      <c r="K169" s="878">
        <f>'6.1, 6.2, 6.3 - LIGHTING'!K103</f>
        <v>0</v>
      </c>
      <c r="L169" s="878">
        <f>'6.1, 6.2, 6.3 - LIGHTING'!M103</f>
        <v>0</v>
      </c>
      <c r="M169" s="872"/>
      <c r="N169" s="1488"/>
      <c r="O169" s="1488"/>
    </row>
    <row r="170" spans="3:43">
      <c r="C170" s="870" t="s">
        <v>1199</v>
      </c>
      <c r="D170" s="871" t="s">
        <v>1202</v>
      </c>
      <c r="E170" s="864">
        <f>'6.1, 6.2, 6.3 - LIGHTING'!F104</f>
        <v>0</v>
      </c>
      <c r="F170" s="864">
        <f>'6.1, 6.2, 6.3 - LIGHTING'!H104</f>
        <v>0</v>
      </c>
      <c r="G170" s="877">
        <f>'6.1, 6.2, 6.3 - LIGHTING'!J104</f>
        <v>0</v>
      </c>
      <c r="H170" s="877">
        <f>'6.1, 6.2, 6.3 - LIGHTING'!K104</f>
        <v>0</v>
      </c>
      <c r="I170" s="877">
        <f>'6.1, 6.2, 6.3 - LIGHTING'!L104</f>
        <v>0</v>
      </c>
      <c r="J170" s="878">
        <f>'6.1, 6.2, 6.3 - LIGHTING'!N104</f>
        <v>0</v>
      </c>
      <c r="K170" s="878">
        <f>'6.1, 6.2, 6.3 - LIGHTING'!K104</f>
        <v>0</v>
      </c>
      <c r="L170" s="878">
        <f>'6.1, 6.2, 6.3 - LIGHTING'!M104</f>
        <v>0</v>
      </c>
      <c r="M170" s="872"/>
      <c r="N170" s="1488"/>
      <c r="O170" s="1488"/>
    </row>
    <row r="171" spans="3:43">
      <c r="C171" s="873"/>
      <c r="D171" s="875" t="s">
        <v>1203</v>
      </c>
      <c r="E171" s="875"/>
      <c r="F171" s="875"/>
      <c r="G171" s="875"/>
      <c r="H171" s="875"/>
      <c r="I171" s="875"/>
      <c r="J171" s="875"/>
      <c r="K171" s="875"/>
      <c r="L171" s="875"/>
      <c r="M171" s="1506"/>
      <c r="N171" s="1488"/>
      <c r="O171" s="1488"/>
    </row>
    <row r="172" spans="3:43">
      <c r="C172" s="870" t="s">
        <v>1204</v>
      </c>
      <c r="D172" s="871" t="s">
        <v>1205</v>
      </c>
      <c r="E172" s="864" t="s">
        <v>946</v>
      </c>
      <c r="F172" s="864" t="s">
        <v>946</v>
      </c>
      <c r="G172" s="877" t="s">
        <v>946</v>
      </c>
      <c r="H172" s="877" t="s">
        <v>946</v>
      </c>
      <c r="I172" s="877" t="s">
        <v>946</v>
      </c>
      <c r="J172" s="878">
        <f>'6.1, 6.2, 6.3 - LIGHTING'!N105</f>
        <v>0</v>
      </c>
      <c r="K172" s="878" t="s">
        <v>946</v>
      </c>
      <c r="L172" s="878">
        <f>'6.1, 6.2, 6.3 - LIGHTING'!M105</f>
        <v>0</v>
      </c>
      <c r="M172" s="872"/>
      <c r="N172" s="1488"/>
      <c r="O172" s="1488"/>
    </row>
    <row r="173" spans="3:43" ht="54">
      <c r="C173" s="870" t="s">
        <v>1206</v>
      </c>
      <c r="D173" s="871" t="s">
        <v>1207</v>
      </c>
      <c r="E173" s="864" t="s">
        <v>946</v>
      </c>
      <c r="F173" s="864" t="s">
        <v>946</v>
      </c>
      <c r="G173" s="877" t="s">
        <v>946</v>
      </c>
      <c r="H173" s="877" t="s">
        <v>946</v>
      </c>
      <c r="I173" s="877" t="s">
        <v>946</v>
      </c>
      <c r="J173" s="878">
        <f>'6.1, 6.2, 6.3 - LIGHTING'!N106</f>
        <v>0</v>
      </c>
      <c r="K173" s="878" t="s">
        <v>946</v>
      </c>
      <c r="L173" s="878">
        <f>'6.1, 6.2, 6.3 - LIGHTING'!M106</f>
        <v>0</v>
      </c>
      <c r="M173" s="872"/>
      <c r="N173" s="1488"/>
      <c r="O173" s="1488"/>
    </row>
    <row r="174" spans="3:43" s="1504" customFormat="1">
      <c r="C174" s="858">
        <v>7</v>
      </c>
      <c r="D174" s="859" t="s">
        <v>1208</v>
      </c>
      <c r="E174" s="860"/>
      <c r="F174" s="860"/>
      <c r="G174" s="860"/>
      <c r="H174" s="860"/>
      <c r="I174" s="860"/>
      <c r="J174" s="860"/>
      <c r="K174" s="860"/>
      <c r="L174" s="861"/>
      <c r="M174" s="847"/>
      <c r="P174" s="1505"/>
      <c r="Q174" s="1505"/>
      <c r="R174" s="1505"/>
      <c r="S174" s="1505"/>
      <c r="T174" s="1505"/>
      <c r="U174" s="1505"/>
      <c r="V174" s="1505"/>
      <c r="W174" s="1505"/>
      <c r="X174" s="1505"/>
      <c r="Y174" s="1505"/>
      <c r="Z174" s="1505"/>
      <c r="AA174" s="1505"/>
      <c r="AB174" s="1505"/>
      <c r="AC174" s="1505"/>
      <c r="AD174" s="1505"/>
      <c r="AE174" s="1505"/>
      <c r="AF174" s="1505"/>
      <c r="AG174" s="1505"/>
      <c r="AH174" s="1505"/>
      <c r="AI174" s="1505"/>
      <c r="AJ174" s="1505"/>
      <c r="AK174" s="1505"/>
      <c r="AL174" s="1505"/>
      <c r="AM174" s="1505"/>
      <c r="AN174" s="1505"/>
      <c r="AO174" s="1505"/>
      <c r="AP174" s="1505"/>
      <c r="AQ174" s="1505"/>
    </row>
    <row r="175" spans="3:43" ht="36">
      <c r="C175" s="870" t="s">
        <v>1209</v>
      </c>
      <c r="D175" s="854" t="s">
        <v>1210</v>
      </c>
      <c r="E175" s="855" t="s">
        <v>946</v>
      </c>
      <c r="F175" s="855" t="s">
        <v>946</v>
      </c>
      <c r="G175" s="857">
        <f>'7.1 - MOTORS'!$H$23</f>
        <v>0</v>
      </c>
      <c r="H175" s="857">
        <f>'7.1 - MOTORS'!$J$23</f>
        <v>0</v>
      </c>
      <c r="I175" s="857">
        <f>'7.1 - MOTORS'!$K$23</f>
        <v>0</v>
      </c>
      <c r="J175" s="856" t="s">
        <v>946</v>
      </c>
      <c r="K175" s="856" t="s">
        <v>946</v>
      </c>
      <c r="L175" s="856" t="s">
        <v>946</v>
      </c>
      <c r="M175" s="872"/>
      <c r="N175" s="1488"/>
      <c r="O175" s="1488"/>
    </row>
    <row r="176" spans="3:43">
      <c r="C176" s="870" t="s">
        <v>1211</v>
      </c>
      <c r="D176" s="854" t="s">
        <v>1212</v>
      </c>
      <c r="E176" s="864">
        <f>'7.1 - MOTORS'!F34</f>
        <v>0</v>
      </c>
      <c r="F176" s="864">
        <f>'7.1 - MOTORS'!G34</f>
        <v>0</v>
      </c>
      <c r="G176" s="877">
        <f>'7.1 - MOTORS'!H34</f>
        <v>0</v>
      </c>
      <c r="H176" s="857">
        <f>'7.1 - MOTORS'!J34</f>
        <v>0</v>
      </c>
      <c r="I176" s="877">
        <f>'7.1 - MOTORS'!K34</f>
        <v>0</v>
      </c>
      <c r="J176" s="878">
        <f>'7.1 - MOTORS'!M34</f>
        <v>0</v>
      </c>
      <c r="K176" s="878">
        <f>'7.1 - MOTORS'!J34</f>
        <v>0</v>
      </c>
      <c r="L176" s="878">
        <f>'7.1 - MOTORS'!L34</f>
        <v>0</v>
      </c>
      <c r="M176" s="872"/>
      <c r="N176" s="1488"/>
      <c r="O176" s="1488"/>
    </row>
    <row r="177" spans="3:43">
      <c r="C177" s="870" t="s">
        <v>1213</v>
      </c>
      <c r="D177" s="854" t="s">
        <v>1214</v>
      </c>
      <c r="E177" s="864">
        <f>'7.1 - MOTORS'!F35</f>
        <v>0</v>
      </c>
      <c r="F177" s="864">
        <f>'7.1 - MOTORS'!G35</f>
        <v>0</v>
      </c>
      <c r="G177" s="877">
        <f>'7.1 - MOTORS'!H35</f>
        <v>0</v>
      </c>
      <c r="H177" s="857">
        <f>'7.1 - MOTORS'!J35</f>
        <v>0</v>
      </c>
      <c r="I177" s="877">
        <f>'7.1 - MOTORS'!K35</f>
        <v>0</v>
      </c>
      <c r="J177" s="878">
        <f>'7.1 - MOTORS'!M35</f>
        <v>0</v>
      </c>
      <c r="K177" s="878">
        <f>'7.1 - MOTORS'!J35</f>
        <v>0</v>
      </c>
      <c r="L177" s="878">
        <f>'7.1 - MOTORS'!L35</f>
        <v>0</v>
      </c>
      <c r="M177" s="872"/>
      <c r="N177" s="1488"/>
      <c r="O177" s="1488"/>
    </row>
    <row r="178" spans="3:43">
      <c r="C178" s="870" t="s">
        <v>1215</v>
      </c>
      <c r="D178" s="854" t="s">
        <v>1216</v>
      </c>
      <c r="E178" s="864" t="e">
        <f>'7.1 - MOTORS'!F36</f>
        <v>#REF!</v>
      </c>
      <c r="F178" s="864">
        <f>'7.1 - MOTORS'!G36</f>
        <v>0</v>
      </c>
      <c r="G178" s="877">
        <f>'7.1 - MOTORS'!H36</f>
        <v>0</v>
      </c>
      <c r="H178" s="857">
        <f>'7.1 - MOTORS'!J36</f>
        <v>0</v>
      </c>
      <c r="I178" s="877">
        <f>'7.1 - MOTORS'!K36</f>
        <v>0</v>
      </c>
      <c r="J178" s="878">
        <f>'7.1 - MOTORS'!M36</f>
        <v>0</v>
      </c>
      <c r="K178" s="878">
        <f>'7.1 - MOTORS'!J36</f>
        <v>0</v>
      </c>
      <c r="L178" s="878">
        <f>'7.1 - MOTORS'!L36</f>
        <v>0</v>
      </c>
      <c r="M178" s="872"/>
      <c r="N178" s="1488"/>
      <c r="O178" s="1488"/>
    </row>
    <row r="179" spans="3:43" ht="36">
      <c r="C179" s="870" t="s">
        <v>1217</v>
      </c>
      <c r="D179" s="854" t="s">
        <v>1218</v>
      </c>
      <c r="E179" s="864" t="s">
        <v>946</v>
      </c>
      <c r="F179" s="864" t="s">
        <v>946</v>
      </c>
      <c r="G179" s="877" t="s">
        <v>946</v>
      </c>
      <c r="H179" s="877" t="s">
        <v>946</v>
      </c>
      <c r="I179" s="877" t="s">
        <v>946</v>
      </c>
      <c r="J179" s="878">
        <f>'7.1 - MOTORS'!M37</f>
        <v>0</v>
      </c>
      <c r="K179" s="878" t="s">
        <v>946</v>
      </c>
      <c r="L179" s="878">
        <f>'7.1 - MOTORS'!L37</f>
        <v>0</v>
      </c>
      <c r="M179" s="872"/>
      <c r="N179" s="1488"/>
      <c r="O179" s="1488"/>
    </row>
    <row r="180" spans="3:43" ht="36">
      <c r="C180" s="870" t="s">
        <v>1219</v>
      </c>
      <c r="D180" s="854" t="s">
        <v>1220</v>
      </c>
      <c r="E180" s="864" t="s">
        <v>946</v>
      </c>
      <c r="F180" s="864" t="s">
        <v>946</v>
      </c>
      <c r="G180" s="877" t="s">
        <v>946</v>
      </c>
      <c r="H180" s="877" t="s">
        <v>946</v>
      </c>
      <c r="I180" s="877" t="s">
        <v>946</v>
      </c>
      <c r="J180" s="878">
        <f>'7.1 - MOTORS'!M38</f>
        <v>0</v>
      </c>
      <c r="K180" s="878" t="s">
        <v>946</v>
      </c>
      <c r="L180" s="878">
        <f>'7.1 - MOTORS'!L38</f>
        <v>0</v>
      </c>
      <c r="M180" s="872"/>
      <c r="N180" s="1488"/>
      <c r="O180" s="1488"/>
    </row>
    <row r="181" spans="3:43" ht="36">
      <c r="C181" s="870" t="s">
        <v>1221</v>
      </c>
      <c r="D181" s="854" t="s">
        <v>945</v>
      </c>
      <c r="E181" s="864" t="s">
        <v>946</v>
      </c>
      <c r="F181" s="864" t="s">
        <v>946</v>
      </c>
      <c r="G181" s="877" t="s">
        <v>946</v>
      </c>
      <c r="H181" s="877" t="s">
        <v>946</v>
      </c>
      <c r="I181" s="877" t="s">
        <v>946</v>
      </c>
      <c r="J181" s="878">
        <f>'7.1 - MOTORS'!M39</f>
        <v>0</v>
      </c>
      <c r="K181" s="878" t="s">
        <v>946</v>
      </c>
      <c r="L181" s="878">
        <f>'7.1 - MOTORS'!L39</f>
        <v>0</v>
      </c>
      <c r="M181" s="872"/>
      <c r="N181" s="1488"/>
      <c r="O181" s="1488"/>
    </row>
    <row r="182" spans="3:43" s="1504" customFormat="1">
      <c r="C182" s="858">
        <v>8</v>
      </c>
      <c r="D182" s="859" t="s">
        <v>1222</v>
      </c>
      <c r="E182" s="860"/>
      <c r="F182" s="860"/>
      <c r="G182" s="860"/>
      <c r="H182" s="860"/>
      <c r="I182" s="860"/>
      <c r="J182" s="860"/>
      <c r="K182" s="860"/>
      <c r="L182" s="861"/>
      <c r="M182" s="847"/>
      <c r="P182" s="1505"/>
      <c r="Q182" s="1505"/>
      <c r="R182" s="1505"/>
      <c r="S182" s="1505"/>
      <c r="T182" s="1505"/>
      <c r="U182" s="1505"/>
      <c r="V182" s="1505"/>
      <c r="W182" s="1505"/>
      <c r="X182" s="1505"/>
      <c r="Y182" s="1505"/>
      <c r="Z182" s="1505"/>
      <c r="AA182" s="1505"/>
      <c r="AB182" s="1505"/>
      <c r="AC182" s="1505"/>
      <c r="AD182" s="1505"/>
      <c r="AE182" s="1505"/>
      <c r="AF182" s="1505"/>
      <c r="AG182" s="1505"/>
      <c r="AH182" s="1505"/>
      <c r="AI182" s="1505"/>
      <c r="AJ182" s="1505"/>
      <c r="AK182" s="1505"/>
      <c r="AL182" s="1505"/>
      <c r="AM182" s="1505"/>
      <c r="AN182" s="1505"/>
      <c r="AO182" s="1505"/>
      <c r="AP182" s="1505"/>
      <c r="AQ182" s="1505"/>
    </row>
    <row r="183" spans="3:43">
      <c r="C183" s="873"/>
      <c r="D183" s="875" t="s">
        <v>1223</v>
      </c>
      <c r="E183" s="875"/>
      <c r="F183" s="875"/>
      <c r="G183" s="875"/>
      <c r="H183" s="875"/>
      <c r="I183" s="875"/>
      <c r="J183" s="875"/>
      <c r="K183" s="875"/>
      <c r="L183" s="875"/>
      <c r="M183" s="1506"/>
      <c r="N183" s="1488"/>
      <c r="O183" s="1488"/>
    </row>
    <row r="184" spans="3:43" ht="54">
      <c r="C184" s="870" t="s">
        <v>1224</v>
      </c>
      <c r="D184" s="854" t="s">
        <v>1225</v>
      </c>
      <c r="E184" s="855" t="s">
        <v>946</v>
      </c>
      <c r="F184" s="855" t="s">
        <v>946</v>
      </c>
      <c r="G184" s="857">
        <f>'8.1 - INF_EXT AIR BARRIER'!$F$31</f>
        <v>0</v>
      </c>
      <c r="H184" s="857">
        <f>'8.1 - INF_EXT AIR BARRIER'!$G$31</f>
        <v>0</v>
      </c>
      <c r="I184" s="857">
        <f>'8.1 - INF_EXT AIR BARRIER'!$H$31</f>
        <v>0</v>
      </c>
      <c r="J184" s="856" t="s">
        <v>946</v>
      </c>
      <c r="K184" s="856" t="s">
        <v>946</v>
      </c>
      <c r="L184" s="856" t="s">
        <v>946</v>
      </c>
      <c r="M184" s="872"/>
      <c r="N184" s="1488"/>
      <c r="O184" s="1488"/>
    </row>
    <row r="185" spans="3:43" ht="54">
      <c r="C185" s="870" t="s">
        <v>1226</v>
      </c>
      <c r="D185" s="854" t="s">
        <v>1227</v>
      </c>
      <c r="E185" s="855" t="s">
        <v>946</v>
      </c>
      <c r="F185" s="855" t="s">
        <v>946</v>
      </c>
      <c r="G185" s="857">
        <f>'8.1 - INF_EXT AIR BARRIER'!$F$32</f>
        <v>0</v>
      </c>
      <c r="H185" s="857">
        <f>'8.1 - INF_EXT AIR BARRIER'!$G$32</f>
        <v>0</v>
      </c>
      <c r="I185" s="857">
        <f>'8.1 - INF_EXT AIR BARRIER'!$H$32</f>
        <v>0</v>
      </c>
      <c r="J185" s="856" t="s">
        <v>946</v>
      </c>
      <c r="K185" s="856" t="s">
        <v>946</v>
      </c>
      <c r="L185" s="856" t="s">
        <v>946</v>
      </c>
      <c r="M185" s="872"/>
      <c r="N185" s="1488"/>
      <c r="O185" s="1488"/>
    </row>
    <row r="186" spans="3:43" ht="36">
      <c r="C186" s="870" t="s">
        <v>1228</v>
      </c>
      <c r="D186" s="854" t="s">
        <v>1229</v>
      </c>
      <c r="E186" s="864" t="s">
        <v>946</v>
      </c>
      <c r="F186" s="864" t="s">
        <v>946</v>
      </c>
      <c r="G186" s="877">
        <f>'8.1 - INF_EXT AIR BARRIER'!F47</f>
        <v>0</v>
      </c>
      <c r="H186" s="877">
        <f>'8.1 - INF_EXT AIR BARRIER'!G47</f>
        <v>0</v>
      </c>
      <c r="I186" s="877">
        <f>'8.1 - INF_EXT AIR BARRIER'!H47</f>
        <v>0</v>
      </c>
      <c r="J186" s="878">
        <f>'8.1 - INF_EXT AIR BARRIER'!J47</f>
        <v>0</v>
      </c>
      <c r="K186" s="878">
        <f>'8.1 - INF_EXT AIR BARRIER'!G47</f>
        <v>0</v>
      </c>
      <c r="L186" s="878">
        <f>'8.1 - INF_EXT AIR BARRIER'!I47</f>
        <v>0</v>
      </c>
      <c r="M186" s="872"/>
      <c r="N186" s="1488"/>
      <c r="O186" s="1488"/>
    </row>
    <row r="187" spans="3:43">
      <c r="C187" s="870" t="s">
        <v>1230</v>
      </c>
      <c r="D187" s="854" t="s">
        <v>1014</v>
      </c>
      <c r="E187" s="864" t="s">
        <v>946</v>
      </c>
      <c r="F187" s="864" t="s">
        <v>946</v>
      </c>
      <c r="G187" s="877">
        <f>'8.1 - INF_EXT AIR BARRIER'!F48</f>
        <v>0</v>
      </c>
      <c r="H187" s="877">
        <f>'8.1 - INF_EXT AIR BARRIER'!G48</f>
        <v>0</v>
      </c>
      <c r="I187" s="877">
        <f>'8.1 - INF_EXT AIR BARRIER'!H48</f>
        <v>0</v>
      </c>
      <c r="J187" s="878">
        <f>'8.1 - INF_EXT AIR BARRIER'!J48</f>
        <v>0</v>
      </c>
      <c r="K187" s="878">
        <f>'8.1 - INF_EXT AIR BARRIER'!G48</f>
        <v>0</v>
      </c>
      <c r="L187" s="878">
        <f>'8.1 - INF_EXT AIR BARRIER'!I48</f>
        <v>0</v>
      </c>
      <c r="M187" s="872"/>
      <c r="N187" s="1488"/>
      <c r="O187" s="1488"/>
    </row>
    <row r="188" spans="3:43">
      <c r="C188" s="870" t="s">
        <v>1231</v>
      </c>
      <c r="D188" s="883" t="s">
        <v>1232</v>
      </c>
      <c r="E188" s="864" t="s">
        <v>946</v>
      </c>
      <c r="F188" s="864" t="s">
        <v>946</v>
      </c>
      <c r="G188" s="877">
        <f>'8.1 - INF_EXT AIR BARRIER'!F49</f>
        <v>0</v>
      </c>
      <c r="H188" s="877">
        <f>'8.1 - INF_EXT AIR BARRIER'!G49</f>
        <v>0</v>
      </c>
      <c r="I188" s="877">
        <f>'8.1 - INF_EXT AIR BARRIER'!H49</f>
        <v>0</v>
      </c>
      <c r="J188" s="878">
        <f>'8.1 - INF_EXT AIR BARRIER'!J49</f>
        <v>0</v>
      </c>
      <c r="K188" s="878">
        <f>'8.1 - INF_EXT AIR BARRIER'!G49</f>
        <v>0</v>
      </c>
      <c r="L188" s="878">
        <f>'8.1 - INF_EXT AIR BARRIER'!I49</f>
        <v>0</v>
      </c>
      <c r="M188" s="872"/>
      <c r="N188" s="1488"/>
      <c r="O188" s="1488"/>
    </row>
    <row r="189" spans="3:43" ht="36">
      <c r="C189" s="870" t="s">
        <v>1233</v>
      </c>
      <c r="D189" s="883" t="s">
        <v>1234</v>
      </c>
      <c r="E189" s="864" t="s">
        <v>946</v>
      </c>
      <c r="F189" s="864" t="s">
        <v>946</v>
      </c>
      <c r="G189" s="877">
        <f>'8.1 - INF_EXT AIR BARRIER'!F50</f>
        <v>0</v>
      </c>
      <c r="H189" s="877">
        <f>'8.1 - INF_EXT AIR BARRIER'!G50</f>
        <v>0</v>
      </c>
      <c r="I189" s="877">
        <f>'8.1 - INF_EXT AIR BARRIER'!H50</f>
        <v>0</v>
      </c>
      <c r="J189" s="878">
        <f>'8.1 - INF_EXT AIR BARRIER'!J50</f>
        <v>0</v>
      </c>
      <c r="K189" s="878">
        <f>'8.1 - INF_EXT AIR BARRIER'!G50</f>
        <v>0</v>
      </c>
      <c r="L189" s="878">
        <f>'8.1 - INF_EXT AIR BARRIER'!I50</f>
        <v>0</v>
      </c>
      <c r="M189" s="872"/>
      <c r="N189" s="1488"/>
      <c r="O189" s="1488"/>
    </row>
    <row r="190" spans="3:43" ht="36">
      <c r="C190" s="870" t="s">
        <v>1235</v>
      </c>
      <c r="D190" s="883" t="s">
        <v>1236</v>
      </c>
      <c r="E190" s="864" t="s">
        <v>946</v>
      </c>
      <c r="F190" s="864" t="s">
        <v>946</v>
      </c>
      <c r="G190" s="877">
        <f>'8.1 - INF_EXT AIR BARRIER'!F51</f>
        <v>0</v>
      </c>
      <c r="H190" s="877">
        <f>'8.1 - INF_EXT AIR BARRIER'!G51</f>
        <v>0</v>
      </c>
      <c r="I190" s="877">
        <f>'8.1 - INF_EXT AIR BARRIER'!H51</f>
        <v>0</v>
      </c>
      <c r="J190" s="878">
        <f>'8.1 - INF_EXT AIR BARRIER'!J51</f>
        <v>0</v>
      </c>
      <c r="K190" s="878">
        <f>'8.1 - INF_EXT AIR BARRIER'!G51</f>
        <v>0</v>
      </c>
      <c r="L190" s="878">
        <f>'8.1 - INF_EXT AIR BARRIER'!I51</f>
        <v>0</v>
      </c>
      <c r="M190" s="872"/>
      <c r="N190" s="1488"/>
      <c r="O190" s="1488"/>
    </row>
    <row r="191" spans="3:43" ht="54">
      <c r="C191" s="870" t="s">
        <v>1237</v>
      </c>
      <c r="D191" s="883" t="s">
        <v>1238</v>
      </c>
      <c r="E191" s="864" t="s">
        <v>946</v>
      </c>
      <c r="F191" s="864" t="s">
        <v>946</v>
      </c>
      <c r="G191" s="877">
        <f>'8.1 - INF_EXT AIR BARRIER'!F52</f>
        <v>0</v>
      </c>
      <c r="H191" s="877">
        <f>'8.1 - INF_EXT AIR BARRIER'!G52</f>
        <v>0</v>
      </c>
      <c r="I191" s="877">
        <f>'8.1 - INF_EXT AIR BARRIER'!H52</f>
        <v>0</v>
      </c>
      <c r="J191" s="878">
        <f>'8.1 - INF_EXT AIR BARRIER'!J52</f>
        <v>0</v>
      </c>
      <c r="K191" s="878">
        <f>'8.1 - INF_EXT AIR BARRIER'!G52</f>
        <v>0</v>
      </c>
      <c r="L191" s="878">
        <f>'8.1 - INF_EXT AIR BARRIER'!I52</f>
        <v>0</v>
      </c>
      <c r="M191" s="872"/>
      <c r="N191" s="1488"/>
      <c r="O191" s="1488"/>
    </row>
    <row r="192" spans="3:43" ht="36">
      <c r="C192" s="870" t="s">
        <v>1239</v>
      </c>
      <c r="D192" s="883" t="s">
        <v>1240</v>
      </c>
      <c r="E192" s="864" t="s">
        <v>946</v>
      </c>
      <c r="F192" s="864" t="s">
        <v>946</v>
      </c>
      <c r="G192" s="877">
        <f>'8.1 - INF_EXT AIR BARRIER'!F53</f>
        <v>0</v>
      </c>
      <c r="H192" s="877">
        <f>'8.1 - INF_EXT AIR BARRIER'!G53</f>
        <v>0</v>
      </c>
      <c r="I192" s="877">
        <f>'8.1 - INF_EXT AIR BARRIER'!H53</f>
        <v>0</v>
      </c>
      <c r="J192" s="878">
        <f>'8.1 - INF_EXT AIR BARRIER'!J53</f>
        <v>0</v>
      </c>
      <c r="K192" s="878">
        <f>'8.1 - INF_EXT AIR BARRIER'!G53</f>
        <v>0</v>
      </c>
      <c r="L192" s="878">
        <f>'8.1 - INF_EXT AIR BARRIER'!I53</f>
        <v>0</v>
      </c>
      <c r="M192" s="872"/>
      <c r="N192" s="1488"/>
      <c r="O192" s="1488"/>
    </row>
    <row r="193" spans="2:51">
      <c r="C193" s="870" t="s">
        <v>1241</v>
      </c>
      <c r="D193" s="883" t="s">
        <v>1242</v>
      </c>
      <c r="E193" s="864" t="s">
        <v>946</v>
      </c>
      <c r="F193" s="864" t="s">
        <v>946</v>
      </c>
      <c r="G193" s="877">
        <f>'8.1 - INF_EXT AIR BARRIER'!F54</f>
        <v>0</v>
      </c>
      <c r="H193" s="877">
        <f>'8.1 - INF_EXT AIR BARRIER'!G54</f>
        <v>0</v>
      </c>
      <c r="I193" s="877">
        <f>'8.1 - INF_EXT AIR BARRIER'!H54</f>
        <v>0</v>
      </c>
      <c r="J193" s="878">
        <f>'8.1 - INF_EXT AIR BARRIER'!J54</f>
        <v>0</v>
      </c>
      <c r="K193" s="878">
        <f>'8.1 - INF_EXT AIR BARRIER'!G54</f>
        <v>0</v>
      </c>
      <c r="L193" s="878">
        <f>'8.1 - INF_EXT AIR BARRIER'!I54</f>
        <v>0</v>
      </c>
      <c r="M193" s="872"/>
      <c r="N193" s="1488"/>
      <c r="O193" s="1488"/>
    </row>
    <row r="194" spans="2:51" ht="54">
      <c r="C194" s="870" t="s">
        <v>1243</v>
      </c>
      <c r="D194" s="883" t="s">
        <v>1244</v>
      </c>
      <c r="E194" s="864" t="s">
        <v>946</v>
      </c>
      <c r="F194" s="864" t="s">
        <v>946</v>
      </c>
      <c r="G194" s="877">
        <f>'8.1 - INF_EXT AIR BARRIER'!F55</f>
        <v>0</v>
      </c>
      <c r="H194" s="877">
        <f>'8.1 - INF_EXT AIR BARRIER'!G55</f>
        <v>0</v>
      </c>
      <c r="I194" s="877">
        <f>'8.1 - INF_EXT AIR BARRIER'!H55</f>
        <v>0</v>
      </c>
      <c r="J194" s="878">
        <f>'8.1 - INF_EXT AIR BARRIER'!J55</f>
        <v>0</v>
      </c>
      <c r="K194" s="878">
        <f>'8.1 - INF_EXT AIR BARRIER'!G55</f>
        <v>0</v>
      </c>
      <c r="L194" s="878">
        <f>'8.1 - INF_EXT AIR BARRIER'!I55</f>
        <v>0</v>
      </c>
      <c r="M194" s="872"/>
      <c r="N194" s="1488"/>
      <c r="O194" s="1488"/>
    </row>
    <row r="195" spans="2:51" ht="54">
      <c r="C195" s="870" t="s">
        <v>1245</v>
      </c>
      <c r="D195" s="883" t="s">
        <v>1246</v>
      </c>
      <c r="E195" s="864" t="s">
        <v>946</v>
      </c>
      <c r="F195" s="864" t="s">
        <v>946</v>
      </c>
      <c r="G195" s="877">
        <f>'8.1 - INF_EXT AIR BARRIER'!F56</f>
        <v>0</v>
      </c>
      <c r="H195" s="877">
        <f>'8.1 - INF_EXT AIR BARRIER'!G56</f>
        <v>0</v>
      </c>
      <c r="I195" s="877">
        <f>'8.1 - INF_EXT AIR BARRIER'!H56</f>
        <v>0</v>
      </c>
      <c r="J195" s="878">
        <f>'8.1 - INF_EXT AIR BARRIER'!J56</f>
        <v>0</v>
      </c>
      <c r="K195" s="878">
        <f>'8.1 - INF_EXT AIR BARRIER'!G56</f>
        <v>0</v>
      </c>
      <c r="L195" s="878">
        <f>'8.1 - INF_EXT AIR BARRIER'!I56</f>
        <v>0</v>
      </c>
      <c r="M195" s="872"/>
      <c r="N195" s="1488"/>
      <c r="O195" s="1488"/>
    </row>
    <row r="196" spans="2:51" s="1489" customFormat="1" ht="36">
      <c r="B196" s="1488"/>
      <c r="C196" s="870" t="s">
        <v>1247</v>
      </c>
      <c r="D196" s="883" t="s">
        <v>1248</v>
      </c>
      <c r="E196" s="864" t="s">
        <v>946</v>
      </c>
      <c r="F196" s="864" t="s">
        <v>946</v>
      </c>
      <c r="G196" s="877">
        <f>'8.1 - INF_EXT AIR BARRIER'!F57</f>
        <v>0</v>
      </c>
      <c r="H196" s="877">
        <f>'8.1 - INF_EXT AIR BARRIER'!G57</f>
        <v>0</v>
      </c>
      <c r="I196" s="877">
        <f>'8.1 - INF_EXT AIR BARRIER'!H57</f>
        <v>0</v>
      </c>
      <c r="J196" s="878">
        <f>'8.1 - INF_EXT AIR BARRIER'!J57</f>
        <v>0</v>
      </c>
      <c r="K196" s="878">
        <f>'8.1 - INF_EXT AIR BARRIER'!G57</f>
        <v>0</v>
      </c>
      <c r="L196" s="878">
        <f>'8.1 - INF_EXT AIR BARRIER'!I57</f>
        <v>0</v>
      </c>
      <c r="M196" s="872"/>
      <c r="N196" s="1488"/>
      <c r="O196" s="1488"/>
      <c r="AR196" s="1488"/>
      <c r="AS196" s="1488"/>
      <c r="AT196" s="1488"/>
      <c r="AU196" s="1488"/>
      <c r="AV196" s="1488"/>
      <c r="AW196" s="1488"/>
      <c r="AX196" s="1488"/>
      <c r="AY196" s="1488"/>
    </row>
    <row r="197" spans="2:51" s="1489" customFormat="1" ht="36">
      <c r="B197" s="1488"/>
      <c r="C197" s="870" t="s">
        <v>1249</v>
      </c>
      <c r="D197" s="883" t="s">
        <v>1250</v>
      </c>
      <c r="E197" s="864" t="s">
        <v>946</v>
      </c>
      <c r="F197" s="864" t="s">
        <v>946</v>
      </c>
      <c r="G197" s="877">
        <f>'8.1 - INF_EXT AIR BARRIER'!F58</f>
        <v>0</v>
      </c>
      <c r="H197" s="877">
        <f>'8.1 - INF_EXT AIR BARRIER'!G58</f>
        <v>0</v>
      </c>
      <c r="I197" s="877">
        <f>'8.1 - INF_EXT AIR BARRIER'!H58</f>
        <v>0</v>
      </c>
      <c r="J197" s="878">
        <f>'8.1 - INF_EXT AIR BARRIER'!J58</f>
        <v>0</v>
      </c>
      <c r="K197" s="878">
        <f>'8.1 - INF_EXT AIR BARRIER'!G58</f>
        <v>0</v>
      </c>
      <c r="L197" s="878">
        <f>'8.1 - INF_EXT AIR BARRIER'!I58</f>
        <v>0</v>
      </c>
      <c r="M197" s="872"/>
      <c r="N197" s="1488"/>
      <c r="O197" s="1488"/>
      <c r="AR197" s="1488"/>
      <c r="AS197" s="1488"/>
      <c r="AT197" s="1488"/>
      <c r="AU197" s="1488"/>
      <c r="AV197" s="1488"/>
      <c r="AW197" s="1488"/>
      <c r="AX197" s="1488"/>
      <c r="AY197" s="1488"/>
    </row>
    <row r="198" spans="2:51" s="1489" customFormat="1" ht="36">
      <c r="B198" s="1488"/>
      <c r="C198" s="870" t="s">
        <v>1251</v>
      </c>
      <c r="D198" s="883" t="s">
        <v>1252</v>
      </c>
      <c r="E198" s="864" t="s">
        <v>946</v>
      </c>
      <c r="F198" s="864" t="s">
        <v>946</v>
      </c>
      <c r="G198" s="877">
        <f>'8.1 - INF_EXT AIR BARRIER'!F59</f>
        <v>0</v>
      </c>
      <c r="H198" s="877">
        <f>'8.1 - INF_EXT AIR BARRIER'!G59</f>
        <v>0</v>
      </c>
      <c r="I198" s="877">
        <f>'8.1 - INF_EXT AIR BARRIER'!H59</f>
        <v>0</v>
      </c>
      <c r="J198" s="878">
        <f>'8.1 - INF_EXT AIR BARRIER'!J59</f>
        <v>0</v>
      </c>
      <c r="K198" s="878">
        <f>'8.1 - INF_EXT AIR BARRIER'!G59</f>
        <v>0</v>
      </c>
      <c r="L198" s="878">
        <f>'8.1 - INF_EXT AIR BARRIER'!I59</f>
        <v>0</v>
      </c>
      <c r="M198" s="872"/>
      <c r="N198" s="1488"/>
      <c r="O198" s="1488"/>
      <c r="AR198" s="1488"/>
      <c r="AS198" s="1488"/>
      <c r="AT198" s="1488"/>
      <c r="AU198" s="1488"/>
      <c r="AV198" s="1488"/>
      <c r="AW198" s="1488"/>
      <c r="AX198" s="1488"/>
      <c r="AY198" s="1488"/>
    </row>
    <row r="199" spans="2:51" s="1489" customFormat="1" ht="36">
      <c r="B199" s="1488"/>
      <c r="C199" s="870" t="s">
        <v>1253</v>
      </c>
      <c r="D199" s="883" t="s">
        <v>1254</v>
      </c>
      <c r="E199" s="864" t="s">
        <v>946</v>
      </c>
      <c r="F199" s="864" t="s">
        <v>946</v>
      </c>
      <c r="G199" s="877">
        <f>'8.1 - INF_EXT AIR BARRIER'!F60</f>
        <v>0</v>
      </c>
      <c r="H199" s="877">
        <f>'8.1 - INF_EXT AIR BARRIER'!G60</f>
        <v>0</v>
      </c>
      <c r="I199" s="877">
        <f>'8.1 - INF_EXT AIR BARRIER'!H60</f>
        <v>0</v>
      </c>
      <c r="J199" s="878">
        <f>'8.1 - INF_EXT AIR BARRIER'!J60</f>
        <v>0</v>
      </c>
      <c r="K199" s="878">
        <f>'8.1 - INF_EXT AIR BARRIER'!G60</f>
        <v>0</v>
      </c>
      <c r="L199" s="878">
        <f>'8.1 - INF_EXT AIR BARRIER'!I60</f>
        <v>0</v>
      </c>
      <c r="M199" s="872"/>
      <c r="N199" s="1488"/>
      <c r="O199" s="1488"/>
      <c r="AR199" s="1488"/>
      <c r="AS199" s="1488"/>
      <c r="AT199" s="1488"/>
      <c r="AU199" s="1488"/>
      <c r="AV199" s="1488"/>
      <c r="AW199" s="1488"/>
      <c r="AX199" s="1488"/>
      <c r="AY199" s="1488"/>
    </row>
    <row r="200" spans="2:51" s="1489" customFormat="1">
      <c r="B200" s="1488"/>
      <c r="C200" s="870" t="s">
        <v>1255</v>
      </c>
      <c r="D200" s="883" t="s">
        <v>2108</v>
      </c>
      <c r="E200" s="864" t="s">
        <v>946</v>
      </c>
      <c r="F200" s="864" t="s">
        <v>946</v>
      </c>
      <c r="G200" s="877">
        <f>'8.1 - INF_EXT AIR BARRIER'!F61</f>
        <v>0</v>
      </c>
      <c r="H200" s="877">
        <f>'8.1 - INF_EXT AIR BARRIER'!G61</f>
        <v>0</v>
      </c>
      <c r="I200" s="877">
        <f>'8.1 - INF_EXT AIR BARRIER'!H61</f>
        <v>0</v>
      </c>
      <c r="J200" s="878">
        <f>'8.1 - INF_EXT AIR BARRIER'!J61</f>
        <v>0</v>
      </c>
      <c r="K200" s="878">
        <f>'8.1 - INF_EXT AIR BARRIER'!G61</f>
        <v>0</v>
      </c>
      <c r="L200" s="878">
        <f>'8.1 - INF_EXT AIR BARRIER'!I61</f>
        <v>0</v>
      </c>
      <c r="M200" s="872"/>
      <c r="N200" s="1488"/>
      <c r="O200" s="1488"/>
      <c r="AR200" s="1488"/>
      <c r="AS200" s="1488"/>
      <c r="AT200" s="1488"/>
      <c r="AU200" s="1488"/>
      <c r="AV200" s="1488"/>
      <c r="AW200" s="1488"/>
      <c r="AX200" s="1488"/>
      <c r="AY200" s="1488"/>
    </row>
    <row r="201" spans="2:51" s="1489" customFormat="1">
      <c r="B201" s="1488"/>
      <c r="C201" s="870" t="s">
        <v>1257</v>
      </c>
      <c r="D201" s="883" t="s">
        <v>1256</v>
      </c>
      <c r="E201" s="864" t="s">
        <v>946</v>
      </c>
      <c r="F201" s="864" t="s">
        <v>946</v>
      </c>
      <c r="G201" s="877">
        <f>'8.1 - INF_EXT AIR BARRIER'!F62</f>
        <v>0</v>
      </c>
      <c r="H201" s="877">
        <f>'8.1 - INF_EXT AIR BARRIER'!G62</f>
        <v>0</v>
      </c>
      <c r="I201" s="877">
        <f>'8.1 - INF_EXT AIR BARRIER'!H62</f>
        <v>0</v>
      </c>
      <c r="J201" s="878">
        <f>'8.1 - INF_EXT AIR BARRIER'!J62</f>
        <v>0</v>
      </c>
      <c r="K201" s="878">
        <f>'8.1 - INF_EXT AIR BARRIER'!G62</f>
        <v>0</v>
      </c>
      <c r="L201" s="878">
        <f>'8.1 - INF_EXT AIR BARRIER'!I62</f>
        <v>0</v>
      </c>
      <c r="M201" s="872"/>
      <c r="N201" s="1488"/>
      <c r="O201" s="1488"/>
      <c r="AR201" s="1488"/>
      <c r="AS201" s="1488"/>
      <c r="AT201" s="1488"/>
      <c r="AU201" s="1488"/>
      <c r="AV201" s="1488"/>
      <c r="AW201" s="1488"/>
      <c r="AX201" s="1488"/>
      <c r="AY201" s="1488"/>
    </row>
    <row r="202" spans="2:51" s="1489" customFormat="1" ht="54">
      <c r="B202" s="1488"/>
      <c r="C202" s="870" t="s">
        <v>1259</v>
      </c>
      <c r="D202" s="883" t="s">
        <v>1258</v>
      </c>
      <c r="E202" s="864" t="s">
        <v>946</v>
      </c>
      <c r="F202" s="864" t="s">
        <v>946</v>
      </c>
      <c r="G202" s="877">
        <f>'8.1 - INF_EXT AIR BARRIER'!F63</f>
        <v>0</v>
      </c>
      <c r="H202" s="877">
        <f>'8.1 - INF_EXT AIR BARRIER'!G63</f>
        <v>0</v>
      </c>
      <c r="I202" s="877">
        <f>'8.1 - INF_EXT AIR BARRIER'!H63</f>
        <v>0</v>
      </c>
      <c r="J202" s="878">
        <f>'8.1 - INF_EXT AIR BARRIER'!J63</f>
        <v>0</v>
      </c>
      <c r="K202" s="878">
        <f>'8.1 - INF_EXT AIR BARRIER'!G63</f>
        <v>0</v>
      </c>
      <c r="L202" s="878">
        <f>'8.1 - INF_EXT AIR BARRIER'!I63</f>
        <v>0</v>
      </c>
      <c r="M202" s="872"/>
      <c r="N202" s="1488"/>
      <c r="O202" s="1488"/>
      <c r="AR202" s="1488"/>
      <c r="AS202" s="1488"/>
      <c r="AT202" s="1488"/>
      <c r="AU202" s="1488"/>
      <c r="AV202" s="1488"/>
      <c r="AW202" s="1488"/>
      <c r="AX202" s="1488"/>
      <c r="AY202" s="1488"/>
    </row>
    <row r="203" spans="2:51" s="1489" customFormat="1" ht="54">
      <c r="B203" s="1488"/>
      <c r="C203" s="870" t="s">
        <v>1261</v>
      </c>
      <c r="D203" s="883" t="s">
        <v>1260</v>
      </c>
      <c r="E203" s="864" t="s">
        <v>946</v>
      </c>
      <c r="F203" s="864" t="s">
        <v>946</v>
      </c>
      <c r="G203" s="877">
        <f>'8.1 - INF_EXT AIR BARRIER'!F64</f>
        <v>0</v>
      </c>
      <c r="H203" s="877">
        <f>'8.1 - INF_EXT AIR BARRIER'!G64</f>
        <v>0</v>
      </c>
      <c r="I203" s="877">
        <f>'8.1 - INF_EXT AIR BARRIER'!H64</f>
        <v>0</v>
      </c>
      <c r="J203" s="878">
        <f>'8.1 - INF_EXT AIR BARRIER'!J64</f>
        <v>0</v>
      </c>
      <c r="K203" s="878">
        <f>'8.1 - INF_EXT AIR BARRIER'!G64</f>
        <v>0</v>
      </c>
      <c r="L203" s="878">
        <f>'8.1 - INF_EXT AIR BARRIER'!I64</f>
        <v>0</v>
      </c>
      <c r="M203" s="872"/>
      <c r="N203" s="1488"/>
      <c r="O203" s="1488"/>
      <c r="AR203" s="1488"/>
      <c r="AS203" s="1488"/>
      <c r="AT203" s="1488"/>
      <c r="AU203" s="1488"/>
      <c r="AV203" s="1488"/>
      <c r="AW203" s="1488"/>
      <c r="AX203" s="1488"/>
      <c r="AY203" s="1488"/>
    </row>
    <row r="204" spans="2:51" s="1489" customFormat="1" ht="36">
      <c r="B204" s="1488"/>
      <c r="C204" s="870" t="s">
        <v>1263</v>
      </c>
      <c r="D204" s="883" t="s">
        <v>1262</v>
      </c>
      <c r="E204" s="864" t="s">
        <v>946</v>
      </c>
      <c r="F204" s="864" t="s">
        <v>946</v>
      </c>
      <c r="G204" s="877">
        <f>'8.1 - INF_EXT AIR BARRIER'!F65</f>
        <v>0</v>
      </c>
      <c r="H204" s="877">
        <f>'8.1 - INF_EXT AIR BARRIER'!G65</f>
        <v>0</v>
      </c>
      <c r="I204" s="877">
        <f>'8.1 - INF_EXT AIR BARRIER'!H65</f>
        <v>0</v>
      </c>
      <c r="J204" s="878">
        <f>'8.1 - INF_EXT AIR BARRIER'!J65</f>
        <v>0</v>
      </c>
      <c r="K204" s="878">
        <f>'8.1 - INF_EXT AIR BARRIER'!G65</f>
        <v>0</v>
      </c>
      <c r="L204" s="878">
        <f>'8.1 - INF_EXT AIR BARRIER'!I65</f>
        <v>0</v>
      </c>
      <c r="M204" s="872"/>
      <c r="N204" s="1488"/>
      <c r="O204" s="1488"/>
      <c r="AR204" s="1488"/>
      <c r="AS204" s="1488"/>
      <c r="AT204" s="1488"/>
      <c r="AU204" s="1488"/>
      <c r="AV204" s="1488"/>
      <c r="AW204" s="1488"/>
      <c r="AX204" s="1488"/>
      <c r="AY204" s="1488"/>
    </row>
    <row r="205" spans="2:51" s="1489" customFormat="1" ht="36">
      <c r="B205" s="1488"/>
      <c r="C205" s="870" t="s">
        <v>1265</v>
      </c>
      <c r="D205" s="883" t="s">
        <v>1264</v>
      </c>
      <c r="E205" s="864" t="s">
        <v>946</v>
      </c>
      <c r="F205" s="864" t="s">
        <v>946</v>
      </c>
      <c r="G205" s="877">
        <f>'8.1 - INF_EXT AIR BARRIER'!F66</f>
        <v>0</v>
      </c>
      <c r="H205" s="877">
        <f>'8.1 - INF_EXT AIR BARRIER'!G66</f>
        <v>0</v>
      </c>
      <c r="I205" s="877">
        <f>'8.1 - INF_EXT AIR BARRIER'!H66</f>
        <v>0</v>
      </c>
      <c r="J205" s="878">
        <f>'8.1 - INF_EXT AIR BARRIER'!J66</f>
        <v>0</v>
      </c>
      <c r="K205" s="878">
        <f>'8.1 - INF_EXT AIR BARRIER'!G66</f>
        <v>0</v>
      </c>
      <c r="L205" s="878">
        <f>'8.1 - INF_EXT AIR BARRIER'!I66</f>
        <v>0</v>
      </c>
      <c r="M205" s="872"/>
      <c r="N205" s="1488"/>
      <c r="O205" s="1488"/>
      <c r="AR205" s="1488"/>
      <c r="AS205" s="1488"/>
      <c r="AT205" s="1488"/>
      <c r="AU205" s="1488"/>
      <c r="AV205" s="1488"/>
      <c r="AW205" s="1488"/>
      <c r="AX205" s="1488"/>
      <c r="AY205" s="1488"/>
    </row>
    <row r="206" spans="2:51" s="1489" customFormat="1">
      <c r="B206" s="1488"/>
      <c r="C206" s="870" t="s">
        <v>1267</v>
      </c>
      <c r="D206" s="883" t="s">
        <v>1266</v>
      </c>
      <c r="E206" s="864" t="s">
        <v>946</v>
      </c>
      <c r="F206" s="864" t="s">
        <v>946</v>
      </c>
      <c r="G206" s="877">
        <f>'8.1 - INF_EXT AIR BARRIER'!F67</f>
        <v>0</v>
      </c>
      <c r="H206" s="877">
        <f>'8.1 - INF_EXT AIR BARRIER'!G67</f>
        <v>0</v>
      </c>
      <c r="I206" s="877">
        <f>'8.1 - INF_EXT AIR BARRIER'!H67</f>
        <v>0</v>
      </c>
      <c r="J206" s="878">
        <f>'8.1 - INF_EXT AIR BARRIER'!J67</f>
        <v>0</v>
      </c>
      <c r="K206" s="878">
        <f>'8.1 - INF_EXT AIR BARRIER'!G67</f>
        <v>0</v>
      </c>
      <c r="L206" s="878">
        <f>'8.1 - INF_EXT AIR BARRIER'!I67</f>
        <v>0</v>
      </c>
      <c r="M206" s="872"/>
      <c r="N206" s="1488"/>
      <c r="O206" s="1488"/>
      <c r="AR206" s="1488"/>
      <c r="AS206" s="1488"/>
      <c r="AT206" s="1488"/>
      <c r="AU206" s="1488"/>
      <c r="AV206" s="1488"/>
      <c r="AW206" s="1488"/>
      <c r="AX206" s="1488"/>
      <c r="AY206" s="1488"/>
    </row>
    <row r="207" spans="2:51" s="1489" customFormat="1" ht="36">
      <c r="B207" s="1488"/>
      <c r="C207" s="870" t="s">
        <v>1269</v>
      </c>
      <c r="D207" s="883" t="s">
        <v>1268</v>
      </c>
      <c r="E207" s="864" t="s">
        <v>946</v>
      </c>
      <c r="F207" s="864" t="s">
        <v>946</v>
      </c>
      <c r="G207" s="877">
        <f>'8.1 - INF_EXT AIR BARRIER'!F68</f>
        <v>0</v>
      </c>
      <c r="H207" s="877">
        <f>'8.1 - INF_EXT AIR BARRIER'!G68</f>
        <v>0</v>
      </c>
      <c r="I207" s="877">
        <f>'8.1 - INF_EXT AIR BARRIER'!H68</f>
        <v>0</v>
      </c>
      <c r="J207" s="878">
        <f>'8.1 - INF_EXT AIR BARRIER'!J68</f>
        <v>0</v>
      </c>
      <c r="K207" s="878">
        <f>'8.1 - INF_EXT AIR BARRIER'!G68</f>
        <v>0</v>
      </c>
      <c r="L207" s="878">
        <f>'8.1 - INF_EXT AIR BARRIER'!I68</f>
        <v>0</v>
      </c>
      <c r="M207" s="872"/>
      <c r="N207" s="1488"/>
      <c r="O207" s="1488"/>
      <c r="AR207" s="1488"/>
      <c r="AS207" s="1488"/>
      <c r="AT207" s="1488"/>
      <c r="AU207" s="1488"/>
      <c r="AV207" s="1488"/>
      <c r="AW207" s="1488"/>
      <c r="AX207" s="1488"/>
      <c r="AY207" s="1488"/>
    </row>
    <row r="208" spans="2:51" s="1489" customFormat="1" ht="36">
      <c r="B208" s="1488"/>
      <c r="C208" s="870" t="s">
        <v>1271</v>
      </c>
      <c r="D208" s="883" t="s">
        <v>1270</v>
      </c>
      <c r="E208" s="864" t="s">
        <v>946</v>
      </c>
      <c r="F208" s="864" t="s">
        <v>946</v>
      </c>
      <c r="G208" s="877">
        <f>'8.1 - INF_EXT AIR BARRIER'!F69</f>
        <v>0</v>
      </c>
      <c r="H208" s="877">
        <f>'8.1 - INF_EXT AIR BARRIER'!G69</f>
        <v>0</v>
      </c>
      <c r="I208" s="877">
        <f>'8.1 - INF_EXT AIR BARRIER'!H69</f>
        <v>0</v>
      </c>
      <c r="J208" s="878">
        <f>'8.1 - INF_EXT AIR BARRIER'!J69</f>
        <v>0</v>
      </c>
      <c r="K208" s="878">
        <f>'8.1 - INF_EXT AIR BARRIER'!G69</f>
        <v>0</v>
      </c>
      <c r="L208" s="878">
        <f>'8.1 - INF_EXT AIR BARRIER'!I69</f>
        <v>0</v>
      </c>
      <c r="M208" s="872"/>
      <c r="N208" s="1488"/>
      <c r="O208" s="1488"/>
      <c r="AR208" s="1488"/>
      <c r="AS208" s="1488"/>
      <c r="AT208" s="1488"/>
      <c r="AU208" s="1488"/>
      <c r="AV208" s="1488"/>
      <c r="AW208" s="1488"/>
      <c r="AX208" s="1488"/>
      <c r="AY208" s="1488"/>
    </row>
    <row r="209" spans="2:51" s="1489" customFormat="1" ht="54">
      <c r="B209" s="1488"/>
      <c r="C209" s="870" t="s">
        <v>1273</v>
      </c>
      <c r="D209" s="883" t="s">
        <v>1272</v>
      </c>
      <c r="E209" s="864" t="s">
        <v>946</v>
      </c>
      <c r="F209" s="864" t="s">
        <v>946</v>
      </c>
      <c r="G209" s="877">
        <f>'8.1 - INF_EXT AIR BARRIER'!F70</f>
        <v>0</v>
      </c>
      <c r="H209" s="877">
        <f>'8.1 - INF_EXT AIR BARRIER'!G70</f>
        <v>0</v>
      </c>
      <c r="I209" s="877">
        <f>'8.1 - INF_EXT AIR BARRIER'!H70</f>
        <v>0</v>
      </c>
      <c r="J209" s="878">
        <f>'8.1 - INF_EXT AIR BARRIER'!J70</f>
        <v>0</v>
      </c>
      <c r="K209" s="878">
        <f>'8.1 - INF_EXT AIR BARRIER'!G70</f>
        <v>0</v>
      </c>
      <c r="L209" s="878">
        <f>'8.1 - INF_EXT AIR BARRIER'!I70</f>
        <v>0</v>
      </c>
      <c r="M209" s="872"/>
      <c r="N209" s="1488"/>
      <c r="O209" s="1488"/>
      <c r="AR209" s="1488"/>
      <c r="AS209" s="1488"/>
      <c r="AT209" s="1488"/>
      <c r="AU209" s="1488"/>
      <c r="AV209" s="1488"/>
      <c r="AW209" s="1488"/>
      <c r="AX209" s="1488"/>
      <c r="AY209" s="1488"/>
    </row>
    <row r="210" spans="2:51" s="1489" customFormat="1" ht="72">
      <c r="B210" s="1488"/>
      <c r="C210" s="870" t="s">
        <v>1275</v>
      </c>
      <c r="D210" s="883" t="s">
        <v>1274</v>
      </c>
      <c r="E210" s="864" t="s">
        <v>946</v>
      </c>
      <c r="F210" s="864" t="s">
        <v>946</v>
      </c>
      <c r="G210" s="877">
        <f>'8.1 - INF_EXT AIR BARRIER'!F71</f>
        <v>0</v>
      </c>
      <c r="H210" s="877">
        <f>'8.1 - INF_EXT AIR BARRIER'!G71</f>
        <v>0</v>
      </c>
      <c r="I210" s="877">
        <f>'8.1 - INF_EXT AIR BARRIER'!H71</f>
        <v>0</v>
      </c>
      <c r="J210" s="878">
        <f>'8.1 - INF_EXT AIR BARRIER'!J71</f>
        <v>0</v>
      </c>
      <c r="K210" s="878">
        <f>'8.1 - INF_EXT AIR BARRIER'!G71</f>
        <v>0</v>
      </c>
      <c r="L210" s="878">
        <f>'8.1 - INF_EXT AIR BARRIER'!I71</f>
        <v>0</v>
      </c>
      <c r="M210" s="872"/>
      <c r="N210" s="1488"/>
      <c r="O210" s="1488"/>
      <c r="AR210" s="1488"/>
      <c r="AS210" s="1488"/>
      <c r="AT210" s="1488"/>
      <c r="AU210" s="1488"/>
      <c r="AV210" s="1488"/>
      <c r="AW210" s="1488"/>
      <c r="AX210" s="1488"/>
      <c r="AY210" s="1488"/>
    </row>
    <row r="211" spans="2:51" s="1489" customFormat="1">
      <c r="B211" s="1488"/>
      <c r="C211" s="870" t="s">
        <v>2107</v>
      </c>
      <c r="D211" s="883" t="s">
        <v>276</v>
      </c>
      <c r="E211" s="864" t="s">
        <v>946</v>
      </c>
      <c r="F211" s="864" t="s">
        <v>946</v>
      </c>
      <c r="G211" s="877">
        <f>'8.1 - INF_EXT AIR BARRIER'!F72</f>
        <v>0</v>
      </c>
      <c r="H211" s="877">
        <f>'8.1 - INF_EXT AIR BARRIER'!G72</f>
        <v>0</v>
      </c>
      <c r="I211" s="877">
        <f>'8.1 - INF_EXT AIR BARRIER'!H72</f>
        <v>0</v>
      </c>
      <c r="J211" s="878">
        <f>'8.1 - INF_EXT AIR BARRIER'!J72</f>
        <v>0</v>
      </c>
      <c r="K211" s="878">
        <f>'8.1 - INF_EXT AIR BARRIER'!G72</f>
        <v>0</v>
      </c>
      <c r="L211" s="878">
        <f>'8.1 - INF_EXT AIR BARRIER'!I72</f>
        <v>0</v>
      </c>
      <c r="M211" s="872"/>
      <c r="N211" s="1488"/>
      <c r="O211" s="1488"/>
      <c r="AR211" s="1488"/>
      <c r="AS211" s="1488"/>
      <c r="AT211" s="1488"/>
      <c r="AU211" s="1488"/>
      <c r="AV211" s="1488"/>
      <c r="AW211" s="1488"/>
      <c r="AX211" s="1488"/>
      <c r="AY211" s="1488"/>
    </row>
    <row r="212" spans="2:51" s="1489" customFormat="1" ht="36">
      <c r="B212" s="1488"/>
      <c r="C212" s="868"/>
      <c r="D212" s="886" t="s">
        <v>1276</v>
      </c>
      <c r="E212" s="887"/>
      <c r="F212" s="869"/>
      <c r="G212" s="869"/>
      <c r="H212" s="869"/>
      <c r="I212" s="869"/>
      <c r="J212" s="869"/>
      <c r="K212" s="869"/>
      <c r="L212" s="869"/>
      <c r="M212" s="869"/>
      <c r="N212" s="1488"/>
      <c r="O212" s="1488"/>
      <c r="AR212" s="1488"/>
      <c r="AS212" s="1488"/>
      <c r="AT212" s="1488"/>
      <c r="AU212" s="1488"/>
      <c r="AV212" s="1488"/>
      <c r="AW212" s="1488"/>
      <c r="AX212" s="1488"/>
      <c r="AY212" s="1488"/>
    </row>
    <row r="213" spans="2:51" s="1489" customFormat="1" ht="36">
      <c r="B213" s="1488"/>
      <c r="C213" s="870" t="s">
        <v>1277</v>
      </c>
      <c r="D213" s="854" t="s">
        <v>1278</v>
      </c>
      <c r="E213" s="855" t="s">
        <v>946</v>
      </c>
      <c r="F213" s="855" t="s">
        <v>946</v>
      </c>
      <c r="G213" s="857">
        <f>'8.1-INF_COMPTZN VIS INSPECTION'!$F$29</f>
        <v>0</v>
      </c>
      <c r="H213" s="857">
        <f>'8.1-INF_COMPTZN VIS INSPECTION'!$G$29</f>
        <v>0</v>
      </c>
      <c r="I213" s="857">
        <f>'8.1-INF_COMPTZN VIS INSPECTION'!$H$29</f>
        <v>0</v>
      </c>
      <c r="J213" s="856" t="s">
        <v>946</v>
      </c>
      <c r="K213" s="856" t="s">
        <v>946</v>
      </c>
      <c r="L213" s="856" t="s">
        <v>946</v>
      </c>
      <c r="M213" s="872"/>
      <c r="N213" s="1488"/>
      <c r="O213" s="1488"/>
      <c r="AR213" s="1488"/>
      <c r="AS213" s="1488"/>
      <c r="AT213" s="1488"/>
      <c r="AU213" s="1488"/>
      <c r="AV213" s="1488"/>
      <c r="AW213" s="1488"/>
      <c r="AX213" s="1488"/>
      <c r="AY213" s="1488"/>
    </row>
    <row r="214" spans="2:51" s="1489" customFormat="1" ht="36">
      <c r="B214" s="1488"/>
      <c r="C214" s="870" t="s">
        <v>1279</v>
      </c>
      <c r="D214" s="854" t="s">
        <v>1280</v>
      </c>
      <c r="E214" s="864" t="s">
        <v>946</v>
      </c>
      <c r="F214" s="864" t="s">
        <v>946</v>
      </c>
      <c r="G214" s="877">
        <f>'8.1-INF_COMPTZN VIS INSPECTION'!F31</f>
        <v>0</v>
      </c>
      <c r="H214" s="877">
        <f>'8.1-INF_COMPTZN VIS INSPECTION'!G31</f>
        <v>0</v>
      </c>
      <c r="I214" s="877">
        <f>'8.1-INF_COMPTZN VIS INSPECTION'!H31</f>
        <v>0</v>
      </c>
      <c r="J214" s="878">
        <f>'8.1-INF_COMPTZN VIS INSPECTION'!J31</f>
        <v>0</v>
      </c>
      <c r="K214" s="878">
        <f>'8.1-INF_COMPTZN VIS INSPECTION'!G31</f>
        <v>0</v>
      </c>
      <c r="L214" s="878">
        <f>'8.1-INF_COMPTZN VIS INSPECTION'!I31</f>
        <v>0</v>
      </c>
      <c r="M214" s="872"/>
      <c r="N214" s="1488"/>
      <c r="O214" s="1488"/>
      <c r="AR214" s="1488"/>
      <c r="AS214" s="1488"/>
      <c r="AT214" s="1488"/>
      <c r="AU214" s="1488"/>
      <c r="AV214" s="1488"/>
      <c r="AW214" s="1488"/>
      <c r="AX214" s="1488"/>
      <c r="AY214" s="1488"/>
    </row>
    <row r="215" spans="2:51" s="1489" customFormat="1">
      <c r="B215" s="1488"/>
      <c r="C215" s="870" t="s">
        <v>1281</v>
      </c>
      <c r="D215" s="888" t="s">
        <v>1282</v>
      </c>
      <c r="E215" s="864" t="s">
        <v>946</v>
      </c>
      <c r="F215" s="864" t="s">
        <v>946</v>
      </c>
      <c r="G215" s="877" t="s">
        <v>946</v>
      </c>
      <c r="H215" s="877" t="s">
        <v>946</v>
      </c>
      <c r="I215" s="877" t="s">
        <v>946</v>
      </c>
      <c r="J215" s="878">
        <f>'8.1-INF_COMPTZN VIS INSPECTION'!J32</f>
        <v>0</v>
      </c>
      <c r="K215" s="878" t="s">
        <v>946</v>
      </c>
      <c r="L215" s="878">
        <f>'8.1-INF_COMPTZN VIS INSPECTION'!I32</f>
        <v>0</v>
      </c>
      <c r="M215" s="872"/>
      <c r="N215" s="1488"/>
      <c r="O215" s="1488"/>
      <c r="AR215" s="1488"/>
      <c r="AS215" s="1488"/>
      <c r="AT215" s="1488"/>
      <c r="AU215" s="1488"/>
      <c r="AV215" s="1488"/>
      <c r="AW215" s="1488"/>
      <c r="AX215" s="1488"/>
      <c r="AY215" s="1488"/>
    </row>
    <row r="216" spans="2:51" s="1489" customFormat="1">
      <c r="B216" s="1488"/>
      <c r="C216" s="870" t="s">
        <v>1283</v>
      </c>
      <c r="D216" s="888" t="s">
        <v>1284</v>
      </c>
      <c r="E216" s="864" t="s">
        <v>946</v>
      </c>
      <c r="F216" s="864" t="s">
        <v>946</v>
      </c>
      <c r="G216" s="877" t="s">
        <v>946</v>
      </c>
      <c r="H216" s="877" t="s">
        <v>946</v>
      </c>
      <c r="I216" s="877" t="s">
        <v>946</v>
      </c>
      <c r="J216" s="878">
        <f>'8.1-INF_COMPTZN VIS INSPECTION'!J33</f>
        <v>0</v>
      </c>
      <c r="K216" s="878" t="s">
        <v>946</v>
      </c>
      <c r="L216" s="878">
        <f>'8.1-INF_COMPTZN VIS INSPECTION'!I33</f>
        <v>0</v>
      </c>
      <c r="M216" s="872"/>
      <c r="N216" s="1488"/>
      <c r="O216" s="1488"/>
      <c r="AR216" s="1488"/>
      <c r="AS216" s="1488"/>
      <c r="AT216" s="1488"/>
      <c r="AU216" s="1488"/>
      <c r="AV216" s="1488"/>
      <c r="AW216" s="1488"/>
      <c r="AX216" s="1488"/>
      <c r="AY216" s="1488"/>
    </row>
    <row r="217" spans="2:51" s="1489" customFormat="1" ht="36">
      <c r="B217" s="1488"/>
      <c r="C217" s="870" t="s">
        <v>1285</v>
      </c>
      <c r="D217" s="888" t="s">
        <v>1286</v>
      </c>
      <c r="E217" s="864" t="s">
        <v>946</v>
      </c>
      <c r="F217" s="864" t="s">
        <v>946</v>
      </c>
      <c r="G217" s="877" t="s">
        <v>946</v>
      </c>
      <c r="H217" s="877" t="s">
        <v>946</v>
      </c>
      <c r="I217" s="877" t="s">
        <v>946</v>
      </c>
      <c r="J217" s="878">
        <f>'8.1-INF_COMPTZN VIS INSPECTION'!J35</f>
        <v>0</v>
      </c>
      <c r="K217" s="878" t="s">
        <v>946</v>
      </c>
      <c r="L217" s="878">
        <f>'8.1-INF_COMPTZN VIS INSPECTION'!I35</f>
        <v>0</v>
      </c>
      <c r="M217" s="872"/>
      <c r="N217" s="1488"/>
      <c r="O217" s="1488"/>
      <c r="AR217" s="1488"/>
      <c r="AS217" s="1488"/>
      <c r="AT217" s="1488"/>
      <c r="AU217" s="1488"/>
      <c r="AV217" s="1488"/>
      <c r="AW217" s="1488"/>
      <c r="AX217" s="1488"/>
      <c r="AY217" s="1488"/>
    </row>
    <row r="218" spans="2:51" s="1489" customFormat="1" ht="36">
      <c r="B218" s="1488"/>
      <c r="C218" s="870" t="s">
        <v>1287</v>
      </c>
      <c r="D218" s="888" t="s">
        <v>1288</v>
      </c>
      <c r="E218" s="864" t="s">
        <v>946</v>
      </c>
      <c r="F218" s="864" t="s">
        <v>946</v>
      </c>
      <c r="G218" s="877" t="s">
        <v>946</v>
      </c>
      <c r="H218" s="877" t="s">
        <v>946</v>
      </c>
      <c r="I218" s="877" t="s">
        <v>946</v>
      </c>
      <c r="J218" s="878">
        <f>'8.1-INF_COMPTZN VIS INSPECTION'!J34</f>
        <v>0</v>
      </c>
      <c r="K218" s="878" t="s">
        <v>946</v>
      </c>
      <c r="L218" s="878">
        <f>'8.1-INF_COMPTZN VIS INSPECTION'!I34</f>
        <v>0</v>
      </c>
      <c r="M218" s="872"/>
      <c r="N218" s="1488"/>
      <c r="O218" s="1488"/>
      <c r="AR218" s="1488"/>
      <c r="AS218" s="1488"/>
      <c r="AT218" s="1488"/>
      <c r="AU218" s="1488"/>
      <c r="AV218" s="1488"/>
      <c r="AW218" s="1488"/>
      <c r="AX218" s="1488"/>
      <c r="AY218" s="1488"/>
    </row>
    <row r="219" spans="2:51" s="1489" customFormat="1" ht="36">
      <c r="B219" s="1488"/>
      <c r="C219" s="870" t="s">
        <v>1289</v>
      </c>
      <c r="D219" s="888" t="s">
        <v>1290</v>
      </c>
      <c r="E219" s="864" t="s">
        <v>946</v>
      </c>
      <c r="F219" s="864" t="s">
        <v>946</v>
      </c>
      <c r="G219" s="877" t="s">
        <v>946</v>
      </c>
      <c r="H219" s="877" t="s">
        <v>946</v>
      </c>
      <c r="I219" s="877" t="s">
        <v>946</v>
      </c>
      <c r="J219" s="878">
        <f>'8.1-INF_COMPTZN VIS INSPECTION'!J37</f>
        <v>0</v>
      </c>
      <c r="K219" s="878" t="s">
        <v>946</v>
      </c>
      <c r="L219" s="878">
        <f>'8.1-INF_COMPTZN VIS INSPECTION'!I37</f>
        <v>0</v>
      </c>
      <c r="M219" s="872"/>
      <c r="N219" s="1488"/>
      <c r="O219" s="1488"/>
      <c r="AR219" s="1488"/>
      <c r="AS219" s="1488"/>
      <c r="AT219" s="1488"/>
      <c r="AU219" s="1488"/>
      <c r="AV219" s="1488"/>
      <c r="AW219" s="1488"/>
      <c r="AX219" s="1488"/>
      <c r="AY219" s="1488"/>
    </row>
    <row r="220" spans="2:51" s="1489" customFormat="1" ht="36">
      <c r="B220" s="1488"/>
      <c r="C220" s="870" t="s">
        <v>1291</v>
      </c>
      <c r="D220" s="888" t="s">
        <v>1292</v>
      </c>
      <c r="E220" s="864" t="s">
        <v>946</v>
      </c>
      <c r="F220" s="864" t="s">
        <v>946</v>
      </c>
      <c r="G220" s="877" t="s">
        <v>946</v>
      </c>
      <c r="H220" s="877" t="s">
        <v>946</v>
      </c>
      <c r="I220" s="877" t="s">
        <v>946</v>
      </c>
      <c r="J220" s="878">
        <f>'8.1-INF_COMPTZN VIS INSPECTION'!J36</f>
        <v>0</v>
      </c>
      <c r="K220" s="878" t="s">
        <v>946</v>
      </c>
      <c r="L220" s="878">
        <f>'8.1-INF_COMPTZN VIS INSPECTION'!I36</f>
        <v>0</v>
      </c>
      <c r="M220" s="872"/>
      <c r="N220" s="1488"/>
      <c r="O220" s="1488"/>
      <c r="AR220" s="1488"/>
      <c r="AS220" s="1488"/>
      <c r="AT220" s="1488"/>
      <c r="AU220" s="1488"/>
      <c r="AV220" s="1488"/>
      <c r="AW220" s="1488"/>
      <c r="AX220" s="1488"/>
      <c r="AY220" s="1488"/>
    </row>
    <row r="221" spans="2:51" s="1489" customFormat="1" ht="36">
      <c r="B221" s="1488"/>
      <c r="C221" s="870" t="s">
        <v>1293</v>
      </c>
      <c r="D221" s="888" t="s">
        <v>1294</v>
      </c>
      <c r="E221" s="864" t="s">
        <v>946</v>
      </c>
      <c r="F221" s="864" t="s">
        <v>946</v>
      </c>
      <c r="G221" s="877" t="s">
        <v>946</v>
      </c>
      <c r="H221" s="877" t="s">
        <v>946</v>
      </c>
      <c r="I221" s="877" t="s">
        <v>946</v>
      </c>
      <c r="J221" s="878">
        <f>'8.1-INF_COMPTZN VIS INSPECTION'!J38</f>
        <v>0</v>
      </c>
      <c r="K221" s="878" t="s">
        <v>946</v>
      </c>
      <c r="L221" s="878">
        <f>'8.1-INF_COMPTZN VIS INSPECTION'!I38</f>
        <v>0</v>
      </c>
      <c r="M221" s="872"/>
      <c r="N221" s="1488"/>
      <c r="O221" s="1488"/>
      <c r="AR221" s="1488"/>
      <c r="AS221" s="1488"/>
      <c r="AT221" s="1488"/>
      <c r="AU221" s="1488"/>
      <c r="AV221" s="1488"/>
      <c r="AW221" s="1488"/>
      <c r="AX221" s="1488"/>
      <c r="AY221" s="1488"/>
    </row>
    <row r="222" spans="2:51" s="1489" customFormat="1" ht="36">
      <c r="B222" s="1488"/>
      <c r="C222" s="870" t="s">
        <v>1295</v>
      </c>
      <c r="D222" s="888" t="s">
        <v>1296</v>
      </c>
      <c r="E222" s="864" t="s">
        <v>946</v>
      </c>
      <c r="F222" s="864" t="s">
        <v>946</v>
      </c>
      <c r="G222" s="877" t="s">
        <v>946</v>
      </c>
      <c r="H222" s="877" t="s">
        <v>946</v>
      </c>
      <c r="I222" s="877" t="s">
        <v>946</v>
      </c>
      <c r="J222" s="878">
        <f>'8.1-INF_COMPTZN VIS INSPECTION'!J39</f>
        <v>0</v>
      </c>
      <c r="K222" s="878" t="s">
        <v>946</v>
      </c>
      <c r="L222" s="878">
        <f>'8.1-INF_COMPTZN VIS INSPECTION'!I39</f>
        <v>0</v>
      </c>
      <c r="M222" s="872"/>
      <c r="N222" s="1488"/>
      <c r="O222" s="1488"/>
      <c r="AR222" s="1488"/>
      <c r="AS222" s="1488"/>
      <c r="AT222" s="1488"/>
      <c r="AU222" s="1488"/>
      <c r="AV222" s="1488"/>
      <c r="AW222" s="1488"/>
      <c r="AX222" s="1488"/>
      <c r="AY222" s="1488"/>
    </row>
    <row r="223" spans="2:51" s="1489" customFormat="1" ht="36">
      <c r="B223" s="1488"/>
      <c r="C223" s="870" t="s">
        <v>1297</v>
      </c>
      <c r="D223" s="888" t="s">
        <v>1298</v>
      </c>
      <c r="E223" s="864" t="s">
        <v>946</v>
      </c>
      <c r="F223" s="864" t="s">
        <v>946</v>
      </c>
      <c r="G223" s="877" t="s">
        <v>946</v>
      </c>
      <c r="H223" s="877" t="s">
        <v>946</v>
      </c>
      <c r="I223" s="877" t="s">
        <v>946</v>
      </c>
      <c r="J223" s="878">
        <f>'8.1-INF_COMPTZN VIS INSPECTION'!J40</f>
        <v>0</v>
      </c>
      <c r="K223" s="878" t="s">
        <v>946</v>
      </c>
      <c r="L223" s="878">
        <f>'8.1-INF_COMPTZN VIS INSPECTION'!I40</f>
        <v>0</v>
      </c>
      <c r="M223" s="872"/>
      <c r="N223" s="1488"/>
      <c r="O223" s="1488"/>
      <c r="AR223" s="1488"/>
      <c r="AS223" s="1488"/>
      <c r="AT223" s="1488"/>
      <c r="AU223" s="1488"/>
      <c r="AV223" s="1488"/>
      <c r="AW223" s="1488"/>
      <c r="AX223" s="1488"/>
      <c r="AY223" s="1488"/>
    </row>
    <row r="224" spans="2:51" s="1489" customFormat="1" ht="36">
      <c r="B224" s="1488"/>
      <c r="C224" s="870" t="s">
        <v>1299</v>
      </c>
      <c r="D224" s="888" t="s">
        <v>1300</v>
      </c>
      <c r="E224" s="864" t="s">
        <v>946</v>
      </c>
      <c r="F224" s="864" t="s">
        <v>946</v>
      </c>
      <c r="G224" s="877" t="s">
        <v>946</v>
      </c>
      <c r="H224" s="877" t="s">
        <v>946</v>
      </c>
      <c r="I224" s="877" t="s">
        <v>946</v>
      </c>
      <c r="J224" s="878">
        <f>'8.1-INF_COMPTZN VIS INSPECTION'!J41</f>
        <v>0</v>
      </c>
      <c r="K224" s="878" t="s">
        <v>946</v>
      </c>
      <c r="L224" s="878">
        <f>'8.1-INF_COMPTZN VIS INSPECTION'!I41</f>
        <v>0</v>
      </c>
      <c r="M224" s="872"/>
      <c r="N224" s="1488"/>
      <c r="O224" s="1488"/>
      <c r="AR224" s="1488"/>
      <c r="AS224" s="1488"/>
      <c r="AT224" s="1488"/>
      <c r="AU224" s="1488"/>
      <c r="AV224" s="1488"/>
      <c r="AW224" s="1488"/>
      <c r="AX224" s="1488"/>
      <c r="AY224" s="1488"/>
    </row>
    <row r="225" spans="2:51" s="1489" customFormat="1" ht="36">
      <c r="B225" s="1488"/>
      <c r="C225" s="870" t="s">
        <v>1301</v>
      </c>
      <c r="D225" s="888" t="s">
        <v>1302</v>
      </c>
      <c r="E225" s="864" t="s">
        <v>946</v>
      </c>
      <c r="F225" s="864" t="s">
        <v>946</v>
      </c>
      <c r="G225" s="877" t="s">
        <v>946</v>
      </c>
      <c r="H225" s="877" t="s">
        <v>946</v>
      </c>
      <c r="I225" s="877" t="s">
        <v>946</v>
      </c>
      <c r="J225" s="878">
        <f>'8.1-INF_COMPTZN VIS INSPECTION'!J42</f>
        <v>0</v>
      </c>
      <c r="K225" s="878" t="s">
        <v>946</v>
      </c>
      <c r="L225" s="878">
        <f>'8.1-INF_COMPTZN VIS INSPECTION'!I42</f>
        <v>0</v>
      </c>
      <c r="M225" s="872"/>
      <c r="N225" s="1488"/>
      <c r="O225" s="1488"/>
      <c r="AR225" s="1488"/>
      <c r="AS225" s="1488"/>
      <c r="AT225" s="1488"/>
      <c r="AU225" s="1488"/>
      <c r="AV225" s="1488"/>
      <c r="AW225" s="1488"/>
      <c r="AX225" s="1488"/>
      <c r="AY225" s="1488"/>
    </row>
    <row r="226" spans="2:51" s="1489" customFormat="1">
      <c r="B226" s="1488"/>
      <c r="C226" s="870" t="s">
        <v>1303</v>
      </c>
      <c r="D226" s="888" t="s">
        <v>1304</v>
      </c>
      <c r="E226" s="864" t="s">
        <v>946</v>
      </c>
      <c r="F226" s="864" t="s">
        <v>946</v>
      </c>
      <c r="G226" s="877" t="s">
        <v>946</v>
      </c>
      <c r="H226" s="877" t="s">
        <v>946</v>
      </c>
      <c r="I226" s="877" t="s">
        <v>946</v>
      </c>
      <c r="J226" s="878">
        <f>'8.1-INF_COMPTZN VIS INSPECTION'!J43</f>
        <v>0</v>
      </c>
      <c r="K226" s="878" t="s">
        <v>946</v>
      </c>
      <c r="L226" s="878">
        <f>'8.1-INF_COMPTZN VIS INSPECTION'!I43</f>
        <v>0</v>
      </c>
      <c r="M226" s="872"/>
      <c r="N226" s="1488"/>
      <c r="O226" s="1488"/>
      <c r="AR226" s="1488"/>
      <c r="AS226" s="1488"/>
      <c r="AT226" s="1488"/>
      <c r="AU226" s="1488"/>
      <c r="AV226" s="1488"/>
      <c r="AW226" s="1488"/>
      <c r="AX226" s="1488"/>
      <c r="AY226" s="1488"/>
    </row>
    <row r="227" spans="2:51" s="1489" customFormat="1" ht="36">
      <c r="B227" s="1488"/>
      <c r="C227" s="870" t="s">
        <v>1305</v>
      </c>
      <c r="D227" s="888" t="s">
        <v>1306</v>
      </c>
      <c r="E227" s="864" t="s">
        <v>946</v>
      </c>
      <c r="F227" s="864" t="s">
        <v>946</v>
      </c>
      <c r="G227" s="877" t="s">
        <v>946</v>
      </c>
      <c r="H227" s="877" t="s">
        <v>946</v>
      </c>
      <c r="I227" s="877" t="s">
        <v>946</v>
      </c>
      <c r="J227" s="878">
        <f>'8.1-INF_COMPTZN VIS INSPECTION'!J44</f>
        <v>0</v>
      </c>
      <c r="K227" s="878" t="s">
        <v>946</v>
      </c>
      <c r="L227" s="878">
        <f>'8.1-INF_COMPTZN VIS INSPECTION'!I44</f>
        <v>0</v>
      </c>
      <c r="M227" s="872"/>
      <c r="N227" s="1488"/>
      <c r="O227" s="1488"/>
      <c r="AR227" s="1488"/>
      <c r="AS227" s="1488"/>
      <c r="AT227" s="1488"/>
      <c r="AU227" s="1488"/>
      <c r="AV227" s="1488"/>
      <c r="AW227" s="1488"/>
      <c r="AX227" s="1488"/>
      <c r="AY227" s="1488"/>
    </row>
    <row r="228" spans="2:51" s="1489" customFormat="1">
      <c r="B228" s="1488"/>
      <c r="C228" s="870" t="s">
        <v>1307</v>
      </c>
      <c r="D228" s="888" t="s">
        <v>1308</v>
      </c>
      <c r="E228" s="864" t="s">
        <v>946</v>
      </c>
      <c r="F228" s="864" t="s">
        <v>946</v>
      </c>
      <c r="G228" s="877" t="s">
        <v>946</v>
      </c>
      <c r="H228" s="877" t="s">
        <v>946</v>
      </c>
      <c r="I228" s="877" t="s">
        <v>946</v>
      </c>
      <c r="J228" s="878">
        <f>'8.1-INF_COMPTZN VIS INSPECTION'!J45</f>
        <v>0</v>
      </c>
      <c r="K228" s="878" t="s">
        <v>946</v>
      </c>
      <c r="L228" s="878">
        <f>'8.1-INF_COMPTZN VIS INSPECTION'!I45</f>
        <v>0</v>
      </c>
      <c r="M228" s="872"/>
      <c r="N228" s="1488"/>
      <c r="O228" s="1488"/>
      <c r="AR228" s="1488"/>
      <c r="AS228" s="1488"/>
      <c r="AT228" s="1488"/>
      <c r="AU228" s="1488"/>
      <c r="AV228" s="1488"/>
      <c r="AW228" s="1488"/>
      <c r="AX228" s="1488"/>
      <c r="AY228" s="1488"/>
    </row>
    <row r="229" spans="2:51">
      <c r="C229" s="870" t="s">
        <v>1309</v>
      </c>
      <c r="D229" s="888" t="s">
        <v>1310</v>
      </c>
      <c r="E229" s="864" t="s">
        <v>946</v>
      </c>
      <c r="F229" s="864" t="s">
        <v>946</v>
      </c>
      <c r="G229" s="877" t="s">
        <v>946</v>
      </c>
      <c r="H229" s="877" t="s">
        <v>946</v>
      </c>
      <c r="I229" s="877" t="s">
        <v>946</v>
      </c>
      <c r="J229" s="878">
        <f>'8.1-INF_COMPTZN VIS INSPECTION'!J46</f>
        <v>0</v>
      </c>
      <c r="K229" s="878" t="s">
        <v>946</v>
      </c>
      <c r="L229" s="878">
        <f>'8.1-INF_COMPTZN VIS INSPECTION'!I46</f>
        <v>0</v>
      </c>
      <c r="M229" s="872"/>
      <c r="N229" s="1488"/>
      <c r="O229" s="1488"/>
    </row>
    <row r="230" spans="2:51">
      <c r="C230" s="870" t="s">
        <v>1311</v>
      </c>
      <c r="D230" s="888" t="s">
        <v>1312</v>
      </c>
      <c r="E230" s="864" t="s">
        <v>946</v>
      </c>
      <c r="F230" s="864" t="s">
        <v>946</v>
      </c>
      <c r="G230" s="877" t="s">
        <v>946</v>
      </c>
      <c r="H230" s="877" t="s">
        <v>946</v>
      </c>
      <c r="I230" s="877" t="s">
        <v>946</v>
      </c>
      <c r="J230" s="878">
        <f>'8.1-INF_COMPTZN VIS INSPECTION'!J47</f>
        <v>0</v>
      </c>
      <c r="K230" s="878" t="s">
        <v>946</v>
      </c>
      <c r="L230" s="878">
        <f>'8.1-INF_COMPTZN VIS INSPECTION'!I47</f>
        <v>0</v>
      </c>
      <c r="M230" s="872"/>
      <c r="N230" s="1488"/>
      <c r="O230" s="1488"/>
    </row>
    <row r="231" spans="2:51">
      <c r="C231" s="870" t="s">
        <v>1313</v>
      </c>
      <c r="D231" s="888" t="s">
        <v>1314</v>
      </c>
      <c r="E231" s="864" t="s">
        <v>946</v>
      </c>
      <c r="F231" s="864" t="s">
        <v>946</v>
      </c>
      <c r="G231" s="877" t="s">
        <v>946</v>
      </c>
      <c r="H231" s="877" t="s">
        <v>946</v>
      </c>
      <c r="I231" s="877" t="s">
        <v>946</v>
      </c>
      <c r="J231" s="878">
        <f>'8.1-INF_COMPTZN VIS INSPECTION'!J48</f>
        <v>0</v>
      </c>
      <c r="K231" s="878" t="s">
        <v>946</v>
      </c>
      <c r="L231" s="878">
        <f>'8.1-INF_COMPTZN VIS INSPECTION'!I48</f>
        <v>0</v>
      </c>
      <c r="M231" s="872"/>
      <c r="N231" s="1488"/>
      <c r="O231" s="1488"/>
    </row>
    <row r="232" spans="2:51">
      <c r="C232" s="870" t="s">
        <v>1315</v>
      </c>
      <c r="D232" s="888" t="s">
        <v>1316</v>
      </c>
      <c r="E232" s="864" t="s">
        <v>946</v>
      </c>
      <c r="F232" s="864" t="s">
        <v>946</v>
      </c>
      <c r="G232" s="877" t="s">
        <v>946</v>
      </c>
      <c r="H232" s="877" t="s">
        <v>946</v>
      </c>
      <c r="I232" s="877" t="s">
        <v>946</v>
      </c>
      <c r="J232" s="878">
        <f>'8.1-INF_COMPTZN VIS INSPECTION'!J49</f>
        <v>0</v>
      </c>
      <c r="K232" s="878" t="s">
        <v>946</v>
      </c>
      <c r="L232" s="878">
        <f>'8.1-INF_COMPTZN VIS INSPECTION'!I49</f>
        <v>0</v>
      </c>
      <c r="M232" s="872"/>
      <c r="N232" s="1488"/>
      <c r="O232" s="1488"/>
    </row>
    <row r="233" spans="2:51">
      <c r="C233" s="870" t="s">
        <v>1317</v>
      </c>
      <c r="D233" s="888" t="s">
        <v>1318</v>
      </c>
      <c r="E233" s="864" t="s">
        <v>946</v>
      </c>
      <c r="F233" s="864" t="s">
        <v>946</v>
      </c>
      <c r="G233" s="877" t="s">
        <v>946</v>
      </c>
      <c r="H233" s="877" t="s">
        <v>946</v>
      </c>
      <c r="I233" s="877" t="s">
        <v>946</v>
      </c>
      <c r="J233" s="878">
        <f>'8.1-INF_COMPTZN VIS INSPECTION'!J50</f>
        <v>0</v>
      </c>
      <c r="K233" s="878" t="s">
        <v>946</v>
      </c>
      <c r="L233" s="878">
        <f>'8.1-INF_COMPTZN VIS INSPECTION'!I50</f>
        <v>0</v>
      </c>
      <c r="M233" s="872"/>
      <c r="N233" s="1488"/>
      <c r="O233" s="1488"/>
    </row>
    <row r="234" spans="2:51">
      <c r="C234" s="870" t="s">
        <v>1319</v>
      </c>
      <c r="D234" s="888" t="s">
        <v>1320</v>
      </c>
      <c r="E234" s="864" t="s">
        <v>946</v>
      </c>
      <c r="F234" s="864" t="s">
        <v>946</v>
      </c>
      <c r="G234" s="877" t="s">
        <v>946</v>
      </c>
      <c r="H234" s="877" t="s">
        <v>946</v>
      </c>
      <c r="I234" s="877" t="s">
        <v>946</v>
      </c>
      <c r="J234" s="878">
        <f>'8.1-INF_COMPTZN VIS INSPECTION'!J51</f>
        <v>0</v>
      </c>
      <c r="K234" s="878" t="s">
        <v>946</v>
      </c>
      <c r="L234" s="878">
        <f>'8.1-INF_COMPTZN VIS INSPECTION'!I51</f>
        <v>0</v>
      </c>
      <c r="M234" s="872"/>
      <c r="N234" s="1488"/>
      <c r="O234" s="1488"/>
    </row>
    <row r="235" spans="2:51">
      <c r="C235" s="870" t="s">
        <v>1321</v>
      </c>
      <c r="D235" s="888" t="s">
        <v>276</v>
      </c>
      <c r="E235" s="864" t="s">
        <v>946</v>
      </c>
      <c r="F235" s="864" t="s">
        <v>946</v>
      </c>
      <c r="G235" s="877" t="s">
        <v>946</v>
      </c>
      <c r="H235" s="877" t="s">
        <v>946</v>
      </c>
      <c r="I235" s="877" t="s">
        <v>946</v>
      </c>
      <c r="J235" s="878">
        <f>'8.1-INF_COMPTZN VIS INSPECTION'!J52</f>
        <v>0</v>
      </c>
      <c r="K235" s="878" t="s">
        <v>946</v>
      </c>
      <c r="L235" s="878">
        <f>'8.1-INF_COMPTZN VIS INSPECTION'!I52</f>
        <v>0</v>
      </c>
      <c r="M235" s="872"/>
      <c r="N235" s="1488"/>
      <c r="O235" s="1488"/>
    </row>
    <row r="236" spans="2:51">
      <c r="C236" s="873"/>
      <c r="D236" s="875" t="s">
        <v>1322</v>
      </c>
      <c r="E236" s="875"/>
      <c r="F236" s="875"/>
      <c r="G236" s="875"/>
      <c r="H236" s="875"/>
      <c r="I236" s="875"/>
      <c r="J236" s="875"/>
      <c r="K236" s="875"/>
      <c r="L236" s="875"/>
      <c r="M236" s="1506"/>
      <c r="N236" s="1488"/>
      <c r="O236" s="1488"/>
    </row>
    <row r="237" spans="2:51" ht="36">
      <c r="C237" s="870" t="s">
        <v>1323</v>
      </c>
      <c r="D237" s="854" t="s">
        <v>1324</v>
      </c>
      <c r="E237" s="855" t="s">
        <v>946</v>
      </c>
      <c r="F237" s="855" t="s">
        <v>946</v>
      </c>
      <c r="G237" s="857">
        <f>'8.1 - INF_BLOWER DOOR TEST'!H30</f>
        <v>0</v>
      </c>
      <c r="H237" s="857">
        <f>'8.1 - INF_BLOWER DOOR TEST'!I30</f>
        <v>0</v>
      </c>
      <c r="I237" s="857">
        <f>'8.1 - INF_BLOWER DOOR TEST'!J30</f>
        <v>0</v>
      </c>
      <c r="J237" s="856" t="s">
        <v>946</v>
      </c>
      <c r="K237" s="856" t="s">
        <v>946</v>
      </c>
      <c r="L237" s="856" t="s">
        <v>946</v>
      </c>
      <c r="M237" s="872"/>
      <c r="N237" s="1488"/>
      <c r="O237" s="1488"/>
    </row>
    <row r="238" spans="2:51" ht="36">
      <c r="C238" s="870" t="s">
        <v>1325</v>
      </c>
      <c r="D238" s="888" t="s">
        <v>1326</v>
      </c>
      <c r="E238" s="864" t="s">
        <v>946</v>
      </c>
      <c r="F238" s="864" t="s">
        <v>946</v>
      </c>
      <c r="G238" s="877">
        <f>'8.1 - INF_BLOWER DOOR TEST'!H33</f>
        <v>0</v>
      </c>
      <c r="H238" s="877">
        <f>'8.1 - INF_BLOWER DOOR TEST'!I33</f>
        <v>0</v>
      </c>
      <c r="I238" s="877">
        <f>'8.1 - INF_BLOWER DOOR TEST'!J33</f>
        <v>0</v>
      </c>
      <c r="J238" s="878">
        <f>'8.1 - INF_BLOWER DOOR TEST'!L33</f>
        <v>0</v>
      </c>
      <c r="K238" s="878">
        <f>'8.1 - INF_BLOWER DOOR TEST'!I33</f>
        <v>0</v>
      </c>
      <c r="L238" s="878">
        <f>'8.1 - INF_BLOWER DOOR TEST'!K33</f>
        <v>0</v>
      </c>
      <c r="M238" s="872"/>
      <c r="N238" s="1488"/>
      <c r="O238" s="1488"/>
    </row>
    <row r="239" spans="2:51" ht="36">
      <c r="C239" s="870" t="s">
        <v>1327</v>
      </c>
      <c r="D239" s="888" t="s">
        <v>2106</v>
      </c>
      <c r="E239" s="864" t="s">
        <v>946</v>
      </c>
      <c r="F239" s="864" t="s">
        <v>946</v>
      </c>
      <c r="G239" s="877" t="s">
        <v>946</v>
      </c>
      <c r="H239" s="877" t="s">
        <v>946</v>
      </c>
      <c r="I239" s="877" t="s">
        <v>946</v>
      </c>
      <c r="J239" s="878">
        <f>'8.1 - INF_BLOWER DOOR TEST'!L34</f>
        <v>0</v>
      </c>
      <c r="K239" s="878" t="s">
        <v>946</v>
      </c>
      <c r="L239" s="878">
        <f>'8.1 - INF_BLOWER DOOR TEST'!K34</f>
        <v>0</v>
      </c>
      <c r="M239" s="872"/>
      <c r="N239" s="1488"/>
      <c r="O239" s="1488"/>
    </row>
    <row r="240" spans="2:51">
      <c r="C240" s="870" t="s">
        <v>1328</v>
      </c>
      <c r="D240" s="888" t="s">
        <v>1329</v>
      </c>
      <c r="E240" s="864" t="s">
        <v>946</v>
      </c>
      <c r="F240" s="864" t="s">
        <v>946</v>
      </c>
      <c r="G240" s="877" t="s">
        <v>946</v>
      </c>
      <c r="H240" s="877" t="s">
        <v>946</v>
      </c>
      <c r="I240" s="877" t="s">
        <v>946</v>
      </c>
      <c r="J240" s="878">
        <f>'8.1 - INF_BLOWER DOOR TEST'!L35</f>
        <v>0</v>
      </c>
      <c r="K240" s="878" t="s">
        <v>946</v>
      </c>
      <c r="L240" s="878">
        <f>'8.1 - INF_BLOWER DOOR TEST'!K35</f>
        <v>0</v>
      </c>
      <c r="M240" s="872"/>
      <c r="N240" s="1488"/>
      <c r="O240" s="1488"/>
    </row>
    <row r="241" spans="2:51">
      <c r="C241" s="870" t="s">
        <v>1330</v>
      </c>
      <c r="D241" s="888" t="s">
        <v>1331</v>
      </c>
      <c r="E241" s="864" t="s">
        <v>946</v>
      </c>
      <c r="F241" s="864" t="s">
        <v>946</v>
      </c>
      <c r="G241" s="877" t="s">
        <v>946</v>
      </c>
      <c r="H241" s="877" t="s">
        <v>946</v>
      </c>
      <c r="I241" s="877" t="s">
        <v>946</v>
      </c>
      <c r="J241" s="878">
        <f>'8.1 - INF_BLOWER DOOR TEST'!L36</f>
        <v>0</v>
      </c>
      <c r="K241" s="878" t="s">
        <v>946</v>
      </c>
      <c r="L241" s="878">
        <f>'8.1 - INF_BLOWER DOOR TEST'!K36</f>
        <v>0</v>
      </c>
      <c r="M241" s="872"/>
      <c r="N241" s="1488"/>
      <c r="O241" s="1488"/>
    </row>
    <row r="242" spans="2:51" s="1504" customFormat="1">
      <c r="C242" s="858">
        <v>8.5</v>
      </c>
      <c r="D242" s="859" t="s">
        <v>683</v>
      </c>
      <c r="E242" s="860"/>
      <c r="F242" s="860"/>
      <c r="G242" s="860"/>
      <c r="H242" s="860"/>
      <c r="I242" s="860"/>
      <c r="J242" s="860"/>
      <c r="K242" s="860"/>
      <c r="L242" s="861"/>
      <c r="M242" s="847"/>
      <c r="P242" s="1505"/>
      <c r="Q242" s="1505"/>
      <c r="R242" s="1505"/>
      <c r="S242" s="1505"/>
      <c r="T242" s="1505"/>
      <c r="U242" s="1505"/>
      <c r="V242" s="1505"/>
      <c r="W242" s="1505"/>
      <c r="X242" s="1505"/>
      <c r="Y242" s="1505"/>
      <c r="Z242" s="1505"/>
      <c r="AA242" s="1505"/>
      <c r="AB242" s="1505"/>
      <c r="AC242" s="1505"/>
      <c r="AD242" s="1505"/>
      <c r="AE242" s="1505"/>
      <c r="AF242" s="1505"/>
      <c r="AG242" s="1505"/>
      <c r="AH242" s="1505"/>
      <c r="AI242" s="1505"/>
      <c r="AJ242" s="1505"/>
      <c r="AK242" s="1505"/>
      <c r="AL242" s="1505"/>
      <c r="AM242" s="1505"/>
      <c r="AN242" s="1505"/>
      <c r="AO242" s="1505"/>
      <c r="AP242" s="1505"/>
      <c r="AQ242" s="1505"/>
    </row>
    <row r="243" spans="2:51" ht="36">
      <c r="C243" s="870" t="s">
        <v>1332</v>
      </c>
      <c r="D243" s="854" t="s">
        <v>1333</v>
      </c>
      <c r="E243" s="855" t="s">
        <v>946</v>
      </c>
      <c r="F243" s="855" t="s">
        <v>946</v>
      </c>
      <c r="G243" s="857">
        <f>'8.2 - VENT_SCHEDULE&amp;TAB REPORT'!$H$33</f>
        <v>0</v>
      </c>
      <c r="H243" s="857">
        <f>'8.2 - VENT_SCHEDULE&amp;TAB REPORT'!$O$33</f>
        <v>0</v>
      </c>
      <c r="I243" s="857">
        <f>'8.2 - VENT_SCHEDULE&amp;TAB REPORT'!$P$33</f>
        <v>0</v>
      </c>
      <c r="J243" s="856" t="s">
        <v>946</v>
      </c>
      <c r="K243" s="856" t="s">
        <v>946</v>
      </c>
      <c r="L243" s="856" t="s">
        <v>946</v>
      </c>
      <c r="M243" s="872"/>
      <c r="N243" s="1488"/>
      <c r="O243" s="1488"/>
    </row>
    <row r="244" spans="2:51" ht="54.75">
      <c r="C244" s="870" t="s">
        <v>1334</v>
      </c>
      <c r="D244" s="854" t="s">
        <v>1335</v>
      </c>
      <c r="E244" s="855" t="s">
        <v>946</v>
      </c>
      <c r="F244" s="855" t="s">
        <v>946</v>
      </c>
      <c r="G244" s="857">
        <f>'8.2 - VENT_SCHEDULE&amp;TAB REPORT'!$H$34</f>
        <v>0</v>
      </c>
      <c r="H244" s="857">
        <f>'8.2 - VENT_SCHEDULE&amp;TAB REPORT'!$O$34</f>
        <v>0</v>
      </c>
      <c r="I244" s="857">
        <f>'8.2 - VENT_SCHEDULE&amp;TAB REPORT'!$P$34</f>
        <v>0</v>
      </c>
      <c r="J244" s="856" t="s">
        <v>946</v>
      </c>
      <c r="K244" s="856" t="s">
        <v>946</v>
      </c>
      <c r="L244" s="856" t="s">
        <v>946</v>
      </c>
      <c r="M244" s="872"/>
      <c r="N244" s="1488"/>
      <c r="O244" s="1488"/>
    </row>
    <row r="245" spans="2:51" s="1489" customFormat="1" ht="36">
      <c r="B245" s="1488"/>
      <c r="C245" s="870" t="s">
        <v>1336</v>
      </c>
      <c r="D245" s="854" t="s">
        <v>1337</v>
      </c>
      <c r="E245" s="855" t="s">
        <v>946</v>
      </c>
      <c r="F245" s="855" t="s">
        <v>946</v>
      </c>
      <c r="G245" s="857">
        <f>'8.2 - VENT_SCHEDULE&amp;TAB REPORT'!$H$35</f>
        <v>0</v>
      </c>
      <c r="H245" s="857">
        <f>'8.2 - VENT_SCHEDULE&amp;TAB REPORT'!$O$35</f>
        <v>0</v>
      </c>
      <c r="I245" s="857">
        <f>'8.2 - VENT_SCHEDULE&amp;TAB REPORT'!$P$35</f>
        <v>0</v>
      </c>
      <c r="J245" s="856" t="s">
        <v>946</v>
      </c>
      <c r="K245" s="856" t="s">
        <v>946</v>
      </c>
      <c r="L245" s="856" t="s">
        <v>946</v>
      </c>
      <c r="M245" s="872"/>
      <c r="N245" s="1488"/>
      <c r="O245" s="1488"/>
      <c r="AR245" s="1488"/>
      <c r="AS245" s="1488"/>
      <c r="AT245" s="1488"/>
      <c r="AU245" s="1488"/>
      <c r="AV245" s="1488"/>
      <c r="AW245" s="1488"/>
      <c r="AX245" s="1488"/>
      <c r="AY245" s="1488"/>
    </row>
    <row r="246" spans="2:51" s="1489" customFormat="1">
      <c r="B246" s="1488"/>
      <c r="C246" s="873"/>
      <c r="D246" s="875" t="s">
        <v>1338</v>
      </c>
      <c r="E246" s="875"/>
      <c r="F246" s="875"/>
      <c r="G246" s="875"/>
      <c r="H246" s="875"/>
      <c r="I246" s="875"/>
      <c r="J246" s="875"/>
      <c r="K246" s="875"/>
      <c r="L246" s="875"/>
      <c r="M246" s="1506"/>
      <c r="N246" s="1488"/>
      <c r="O246" s="1488"/>
      <c r="AR246" s="1488"/>
      <c r="AS246" s="1488"/>
      <c r="AT246" s="1488"/>
      <c r="AU246" s="1488"/>
      <c r="AV246" s="1488"/>
      <c r="AW246" s="1488"/>
      <c r="AX246" s="1488"/>
      <c r="AY246" s="1488"/>
    </row>
    <row r="247" spans="2:51" s="1489" customFormat="1">
      <c r="B247" s="1488"/>
      <c r="C247" s="870" t="s">
        <v>1339</v>
      </c>
      <c r="D247" s="854" t="s">
        <v>949</v>
      </c>
      <c r="E247" s="864" t="s">
        <v>946</v>
      </c>
      <c r="F247" s="864" t="s">
        <v>946</v>
      </c>
      <c r="G247" s="877">
        <f>'8.2 - VENT_SCHEDULE&amp;TAB REPORT'!H50</f>
        <v>0</v>
      </c>
      <c r="H247" s="877">
        <f>'8.2 - VENT_SCHEDULE&amp;TAB REPORT'!O50</f>
        <v>0</v>
      </c>
      <c r="I247" s="877">
        <f>'8.2 - VENT_SCHEDULE&amp;TAB REPORT'!P50</f>
        <v>0</v>
      </c>
      <c r="J247" s="878">
        <f>'8.2 - VENT_SCHEDULE&amp;TAB REPORT'!R50</f>
        <v>0</v>
      </c>
      <c r="K247" s="878">
        <f>'8.2 - VENT_SCHEDULE&amp;TAB REPORT'!O50</f>
        <v>0</v>
      </c>
      <c r="L247" s="878">
        <f>'8.2 - VENT_SCHEDULE&amp;TAB REPORT'!Q50</f>
        <v>0</v>
      </c>
      <c r="M247" s="872"/>
      <c r="N247" s="1488"/>
      <c r="O247" s="1488"/>
      <c r="AR247" s="1488"/>
      <c r="AS247" s="1488"/>
      <c r="AT247" s="1488"/>
      <c r="AU247" s="1488"/>
      <c r="AV247" s="1488"/>
      <c r="AW247" s="1488"/>
      <c r="AX247" s="1488"/>
      <c r="AY247" s="1488"/>
    </row>
    <row r="248" spans="2:51" s="1489" customFormat="1" ht="36">
      <c r="B248" s="1488"/>
      <c r="C248" s="868"/>
      <c r="D248" s="869" t="s">
        <v>1340</v>
      </c>
      <c r="E248" s="869"/>
      <c r="F248" s="869"/>
      <c r="G248" s="869"/>
      <c r="H248" s="869"/>
      <c r="I248" s="869"/>
      <c r="J248" s="869"/>
      <c r="K248" s="869"/>
      <c r="L248" s="869"/>
      <c r="M248" s="869"/>
      <c r="N248" s="1488"/>
      <c r="O248" s="1488"/>
      <c r="AR248" s="1488"/>
      <c r="AS248" s="1488"/>
      <c r="AT248" s="1488"/>
      <c r="AU248" s="1488"/>
      <c r="AV248" s="1488"/>
      <c r="AW248" s="1488"/>
      <c r="AX248" s="1488"/>
      <c r="AY248" s="1488"/>
    </row>
    <row r="249" spans="2:51" s="1489" customFormat="1">
      <c r="B249" s="1488"/>
      <c r="C249" s="870" t="s">
        <v>1341</v>
      </c>
      <c r="D249" s="854" t="s">
        <v>1342</v>
      </c>
      <c r="E249" s="864">
        <f>'8.2 - VENT_SCHEDULE&amp;TAB REPORT'!F52</f>
        <v>0</v>
      </c>
      <c r="F249" s="864">
        <f>'8.2 - VENT_SCHEDULE&amp;TAB REPORT'!G52</f>
        <v>0</v>
      </c>
      <c r="G249" s="877">
        <f>'8.2 - VENT_SCHEDULE&amp;TAB REPORT'!H52</f>
        <v>0</v>
      </c>
      <c r="H249" s="877">
        <f>'8.2 - VENT_SCHEDULE&amp;TAB REPORT'!O52</f>
        <v>0</v>
      </c>
      <c r="I249" s="877">
        <f>'8.2 - VENT_SCHEDULE&amp;TAB REPORT'!P52</f>
        <v>0</v>
      </c>
      <c r="J249" s="878">
        <f>'8.2 - VENT_SCHEDULE&amp;TAB REPORT'!R52</f>
        <v>0</v>
      </c>
      <c r="K249" s="878">
        <f>'8.2 - VENT_SCHEDULE&amp;TAB REPORT'!O52</f>
        <v>0</v>
      </c>
      <c r="L249" s="878">
        <f>'8.2 - VENT_SCHEDULE&amp;TAB REPORT'!Q52</f>
        <v>0</v>
      </c>
      <c r="M249" s="872"/>
      <c r="N249" s="1488"/>
      <c r="O249" s="1488"/>
      <c r="AR249" s="1488"/>
      <c r="AS249" s="1488"/>
      <c r="AT249" s="1488"/>
      <c r="AU249" s="1488"/>
      <c r="AV249" s="1488"/>
      <c r="AW249" s="1488"/>
      <c r="AX249" s="1488"/>
      <c r="AY249" s="1488"/>
    </row>
    <row r="250" spans="2:51" s="1489" customFormat="1">
      <c r="B250" s="1488"/>
      <c r="C250" s="870" t="s">
        <v>1343</v>
      </c>
      <c r="D250" s="854" t="s">
        <v>1344</v>
      </c>
      <c r="E250" s="864">
        <f>'8.2 - VENT_SCHEDULE&amp;TAB REPORT'!F53</f>
        <v>0</v>
      </c>
      <c r="F250" s="864">
        <f>'8.2 - VENT_SCHEDULE&amp;TAB REPORT'!G53</f>
        <v>0</v>
      </c>
      <c r="G250" s="877">
        <f>'8.2 - VENT_SCHEDULE&amp;TAB REPORT'!H53</f>
        <v>0</v>
      </c>
      <c r="H250" s="877">
        <f>'8.2 - VENT_SCHEDULE&amp;TAB REPORT'!O53</f>
        <v>0</v>
      </c>
      <c r="I250" s="877">
        <f>'8.2 - VENT_SCHEDULE&amp;TAB REPORT'!P53</f>
        <v>0</v>
      </c>
      <c r="J250" s="878">
        <f>'8.2 - VENT_SCHEDULE&amp;TAB REPORT'!R53</f>
        <v>0</v>
      </c>
      <c r="K250" s="878">
        <f>'8.2 - VENT_SCHEDULE&amp;TAB REPORT'!O53</f>
        <v>0</v>
      </c>
      <c r="L250" s="878">
        <f>'8.2 - VENT_SCHEDULE&amp;TAB REPORT'!Q53</f>
        <v>0</v>
      </c>
      <c r="M250" s="872"/>
      <c r="N250" s="1488"/>
      <c r="O250" s="1488"/>
      <c r="AR250" s="1488"/>
      <c r="AS250" s="1488"/>
      <c r="AT250" s="1488"/>
      <c r="AU250" s="1488"/>
      <c r="AV250" s="1488"/>
      <c r="AW250" s="1488"/>
      <c r="AX250" s="1488"/>
      <c r="AY250" s="1488"/>
    </row>
    <row r="251" spans="2:51" s="1489" customFormat="1" ht="36">
      <c r="B251" s="1488"/>
      <c r="C251" s="870" t="s">
        <v>1345</v>
      </c>
      <c r="D251" s="854" t="s">
        <v>1346</v>
      </c>
      <c r="E251" s="864">
        <f>'8.2 - VENT_SCHEDULE&amp;TAB REPORT'!F54</f>
        <v>0</v>
      </c>
      <c r="F251" s="864">
        <f>'8.2 - VENT_SCHEDULE&amp;TAB REPORT'!G54</f>
        <v>0</v>
      </c>
      <c r="G251" s="877">
        <f>'8.2 - VENT_SCHEDULE&amp;TAB REPORT'!H54</f>
        <v>0</v>
      </c>
      <c r="H251" s="877">
        <f>'8.2 - VENT_SCHEDULE&amp;TAB REPORT'!O54</f>
        <v>0</v>
      </c>
      <c r="I251" s="877">
        <f>'8.2 - VENT_SCHEDULE&amp;TAB REPORT'!P54</f>
        <v>0</v>
      </c>
      <c r="J251" s="878">
        <f>'8.2 - VENT_SCHEDULE&amp;TAB REPORT'!R54</f>
        <v>0</v>
      </c>
      <c r="K251" s="878">
        <f>'8.2 - VENT_SCHEDULE&amp;TAB REPORT'!O54</f>
        <v>0</v>
      </c>
      <c r="L251" s="878">
        <f>'8.2 - VENT_SCHEDULE&amp;TAB REPORT'!Q54</f>
        <v>0</v>
      </c>
      <c r="M251" s="872"/>
      <c r="N251" s="1488"/>
      <c r="O251" s="1488"/>
      <c r="AR251" s="1488"/>
      <c r="AS251" s="1488"/>
      <c r="AT251" s="1488"/>
      <c r="AU251" s="1488"/>
      <c r="AV251" s="1488"/>
      <c r="AW251" s="1488"/>
      <c r="AX251" s="1488"/>
      <c r="AY251" s="1488"/>
    </row>
    <row r="252" spans="2:51" s="1489" customFormat="1" ht="36">
      <c r="B252" s="1488"/>
      <c r="C252" s="870" t="s">
        <v>1347</v>
      </c>
      <c r="D252" s="854" t="s">
        <v>2105</v>
      </c>
      <c r="E252" s="864">
        <f>'8.2 - VENT_SCHEDULE&amp;TAB REPORT'!F55</f>
        <v>0</v>
      </c>
      <c r="F252" s="864">
        <f>'8.2 - VENT_SCHEDULE&amp;TAB REPORT'!G55</f>
        <v>0</v>
      </c>
      <c r="G252" s="877">
        <f>'8.2 - VENT_SCHEDULE&amp;TAB REPORT'!H55</f>
        <v>0</v>
      </c>
      <c r="H252" s="877">
        <f>'8.2 - VENT_SCHEDULE&amp;TAB REPORT'!O55</f>
        <v>0</v>
      </c>
      <c r="I252" s="877">
        <f>'8.2 - VENT_SCHEDULE&amp;TAB REPORT'!P55</f>
        <v>0</v>
      </c>
      <c r="J252" s="878">
        <f>'8.2 - VENT_SCHEDULE&amp;TAB REPORT'!R55</f>
        <v>0</v>
      </c>
      <c r="K252" s="878">
        <f>'8.2 - VENT_SCHEDULE&amp;TAB REPORT'!O55</f>
        <v>0</v>
      </c>
      <c r="L252" s="878">
        <f>'8.2 - VENT_SCHEDULE&amp;TAB REPORT'!Q55</f>
        <v>0</v>
      </c>
      <c r="M252" s="872"/>
      <c r="N252" s="1488"/>
      <c r="O252" s="1488"/>
      <c r="AR252" s="1488"/>
      <c r="AS252" s="1488"/>
      <c r="AT252" s="1488"/>
      <c r="AU252" s="1488"/>
      <c r="AV252" s="1488"/>
      <c r="AW252" s="1488"/>
      <c r="AX252" s="1488"/>
      <c r="AY252" s="1488"/>
    </row>
    <row r="253" spans="2:51" s="1489" customFormat="1">
      <c r="B253" s="1488"/>
      <c r="C253" s="870" t="s">
        <v>1348</v>
      </c>
      <c r="D253" s="854" t="s">
        <v>1349</v>
      </c>
      <c r="E253" s="864">
        <f>'8.2 - VENT_SCHEDULE&amp;TAB REPORT'!F56</f>
        <v>0</v>
      </c>
      <c r="F253" s="864">
        <f>'8.2 - VENT_SCHEDULE&amp;TAB REPORT'!G56</f>
        <v>0</v>
      </c>
      <c r="G253" s="877">
        <f>'8.2 - VENT_SCHEDULE&amp;TAB REPORT'!H56</f>
        <v>0</v>
      </c>
      <c r="H253" s="877">
        <f>'8.2 - VENT_SCHEDULE&amp;TAB REPORT'!O56</f>
        <v>0</v>
      </c>
      <c r="I253" s="877">
        <f>'8.2 - VENT_SCHEDULE&amp;TAB REPORT'!P56</f>
        <v>0</v>
      </c>
      <c r="J253" s="878">
        <f>'8.2 - VENT_SCHEDULE&amp;TAB REPORT'!R56</f>
        <v>0</v>
      </c>
      <c r="K253" s="878">
        <f>'8.2 - VENT_SCHEDULE&amp;TAB REPORT'!O56</f>
        <v>0</v>
      </c>
      <c r="L253" s="878">
        <f>'8.2 - VENT_SCHEDULE&amp;TAB REPORT'!Q56</f>
        <v>0</v>
      </c>
      <c r="M253" s="872"/>
      <c r="N253" s="1488"/>
      <c r="O253" s="1488"/>
      <c r="AR253" s="1488"/>
      <c r="AS253" s="1488"/>
      <c r="AT253" s="1488"/>
      <c r="AU253" s="1488"/>
      <c r="AV253" s="1488"/>
      <c r="AW253" s="1488"/>
      <c r="AX253" s="1488"/>
      <c r="AY253" s="1488"/>
    </row>
    <row r="254" spans="2:51" s="1489" customFormat="1">
      <c r="B254" s="1488"/>
      <c r="C254" s="870" t="s">
        <v>1350</v>
      </c>
      <c r="D254" s="854" t="s">
        <v>1351</v>
      </c>
      <c r="E254" s="864">
        <f>'8.2 - VENT_SCHEDULE&amp;TAB REPORT'!F57</f>
        <v>0</v>
      </c>
      <c r="F254" s="864">
        <f>'8.2 - VENT_SCHEDULE&amp;TAB REPORT'!G57</f>
        <v>0</v>
      </c>
      <c r="G254" s="877">
        <f>'8.2 - VENT_SCHEDULE&amp;TAB REPORT'!H57</f>
        <v>0</v>
      </c>
      <c r="H254" s="877">
        <f>'8.2 - VENT_SCHEDULE&amp;TAB REPORT'!O57</f>
        <v>0</v>
      </c>
      <c r="I254" s="877">
        <f>'8.2 - VENT_SCHEDULE&amp;TAB REPORT'!P57</f>
        <v>0</v>
      </c>
      <c r="J254" s="878">
        <f>'8.2 - VENT_SCHEDULE&amp;TAB REPORT'!R57</f>
        <v>0</v>
      </c>
      <c r="K254" s="878">
        <f>'8.2 - VENT_SCHEDULE&amp;TAB REPORT'!O57</f>
        <v>0</v>
      </c>
      <c r="L254" s="878">
        <f>'8.2 - VENT_SCHEDULE&amp;TAB REPORT'!Q57</f>
        <v>0</v>
      </c>
      <c r="M254" s="872"/>
      <c r="N254" s="1488"/>
      <c r="O254" s="1488"/>
      <c r="AR254" s="1488"/>
      <c r="AS254" s="1488"/>
      <c r="AT254" s="1488"/>
      <c r="AU254" s="1488"/>
      <c r="AV254" s="1488"/>
      <c r="AW254" s="1488"/>
      <c r="AX254" s="1488"/>
      <c r="AY254" s="1488"/>
    </row>
    <row r="255" spans="2:51" s="1489" customFormat="1">
      <c r="B255" s="1488"/>
      <c r="C255" s="873"/>
      <c r="D255" s="875" t="s">
        <v>1352</v>
      </c>
      <c r="E255" s="875"/>
      <c r="F255" s="875"/>
      <c r="G255" s="875"/>
      <c r="H255" s="875"/>
      <c r="I255" s="875"/>
      <c r="J255" s="875"/>
      <c r="K255" s="875"/>
      <c r="L255" s="875"/>
      <c r="M255" s="1506"/>
      <c r="N255" s="1488"/>
      <c r="O255" s="1488"/>
      <c r="AR255" s="1488"/>
      <c r="AS255" s="1488"/>
      <c r="AT255" s="1488"/>
      <c r="AU255" s="1488"/>
      <c r="AV255" s="1488"/>
      <c r="AW255" s="1488"/>
      <c r="AX255" s="1488"/>
      <c r="AY255" s="1488"/>
    </row>
    <row r="256" spans="2:51" s="1489" customFormat="1">
      <c r="B256" s="1488"/>
      <c r="C256" s="870" t="s">
        <v>1353</v>
      </c>
      <c r="D256" s="854" t="s">
        <v>1354</v>
      </c>
      <c r="E256" s="864" t="s">
        <v>946</v>
      </c>
      <c r="F256" s="864" t="s">
        <v>946</v>
      </c>
      <c r="G256" s="877">
        <f>'8.2 - VENT_SCHEDULE&amp;TAB REPORT'!H59</f>
        <v>0</v>
      </c>
      <c r="H256" s="877">
        <f>'8.2 - VENT_SCHEDULE&amp;TAB REPORT'!O59</f>
        <v>0</v>
      </c>
      <c r="I256" s="877">
        <f>'8.2 - VENT_SCHEDULE&amp;TAB REPORT'!P59</f>
        <v>0</v>
      </c>
      <c r="J256" s="878">
        <f>'8.2 - VENT_SCHEDULE&amp;TAB REPORT'!R59</f>
        <v>0</v>
      </c>
      <c r="K256" s="878">
        <f>'8.2 - VENT_SCHEDULE&amp;TAB REPORT'!O59</f>
        <v>0</v>
      </c>
      <c r="L256" s="878">
        <f>'8.2 - VENT_SCHEDULE&amp;TAB REPORT'!Q59</f>
        <v>0</v>
      </c>
      <c r="M256" s="872"/>
      <c r="N256" s="1488"/>
      <c r="O256" s="1488"/>
      <c r="AR256" s="1488"/>
      <c r="AS256" s="1488"/>
      <c r="AT256" s="1488"/>
      <c r="AU256" s="1488"/>
      <c r="AV256" s="1488"/>
      <c r="AW256" s="1488"/>
      <c r="AX256" s="1488"/>
      <c r="AY256" s="1488"/>
    </row>
    <row r="257" spans="2:51" s="1489" customFormat="1">
      <c r="B257" s="1488"/>
      <c r="C257" s="870" t="s">
        <v>1355</v>
      </c>
      <c r="D257" s="854" t="s">
        <v>1356</v>
      </c>
      <c r="E257" s="864" t="s">
        <v>946</v>
      </c>
      <c r="F257" s="864" t="s">
        <v>946</v>
      </c>
      <c r="G257" s="877">
        <f>'8.2 - VENT_SCHEDULE&amp;TAB REPORT'!H60</f>
        <v>0</v>
      </c>
      <c r="H257" s="877">
        <f>'8.2 - VENT_SCHEDULE&amp;TAB REPORT'!O60</f>
        <v>0</v>
      </c>
      <c r="I257" s="877">
        <f>'8.2 - VENT_SCHEDULE&amp;TAB REPORT'!P60</f>
        <v>0</v>
      </c>
      <c r="J257" s="878">
        <f>'8.2 - VENT_SCHEDULE&amp;TAB REPORT'!R60</f>
        <v>0</v>
      </c>
      <c r="K257" s="878">
        <f>'8.2 - VENT_SCHEDULE&amp;TAB REPORT'!O60</f>
        <v>0</v>
      </c>
      <c r="L257" s="878">
        <f>'8.2 - VENT_SCHEDULE&amp;TAB REPORT'!Q60</f>
        <v>0</v>
      </c>
      <c r="M257" s="872"/>
      <c r="N257" s="1488"/>
      <c r="O257" s="1488"/>
      <c r="AR257" s="1488"/>
      <c r="AS257" s="1488"/>
      <c r="AT257" s="1488"/>
      <c r="AU257" s="1488"/>
      <c r="AV257" s="1488"/>
      <c r="AW257" s="1488"/>
      <c r="AX257" s="1488"/>
      <c r="AY257" s="1488"/>
    </row>
    <row r="258" spans="2:51" s="1489" customFormat="1" ht="36">
      <c r="B258" s="1488"/>
      <c r="C258" s="870" t="s">
        <v>1357</v>
      </c>
      <c r="D258" s="854" t="s">
        <v>1358</v>
      </c>
      <c r="E258" s="864" t="s">
        <v>946</v>
      </c>
      <c r="F258" s="864" t="s">
        <v>946</v>
      </c>
      <c r="G258" s="877">
        <f>'8.2 - VENT_SCHEDULE&amp;TAB REPORT'!H61</f>
        <v>0</v>
      </c>
      <c r="H258" s="877">
        <f>'8.2 - VENT_SCHEDULE&amp;TAB REPORT'!O61</f>
        <v>0</v>
      </c>
      <c r="I258" s="877">
        <f>'8.2 - VENT_SCHEDULE&amp;TAB REPORT'!P61</f>
        <v>0</v>
      </c>
      <c r="J258" s="878">
        <f>'8.2 - VENT_SCHEDULE&amp;TAB REPORT'!R61</f>
        <v>0</v>
      </c>
      <c r="K258" s="878">
        <f>'8.2 - VENT_SCHEDULE&amp;TAB REPORT'!O61</f>
        <v>0</v>
      </c>
      <c r="L258" s="878">
        <f>'8.2 - VENT_SCHEDULE&amp;TAB REPORT'!Q61</f>
        <v>0</v>
      </c>
      <c r="M258" s="872"/>
      <c r="N258" s="1488"/>
      <c r="O258" s="1488"/>
      <c r="AR258" s="1488"/>
      <c r="AS258" s="1488"/>
      <c r="AT258" s="1488"/>
      <c r="AU258" s="1488"/>
      <c r="AV258" s="1488"/>
      <c r="AW258" s="1488"/>
      <c r="AX258" s="1488"/>
      <c r="AY258" s="1488"/>
    </row>
    <row r="259" spans="2:51" s="1489" customFormat="1">
      <c r="B259" s="1488"/>
      <c r="C259" s="873"/>
      <c r="D259" s="875" t="s">
        <v>1359</v>
      </c>
      <c r="E259" s="875"/>
      <c r="F259" s="875"/>
      <c r="G259" s="875"/>
      <c r="H259" s="875"/>
      <c r="I259" s="875"/>
      <c r="J259" s="875"/>
      <c r="K259" s="875"/>
      <c r="L259" s="875"/>
      <c r="M259" s="1506"/>
      <c r="N259" s="1488"/>
      <c r="O259" s="1488"/>
      <c r="AR259" s="1488"/>
      <c r="AS259" s="1488"/>
      <c r="AT259" s="1488"/>
      <c r="AU259" s="1488"/>
      <c r="AV259" s="1488"/>
      <c r="AW259" s="1488"/>
      <c r="AX259" s="1488"/>
      <c r="AY259" s="1488"/>
    </row>
    <row r="260" spans="2:51" s="1489" customFormat="1" ht="54">
      <c r="B260" s="1488"/>
      <c r="C260" s="870" t="s">
        <v>1360</v>
      </c>
      <c r="D260" s="854" t="s">
        <v>1361</v>
      </c>
      <c r="E260" s="864" t="s">
        <v>946</v>
      </c>
      <c r="F260" s="864" t="s">
        <v>946</v>
      </c>
      <c r="G260" s="877">
        <f>'8.2 - VENT_SCHEDULE&amp;TAB REPORT'!H63</f>
        <v>0</v>
      </c>
      <c r="H260" s="877">
        <f>'8.2 - VENT_SCHEDULE&amp;TAB REPORT'!O63</f>
        <v>0</v>
      </c>
      <c r="I260" s="877">
        <f>'8.2 - VENT_SCHEDULE&amp;TAB REPORT'!P63</f>
        <v>0</v>
      </c>
      <c r="J260" s="878">
        <f>'8.2 - VENT_SCHEDULE&amp;TAB REPORT'!R63</f>
        <v>0</v>
      </c>
      <c r="K260" s="878">
        <f>'8.2 - VENT_SCHEDULE&amp;TAB REPORT'!O63</f>
        <v>0</v>
      </c>
      <c r="L260" s="878">
        <f>'8.2 - VENT_SCHEDULE&amp;TAB REPORT'!Q63</f>
        <v>0</v>
      </c>
      <c r="M260" s="872"/>
      <c r="N260" s="1488"/>
      <c r="O260" s="1488"/>
      <c r="AR260" s="1488"/>
      <c r="AS260" s="1488"/>
      <c r="AT260" s="1488"/>
      <c r="AU260" s="1488"/>
      <c r="AV260" s="1488"/>
      <c r="AW260" s="1488"/>
      <c r="AX260" s="1488"/>
      <c r="AY260" s="1488"/>
    </row>
    <row r="261" spans="2:51" s="1489" customFormat="1" ht="36">
      <c r="B261" s="1488"/>
      <c r="C261" s="870" t="s">
        <v>1362</v>
      </c>
      <c r="D261" s="854" t="s">
        <v>1365</v>
      </c>
      <c r="E261" s="864" t="s">
        <v>946</v>
      </c>
      <c r="F261" s="864" t="s">
        <v>946</v>
      </c>
      <c r="G261" s="877">
        <f>'8.2 - VENT_SCHEDULE&amp;TAB REPORT'!H64</f>
        <v>0</v>
      </c>
      <c r="H261" s="877">
        <f>'8.2 - VENT_SCHEDULE&amp;TAB REPORT'!O64</f>
        <v>0</v>
      </c>
      <c r="I261" s="877">
        <f>'8.2 - VENT_SCHEDULE&amp;TAB REPORT'!P64</f>
        <v>0</v>
      </c>
      <c r="J261" s="878">
        <f>'8.2 - VENT_SCHEDULE&amp;TAB REPORT'!R64</f>
        <v>0</v>
      </c>
      <c r="K261" s="878">
        <f>'8.2 - VENT_SCHEDULE&amp;TAB REPORT'!O64</f>
        <v>0</v>
      </c>
      <c r="L261" s="878">
        <f>'8.2 - VENT_SCHEDULE&amp;TAB REPORT'!Q64</f>
        <v>0</v>
      </c>
      <c r="M261" s="872"/>
      <c r="N261" s="1488"/>
      <c r="O261" s="1488"/>
      <c r="AR261" s="1488"/>
      <c r="AS261" s="1488"/>
      <c r="AT261" s="1488"/>
      <c r="AU261" s="1488"/>
      <c r="AV261" s="1488"/>
      <c r="AW261" s="1488"/>
      <c r="AX261" s="1488"/>
      <c r="AY261" s="1488"/>
    </row>
    <row r="262" spans="2:51" s="1489" customFormat="1" ht="36">
      <c r="B262" s="1488"/>
      <c r="C262" s="870" t="s">
        <v>1363</v>
      </c>
      <c r="D262" s="854" t="s">
        <v>2104</v>
      </c>
      <c r="E262" s="864" t="s">
        <v>946</v>
      </c>
      <c r="F262" s="864" t="s">
        <v>946</v>
      </c>
      <c r="G262" s="877">
        <f>'8.2 - VENT_SCHEDULE&amp;TAB REPORT'!H65</f>
        <v>0</v>
      </c>
      <c r="H262" s="877">
        <f>'8.2 - VENT_SCHEDULE&amp;TAB REPORT'!O65</f>
        <v>0</v>
      </c>
      <c r="I262" s="877">
        <f>'8.2 - VENT_SCHEDULE&amp;TAB REPORT'!P65</f>
        <v>0</v>
      </c>
      <c r="J262" s="878">
        <f>'8.2 - VENT_SCHEDULE&amp;TAB REPORT'!R65</f>
        <v>0</v>
      </c>
      <c r="K262" s="878">
        <f>'8.2 - VENT_SCHEDULE&amp;TAB REPORT'!O65</f>
        <v>0</v>
      </c>
      <c r="L262" s="878">
        <f>'8.2 - VENT_SCHEDULE&amp;TAB REPORT'!Q65</f>
        <v>0</v>
      </c>
      <c r="M262" s="872"/>
      <c r="N262" s="1488"/>
      <c r="O262" s="1488"/>
      <c r="AR262" s="1488"/>
      <c r="AS262" s="1488"/>
      <c r="AT262" s="1488"/>
      <c r="AU262" s="1488"/>
      <c r="AV262" s="1488"/>
      <c r="AW262" s="1488"/>
      <c r="AX262" s="1488"/>
      <c r="AY262" s="1488"/>
    </row>
    <row r="263" spans="2:51" s="1489" customFormat="1" ht="36">
      <c r="B263" s="1488"/>
      <c r="C263" s="870" t="s">
        <v>1364</v>
      </c>
      <c r="D263" s="854" t="s">
        <v>2103</v>
      </c>
      <c r="E263" s="864" t="s">
        <v>946</v>
      </c>
      <c r="F263" s="864" t="s">
        <v>946</v>
      </c>
      <c r="G263" s="877">
        <f>'8.2 - VENT_SCHEDULE&amp;TAB REPORT'!H66</f>
        <v>0</v>
      </c>
      <c r="H263" s="877">
        <f>'8.2 - VENT_SCHEDULE&amp;TAB REPORT'!O66</f>
        <v>0</v>
      </c>
      <c r="I263" s="877">
        <f>'8.2 - VENT_SCHEDULE&amp;TAB REPORT'!P66</f>
        <v>0</v>
      </c>
      <c r="J263" s="878">
        <f>'8.2 - VENT_SCHEDULE&amp;TAB REPORT'!R66</f>
        <v>0</v>
      </c>
      <c r="K263" s="878">
        <f>'8.2 - VENT_SCHEDULE&amp;TAB REPORT'!O66</f>
        <v>0</v>
      </c>
      <c r="L263" s="878">
        <f>'8.2 - VENT_SCHEDULE&amp;TAB REPORT'!Q66</f>
        <v>0</v>
      </c>
      <c r="M263" s="872"/>
      <c r="N263" s="1488"/>
      <c r="O263" s="1488"/>
      <c r="AR263" s="1488"/>
      <c r="AS263" s="1488"/>
      <c r="AT263" s="1488"/>
      <c r="AU263" s="1488"/>
      <c r="AV263" s="1488"/>
      <c r="AW263" s="1488"/>
      <c r="AX263" s="1488"/>
      <c r="AY263" s="1488"/>
    </row>
    <row r="264" spans="2:51" s="1489" customFormat="1">
      <c r="B264" s="1488"/>
      <c r="C264" s="870" t="s">
        <v>1366</v>
      </c>
      <c r="D264" s="854" t="s">
        <v>1367</v>
      </c>
      <c r="E264" s="864" t="s">
        <v>946</v>
      </c>
      <c r="F264" s="864" t="s">
        <v>946</v>
      </c>
      <c r="G264" s="877">
        <f>'8.2 - VENT_SCHEDULE&amp;TAB REPORT'!H67</f>
        <v>0</v>
      </c>
      <c r="H264" s="877">
        <f>'8.2 - VENT_SCHEDULE&amp;TAB REPORT'!O67</f>
        <v>0</v>
      </c>
      <c r="I264" s="877">
        <f>'8.2 - VENT_SCHEDULE&amp;TAB REPORT'!P67</f>
        <v>0</v>
      </c>
      <c r="J264" s="878">
        <f>'8.2 - VENT_SCHEDULE&amp;TAB REPORT'!R67</f>
        <v>0</v>
      </c>
      <c r="K264" s="878">
        <f>'8.2 - VENT_SCHEDULE&amp;TAB REPORT'!O67</f>
        <v>0</v>
      </c>
      <c r="L264" s="878">
        <f>'8.2 - VENT_SCHEDULE&amp;TAB REPORT'!Q67</f>
        <v>0</v>
      </c>
      <c r="M264" s="872"/>
      <c r="N264" s="1488"/>
      <c r="O264" s="1488"/>
      <c r="AR264" s="1488"/>
      <c r="AS264" s="1488"/>
      <c r="AT264" s="1488"/>
      <c r="AU264" s="1488"/>
      <c r="AV264" s="1488"/>
      <c r="AW264" s="1488"/>
      <c r="AX264" s="1488"/>
      <c r="AY264" s="1488"/>
    </row>
    <row r="265" spans="2:51" s="1489" customFormat="1" ht="36">
      <c r="B265" s="1488"/>
      <c r="C265" s="870" t="s">
        <v>1368</v>
      </c>
      <c r="D265" s="854" t="s">
        <v>1369</v>
      </c>
      <c r="E265" s="864" t="s">
        <v>946</v>
      </c>
      <c r="F265" s="864" t="s">
        <v>946</v>
      </c>
      <c r="G265" s="877" t="s">
        <v>946</v>
      </c>
      <c r="H265" s="877" t="s">
        <v>946</v>
      </c>
      <c r="I265" s="877" t="s">
        <v>946</v>
      </c>
      <c r="J265" s="878">
        <f>'8.2 - VENT_SCHEDULE&amp;TAB REPORT'!R68</f>
        <v>0</v>
      </c>
      <c r="K265" s="878" t="s">
        <v>946</v>
      </c>
      <c r="L265" s="878">
        <f>'8.2 - VENT_SCHEDULE&amp;TAB REPORT'!Q68</f>
        <v>0</v>
      </c>
      <c r="M265" s="872"/>
      <c r="N265" s="1488"/>
      <c r="O265" s="1488"/>
      <c r="AR265" s="1488"/>
      <c r="AS265" s="1488"/>
      <c r="AT265" s="1488"/>
      <c r="AU265" s="1488"/>
      <c r="AV265" s="1488"/>
      <c r="AW265" s="1488"/>
      <c r="AX265" s="1488"/>
      <c r="AY265" s="1488"/>
    </row>
    <row r="266" spans="2:51" s="1489" customFormat="1" ht="36">
      <c r="B266" s="1488"/>
      <c r="C266" s="870" t="s">
        <v>1370</v>
      </c>
      <c r="D266" s="854" t="s">
        <v>1371</v>
      </c>
      <c r="E266" s="864" t="s">
        <v>946</v>
      </c>
      <c r="F266" s="864" t="s">
        <v>946</v>
      </c>
      <c r="G266" s="877" t="s">
        <v>946</v>
      </c>
      <c r="H266" s="877" t="s">
        <v>946</v>
      </c>
      <c r="I266" s="877" t="s">
        <v>946</v>
      </c>
      <c r="J266" s="878">
        <f>'8.2 - VENT_SCHEDULE&amp;TAB REPORT'!R69</f>
        <v>0</v>
      </c>
      <c r="K266" s="878" t="s">
        <v>946</v>
      </c>
      <c r="L266" s="878">
        <f>'8.2 - VENT_SCHEDULE&amp;TAB REPORT'!Q69</f>
        <v>0</v>
      </c>
      <c r="M266" s="872"/>
      <c r="N266" s="1488"/>
      <c r="O266" s="1488"/>
      <c r="AR266" s="1488"/>
      <c r="AS266" s="1488"/>
      <c r="AT266" s="1488"/>
      <c r="AU266" s="1488"/>
      <c r="AV266" s="1488"/>
      <c r="AW266" s="1488"/>
      <c r="AX266" s="1488"/>
      <c r="AY266" s="1488"/>
    </row>
    <row r="267" spans="2:51" s="1489" customFormat="1" ht="36">
      <c r="B267" s="1488"/>
      <c r="C267" s="870" t="s">
        <v>1372</v>
      </c>
      <c r="D267" s="854" t="s">
        <v>1373</v>
      </c>
      <c r="E267" s="864" t="s">
        <v>946</v>
      </c>
      <c r="F267" s="864" t="s">
        <v>946</v>
      </c>
      <c r="G267" s="877" t="s">
        <v>946</v>
      </c>
      <c r="H267" s="877" t="s">
        <v>946</v>
      </c>
      <c r="I267" s="877" t="s">
        <v>946</v>
      </c>
      <c r="J267" s="878">
        <f>'8.2 - VENT_SCHEDULE&amp;TAB REPORT'!R70</f>
        <v>0</v>
      </c>
      <c r="K267" s="878" t="s">
        <v>946</v>
      </c>
      <c r="L267" s="878">
        <f>'8.2 - VENT_SCHEDULE&amp;TAB REPORT'!Q70</f>
        <v>0</v>
      </c>
      <c r="M267" s="872"/>
      <c r="N267" s="1488"/>
      <c r="O267" s="1488"/>
      <c r="AR267" s="1488"/>
      <c r="AS267" s="1488"/>
      <c r="AT267" s="1488"/>
      <c r="AU267" s="1488"/>
      <c r="AV267" s="1488"/>
      <c r="AW267" s="1488"/>
      <c r="AX267" s="1488"/>
      <c r="AY267" s="1488"/>
    </row>
    <row r="268" spans="2:51" s="1489" customFormat="1" ht="36">
      <c r="B268" s="1488"/>
      <c r="C268" s="870" t="s">
        <v>1374</v>
      </c>
      <c r="D268" s="854" t="s">
        <v>971</v>
      </c>
      <c r="E268" s="864" t="s">
        <v>946</v>
      </c>
      <c r="F268" s="864" t="s">
        <v>946</v>
      </c>
      <c r="G268" s="877" t="s">
        <v>946</v>
      </c>
      <c r="H268" s="877" t="s">
        <v>946</v>
      </c>
      <c r="I268" s="877" t="s">
        <v>946</v>
      </c>
      <c r="J268" s="878">
        <f>'8.2 - VENT_SCHEDULE&amp;TAB REPORT'!R71</f>
        <v>0</v>
      </c>
      <c r="K268" s="878" t="s">
        <v>946</v>
      </c>
      <c r="L268" s="878">
        <f>'8.2 - VENT_SCHEDULE&amp;TAB REPORT'!Q71</f>
        <v>0</v>
      </c>
      <c r="M268" s="872"/>
      <c r="N268" s="1488"/>
      <c r="O268" s="1488"/>
      <c r="AR268" s="1488"/>
      <c r="AS268" s="1488"/>
      <c r="AT268" s="1488"/>
      <c r="AU268" s="1488"/>
      <c r="AV268" s="1488"/>
      <c r="AW268" s="1488"/>
      <c r="AX268" s="1488"/>
      <c r="AY268" s="1488"/>
    </row>
    <row r="269" spans="2:51" s="1489" customFormat="1">
      <c r="B269" s="1488"/>
      <c r="C269" s="873"/>
      <c r="D269" s="875" t="s">
        <v>1375</v>
      </c>
      <c r="E269" s="875"/>
      <c r="F269" s="875"/>
      <c r="G269" s="875"/>
      <c r="H269" s="875"/>
      <c r="I269" s="875"/>
      <c r="J269" s="875"/>
      <c r="K269" s="875"/>
      <c r="L269" s="875"/>
      <c r="M269" s="1506"/>
      <c r="N269" s="1488"/>
      <c r="O269" s="1488"/>
      <c r="AR269" s="1488"/>
      <c r="AS269" s="1488"/>
      <c r="AT269" s="1488"/>
      <c r="AU269" s="1488"/>
      <c r="AV269" s="1488"/>
      <c r="AW269" s="1488"/>
      <c r="AX269" s="1488"/>
      <c r="AY269" s="1488"/>
    </row>
    <row r="270" spans="2:51" s="1489" customFormat="1" ht="36">
      <c r="B270" s="1488"/>
      <c r="C270" s="870" t="s">
        <v>1376</v>
      </c>
      <c r="D270" s="854" t="s">
        <v>1377</v>
      </c>
      <c r="E270" s="855" t="s">
        <v>946</v>
      </c>
      <c r="F270" s="855" t="s">
        <v>946</v>
      </c>
      <c r="G270" s="857">
        <f>'8.2 - VENT_DUCT TIGHTNESS'!$F$30</f>
        <v>0</v>
      </c>
      <c r="H270" s="857">
        <f>'8.2 - VENT_DUCT TIGHTNESS'!$G$30</f>
        <v>0</v>
      </c>
      <c r="I270" s="857">
        <f>'8.2 - VENT_DUCT TIGHTNESS'!$H$30</f>
        <v>0</v>
      </c>
      <c r="J270" s="856" t="s">
        <v>946</v>
      </c>
      <c r="K270" s="856" t="s">
        <v>946</v>
      </c>
      <c r="L270" s="856" t="s">
        <v>946</v>
      </c>
      <c r="M270" s="872"/>
      <c r="N270" s="1488"/>
      <c r="O270" s="1488"/>
      <c r="AR270" s="1488"/>
      <c r="AS270" s="1488"/>
      <c r="AT270" s="1488"/>
      <c r="AU270" s="1488"/>
      <c r="AV270" s="1488"/>
      <c r="AW270" s="1488"/>
      <c r="AX270" s="1488"/>
      <c r="AY270" s="1488"/>
    </row>
    <row r="271" spans="2:51" s="1489" customFormat="1" ht="36">
      <c r="B271" s="1488"/>
      <c r="C271" s="870" t="s">
        <v>1378</v>
      </c>
      <c r="D271" s="854" t="s">
        <v>1379</v>
      </c>
      <c r="E271" s="864">
        <f>'8.2 - VENT_DUCT TIGHTNESS'!D32</f>
        <v>0</v>
      </c>
      <c r="F271" s="864">
        <f>'8.2 - VENT_DUCT TIGHTNESS'!E32</f>
        <v>0</v>
      </c>
      <c r="G271" s="877">
        <f>'8.2 - VENT_DUCT TIGHTNESS'!F32</f>
        <v>0</v>
      </c>
      <c r="H271" s="877">
        <f>'8.2 - VENT_DUCT TIGHTNESS'!G32</f>
        <v>0</v>
      </c>
      <c r="I271" s="877">
        <f>'8.2 - VENT_DUCT TIGHTNESS'!H32</f>
        <v>0</v>
      </c>
      <c r="J271" s="878">
        <f>'8.2 - VENT_DUCT TIGHTNESS'!J32</f>
        <v>0</v>
      </c>
      <c r="K271" s="878">
        <f>'8.2 - VENT_DUCT TIGHTNESS'!G32</f>
        <v>0</v>
      </c>
      <c r="L271" s="878">
        <f>'8.2 - VENT_DUCT TIGHTNESS'!I32</f>
        <v>0</v>
      </c>
      <c r="M271" s="872"/>
      <c r="N271" s="1488"/>
      <c r="O271" s="1488"/>
      <c r="AR271" s="1488"/>
      <c r="AS271" s="1488"/>
      <c r="AT271" s="1488"/>
      <c r="AU271" s="1488"/>
      <c r="AV271" s="1488"/>
      <c r="AW271" s="1488"/>
      <c r="AX271" s="1488"/>
      <c r="AY271" s="1488"/>
    </row>
    <row r="272" spans="2:51" s="1489" customFormat="1">
      <c r="B272" s="1488"/>
      <c r="C272" s="870" t="s">
        <v>1380</v>
      </c>
      <c r="D272" s="854" t="s">
        <v>1381</v>
      </c>
      <c r="E272" s="864">
        <f>'8.2 - VENT_DUCT TIGHTNESS'!D32</f>
        <v>0</v>
      </c>
      <c r="F272" s="864">
        <f>'8.2 - VENT_DUCT TIGHTNESS'!E32</f>
        <v>0</v>
      </c>
      <c r="G272" s="877">
        <f>'8.2 - VENT_DUCT TIGHTNESS'!F33</f>
        <v>0</v>
      </c>
      <c r="H272" s="877">
        <f>'8.2 - VENT_DUCT TIGHTNESS'!G33</f>
        <v>0</v>
      </c>
      <c r="I272" s="877">
        <f>'8.2 - VENT_DUCT TIGHTNESS'!H33</f>
        <v>0</v>
      </c>
      <c r="J272" s="878">
        <f>'8.2 - VENT_DUCT TIGHTNESS'!J33</f>
        <v>0</v>
      </c>
      <c r="K272" s="878">
        <f>'8.2 - VENT_DUCT TIGHTNESS'!G33</f>
        <v>0</v>
      </c>
      <c r="L272" s="878">
        <f>'8.2 - VENT_DUCT TIGHTNESS'!I33</f>
        <v>0</v>
      </c>
      <c r="M272" s="872"/>
      <c r="N272" s="1488"/>
      <c r="O272" s="1488"/>
      <c r="AR272" s="1488"/>
      <c r="AS272" s="1488"/>
      <c r="AT272" s="1488"/>
      <c r="AU272" s="1488"/>
      <c r="AV272" s="1488"/>
      <c r="AW272" s="1488"/>
      <c r="AX272" s="1488"/>
      <c r="AY272" s="1488"/>
    </row>
    <row r="273" spans="2:51" s="1489" customFormat="1" ht="54">
      <c r="B273" s="1488"/>
      <c r="C273" s="870" t="s">
        <v>1382</v>
      </c>
      <c r="D273" s="854" t="s">
        <v>2102</v>
      </c>
      <c r="E273" s="864" t="s">
        <v>946</v>
      </c>
      <c r="F273" s="864" t="s">
        <v>946</v>
      </c>
      <c r="G273" s="877" t="s">
        <v>946</v>
      </c>
      <c r="H273" s="877" t="s">
        <v>946</v>
      </c>
      <c r="I273" s="877" t="s">
        <v>946</v>
      </c>
      <c r="J273" s="878">
        <f>'8.2 - VENT_DUCT TIGHTNESS'!J34</f>
        <v>0</v>
      </c>
      <c r="K273" s="878" t="s">
        <v>946</v>
      </c>
      <c r="L273" s="878">
        <f>'8.2 - VENT_DUCT TIGHTNESS'!I34</f>
        <v>0</v>
      </c>
      <c r="M273" s="872"/>
      <c r="N273" s="1488"/>
      <c r="O273" s="1488"/>
      <c r="AR273" s="1488"/>
      <c r="AS273" s="1488"/>
      <c r="AT273" s="1488"/>
      <c r="AU273" s="1488"/>
      <c r="AV273" s="1488"/>
      <c r="AW273" s="1488"/>
      <c r="AX273" s="1488"/>
      <c r="AY273" s="1488"/>
    </row>
    <row r="274" spans="2:51" s="1489" customFormat="1">
      <c r="B274" s="1488"/>
      <c r="C274" s="870" t="s">
        <v>1383</v>
      </c>
      <c r="D274" s="854" t="s">
        <v>1384</v>
      </c>
      <c r="E274" s="864" t="s">
        <v>946</v>
      </c>
      <c r="F274" s="864" t="s">
        <v>946</v>
      </c>
      <c r="G274" s="877" t="s">
        <v>946</v>
      </c>
      <c r="H274" s="877" t="s">
        <v>946</v>
      </c>
      <c r="I274" s="877" t="s">
        <v>946</v>
      </c>
      <c r="J274" s="878">
        <f>'8.2 - VENT_DUCT TIGHTNESS'!J35</f>
        <v>0</v>
      </c>
      <c r="K274" s="878" t="s">
        <v>946</v>
      </c>
      <c r="L274" s="878">
        <f>'8.2 - VENT_DUCT TIGHTNESS'!I35</f>
        <v>0</v>
      </c>
      <c r="M274" s="872"/>
      <c r="N274" s="1488"/>
      <c r="O274" s="1488"/>
      <c r="AR274" s="1488"/>
      <c r="AS274" s="1488"/>
      <c r="AT274" s="1488"/>
      <c r="AU274" s="1488"/>
      <c r="AV274" s="1488"/>
      <c r="AW274" s="1488"/>
      <c r="AX274" s="1488"/>
      <c r="AY274" s="1488"/>
    </row>
    <row r="275" spans="2:51" s="1489" customFormat="1" ht="36">
      <c r="B275" s="1488"/>
      <c r="C275" s="870" t="s">
        <v>1385</v>
      </c>
      <c r="D275" s="854" t="s">
        <v>1386</v>
      </c>
      <c r="E275" s="864" t="s">
        <v>946</v>
      </c>
      <c r="F275" s="864" t="s">
        <v>946</v>
      </c>
      <c r="G275" s="877" t="s">
        <v>946</v>
      </c>
      <c r="H275" s="877" t="s">
        <v>946</v>
      </c>
      <c r="I275" s="877" t="s">
        <v>946</v>
      </c>
      <c r="J275" s="878">
        <f>'8.2 - VENT_DUCT TIGHTNESS'!J36</f>
        <v>0</v>
      </c>
      <c r="K275" s="878" t="s">
        <v>946</v>
      </c>
      <c r="L275" s="878">
        <f>'8.2 - VENT_DUCT TIGHTNESS'!I36</f>
        <v>0</v>
      </c>
      <c r="M275" s="872"/>
      <c r="N275" s="1488"/>
      <c r="O275" s="1488"/>
      <c r="AR275" s="1488"/>
      <c r="AS275" s="1488"/>
      <c r="AT275" s="1488"/>
      <c r="AU275" s="1488"/>
      <c r="AV275" s="1488"/>
      <c r="AW275" s="1488"/>
      <c r="AX275" s="1488"/>
      <c r="AY275" s="1488"/>
    </row>
    <row r="276" spans="2:51" s="1489" customFormat="1" ht="36">
      <c r="B276" s="1488"/>
      <c r="C276" s="870" t="s">
        <v>1387</v>
      </c>
      <c r="D276" s="854" t="s">
        <v>1388</v>
      </c>
      <c r="E276" s="864" t="s">
        <v>946</v>
      </c>
      <c r="F276" s="864" t="s">
        <v>946</v>
      </c>
      <c r="G276" s="877" t="s">
        <v>946</v>
      </c>
      <c r="H276" s="877" t="s">
        <v>946</v>
      </c>
      <c r="I276" s="877" t="s">
        <v>946</v>
      </c>
      <c r="J276" s="878">
        <f>'8.2 - VENT_DUCT TIGHTNESS'!J37</f>
        <v>0</v>
      </c>
      <c r="K276" s="878" t="s">
        <v>946</v>
      </c>
      <c r="L276" s="878">
        <f>'8.2 - VENT_DUCT TIGHTNESS'!I37</f>
        <v>0</v>
      </c>
      <c r="M276" s="872"/>
      <c r="N276" s="1488"/>
      <c r="O276" s="1488"/>
      <c r="AR276" s="1488"/>
      <c r="AS276" s="1488"/>
      <c r="AT276" s="1488"/>
      <c r="AU276" s="1488"/>
      <c r="AV276" s="1488"/>
      <c r="AW276" s="1488"/>
      <c r="AX276" s="1488"/>
      <c r="AY276" s="1488"/>
    </row>
    <row r="277" spans="2:51" s="1489" customFormat="1" ht="36">
      <c r="B277" s="1488"/>
      <c r="C277" s="870" t="s">
        <v>1389</v>
      </c>
      <c r="D277" s="854" t="s">
        <v>1390</v>
      </c>
      <c r="E277" s="864" t="s">
        <v>946</v>
      </c>
      <c r="F277" s="864" t="s">
        <v>946</v>
      </c>
      <c r="G277" s="877" t="s">
        <v>946</v>
      </c>
      <c r="H277" s="877" t="s">
        <v>946</v>
      </c>
      <c r="I277" s="877" t="s">
        <v>946</v>
      </c>
      <c r="J277" s="878">
        <f>'8.2 - VENT_DUCT TIGHTNESS'!J38</f>
        <v>0</v>
      </c>
      <c r="K277" s="878" t="s">
        <v>946</v>
      </c>
      <c r="L277" s="878">
        <f>'8.2 - VENT_DUCT TIGHTNESS'!I38</f>
        <v>0</v>
      </c>
      <c r="M277" s="872"/>
      <c r="N277" s="1488"/>
      <c r="O277" s="1488"/>
      <c r="AR277" s="1488"/>
      <c r="AS277" s="1488"/>
      <c r="AT277" s="1488"/>
      <c r="AU277" s="1488"/>
      <c r="AV277" s="1488"/>
      <c r="AW277" s="1488"/>
      <c r="AX277" s="1488"/>
      <c r="AY277" s="1488"/>
    </row>
    <row r="278" spans="2:51">
      <c r="C278" s="870" t="s">
        <v>1391</v>
      </c>
      <c r="D278" s="854" t="s">
        <v>1392</v>
      </c>
      <c r="E278" s="864" t="s">
        <v>946</v>
      </c>
      <c r="F278" s="864" t="s">
        <v>946</v>
      </c>
      <c r="G278" s="877" t="s">
        <v>946</v>
      </c>
      <c r="H278" s="877" t="s">
        <v>946</v>
      </c>
      <c r="I278" s="877" t="s">
        <v>946</v>
      </c>
      <c r="J278" s="878">
        <f>'8.2 - VENT_DUCT TIGHTNESS'!J39</f>
        <v>0</v>
      </c>
      <c r="K278" s="878" t="s">
        <v>946</v>
      </c>
      <c r="L278" s="878">
        <f>'8.2 - VENT_DUCT TIGHTNESS'!I39</f>
        <v>0</v>
      </c>
      <c r="M278" s="872"/>
      <c r="N278" s="1488"/>
      <c r="O278" s="1488"/>
    </row>
    <row r="279" spans="2:51" ht="36">
      <c r="C279" s="870" t="s">
        <v>1393</v>
      </c>
      <c r="D279" s="854" t="s">
        <v>1394</v>
      </c>
      <c r="E279" s="864" t="s">
        <v>946</v>
      </c>
      <c r="F279" s="864" t="s">
        <v>946</v>
      </c>
      <c r="G279" s="877" t="s">
        <v>946</v>
      </c>
      <c r="H279" s="877" t="s">
        <v>946</v>
      </c>
      <c r="I279" s="877" t="s">
        <v>946</v>
      </c>
      <c r="J279" s="878">
        <f>'8.2 - VENT_DUCT TIGHTNESS'!J40</f>
        <v>0</v>
      </c>
      <c r="K279" s="878" t="s">
        <v>946</v>
      </c>
      <c r="L279" s="878">
        <f>'8.2 - VENT_DUCT TIGHTNESS'!I40</f>
        <v>0</v>
      </c>
      <c r="M279" s="872"/>
      <c r="N279" s="1488"/>
      <c r="O279" s="1488"/>
    </row>
    <row r="280" spans="2:51" ht="36">
      <c r="C280" s="870" t="s">
        <v>1395</v>
      </c>
      <c r="D280" s="854" t="s">
        <v>971</v>
      </c>
      <c r="E280" s="864" t="s">
        <v>946</v>
      </c>
      <c r="F280" s="864" t="s">
        <v>946</v>
      </c>
      <c r="G280" s="877" t="s">
        <v>946</v>
      </c>
      <c r="H280" s="877" t="s">
        <v>946</v>
      </c>
      <c r="I280" s="877" t="s">
        <v>946</v>
      </c>
      <c r="J280" s="878">
        <f>'8.2 - VENT_DUCT TIGHTNESS'!J41</f>
        <v>0</v>
      </c>
      <c r="K280" s="878" t="s">
        <v>946</v>
      </c>
      <c r="L280" s="878">
        <f>'8.2 - VENT_DUCT TIGHTNESS'!I41</f>
        <v>0</v>
      </c>
      <c r="M280" s="872"/>
      <c r="N280" s="1488"/>
      <c r="O280" s="1488"/>
    </row>
    <row r="281" spans="2:51">
      <c r="C281" s="858">
        <v>9</v>
      </c>
      <c r="D281" s="859" t="s">
        <v>1396</v>
      </c>
      <c r="E281" s="860"/>
      <c r="F281" s="860"/>
      <c r="G281" s="860"/>
      <c r="H281" s="860"/>
      <c r="I281" s="860"/>
      <c r="J281" s="860"/>
      <c r="K281" s="860"/>
      <c r="L281" s="861"/>
      <c r="M281" s="847"/>
      <c r="N281" s="1488"/>
      <c r="O281" s="1488"/>
    </row>
    <row r="282" spans="2:51" s="1504" customFormat="1">
      <c r="C282" s="870" t="s">
        <v>1397</v>
      </c>
      <c r="D282" s="876" t="s">
        <v>1398</v>
      </c>
      <c r="E282" s="855" t="s">
        <v>946</v>
      </c>
      <c r="F282" s="855" t="s">
        <v>946</v>
      </c>
      <c r="G282" s="857">
        <f>'9.1 - METERS'!I28</f>
        <v>0</v>
      </c>
      <c r="H282" s="857">
        <f>'9.1 - METERS'!J28</f>
        <v>0</v>
      </c>
      <c r="I282" s="857">
        <f>'9.1 - METERS'!K28</f>
        <v>0</v>
      </c>
      <c r="J282" s="856">
        <f>'9.1 - METERS'!M28</f>
        <v>0</v>
      </c>
      <c r="K282" s="856">
        <f>'9.1 - METERS'!J28</f>
        <v>0</v>
      </c>
      <c r="L282" s="856">
        <f>'9.1 - METERS'!L28</f>
        <v>0</v>
      </c>
      <c r="M282" s="872"/>
      <c r="P282" s="1505"/>
      <c r="Q282" s="1505"/>
      <c r="R282" s="1505"/>
      <c r="S282" s="1505"/>
      <c r="T282" s="1505"/>
      <c r="U282" s="1505"/>
      <c r="V282" s="1505"/>
      <c r="W282" s="1505"/>
      <c r="X282" s="1505"/>
      <c r="Y282" s="1505"/>
      <c r="Z282" s="1505"/>
      <c r="AA282" s="1505"/>
      <c r="AB282" s="1505"/>
      <c r="AC282" s="1505"/>
      <c r="AD282" s="1505"/>
      <c r="AE282" s="1505"/>
      <c r="AF282" s="1505"/>
      <c r="AG282" s="1505"/>
      <c r="AH282" s="1505"/>
      <c r="AI282" s="1505"/>
      <c r="AJ282" s="1505"/>
      <c r="AK282" s="1505"/>
      <c r="AL282" s="1505"/>
      <c r="AM282" s="1505"/>
      <c r="AN282" s="1505"/>
      <c r="AO282" s="1505"/>
      <c r="AP282" s="1505"/>
      <c r="AQ282" s="1505"/>
    </row>
    <row r="283" spans="2:51">
      <c r="C283" s="870" t="s">
        <v>1399</v>
      </c>
      <c r="D283" s="876" t="s">
        <v>1400</v>
      </c>
      <c r="E283" s="855" t="s">
        <v>946</v>
      </c>
      <c r="F283" s="855" t="s">
        <v>946</v>
      </c>
      <c r="G283" s="857">
        <f>'9.1 - METERS'!I29</f>
        <v>0</v>
      </c>
      <c r="H283" s="857">
        <f>'9.1 - METERS'!J29</f>
        <v>0</v>
      </c>
      <c r="I283" s="857">
        <f>'9.1 - METERS'!K29</f>
        <v>0</v>
      </c>
      <c r="J283" s="856">
        <f>'9.1 - METERS'!M29</f>
        <v>0</v>
      </c>
      <c r="K283" s="856">
        <f>'9.1 - METERS'!J29</f>
        <v>0</v>
      </c>
      <c r="L283" s="856">
        <f>'9.1 - METERS'!L29</f>
        <v>0</v>
      </c>
      <c r="M283" s="872"/>
      <c r="N283" s="1488"/>
      <c r="O283" s="1488"/>
    </row>
    <row r="284" spans="2:51">
      <c r="C284" s="870" t="s">
        <v>1401</v>
      </c>
      <c r="D284" s="889" t="s">
        <v>1402</v>
      </c>
      <c r="E284" s="855" t="s">
        <v>946</v>
      </c>
      <c r="F284" s="855" t="s">
        <v>946</v>
      </c>
      <c r="G284" s="857" t="s">
        <v>946</v>
      </c>
      <c r="H284" s="857" t="s">
        <v>946</v>
      </c>
      <c r="I284" s="857" t="s">
        <v>946</v>
      </c>
      <c r="J284" s="856">
        <f>'9.1 - METERS'!M30</f>
        <v>0</v>
      </c>
      <c r="K284" s="856" t="s">
        <v>946</v>
      </c>
      <c r="L284" s="856">
        <f>'9.1 - METERS'!L30</f>
        <v>0</v>
      </c>
      <c r="M284" s="872"/>
      <c r="N284" s="1488"/>
      <c r="O284" s="1488"/>
    </row>
    <row r="285" spans="2:51">
      <c r="C285" s="870" t="s">
        <v>1403</v>
      </c>
      <c r="D285" s="889" t="s">
        <v>1404</v>
      </c>
      <c r="E285" s="855" t="s">
        <v>946</v>
      </c>
      <c r="F285" s="855" t="s">
        <v>946</v>
      </c>
      <c r="G285" s="857" t="s">
        <v>946</v>
      </c>
      <c r="H285" s="857" t="s">
        <v>946</v>
      </c>
      <c r="I285" s="857" t="s">
        <v>946</v>
      </c>
      <c r="J285" s="856">
        <f>'9.1 - METERS'!M31</f>
        <v>0</v>
      </c>
      <c r="K285" s="856" t="s">
        <v>946</v>
      </c>
      <c r="L285" s="856">
        <f>'9.1 - METERS'!L31</f>
        <v>0</v>
      </c>
      <c r="M285" s="872"/>
      <c r="N285" s="1488"/>
      <c r="O285" s="1488"/>
    </row>
    <row r="286" spans="2:51">
      <c r="C286" s="870" t="s">
        <v>1405</v>
      </c>
      <c r="D286" s="889" t="s">
        <v>1406</v>
      </c>
      <c r="E286" s="855" t="s">
        <v>946</v>
      </c>
      <c r="F286" s="855" t="s">
        <v>946</v>
      </c>
      <c r="G286" s="857" t="s">
        <v>946</v>
      </c>
      <c r="H286" s="857" t="s">
        <v>946</v>
      </c>
      <c r="I286" s="857" t="s">
        <v>946</v>
      </c>
      <c r="J286" s="856">
        <f>'9.1 - METERS'!M32</f>
        <v>0</v>
      </c>
      <c r="K286" s="856" t="s">
        <v>946</v>
      </c>
      <c r="L286" s="856">
        <f>'9.1 - METERS'!L32</f>
        <v>0</v>
      </c>
      <c r="M286" s="872"/>
      <c r="N286" s="1488"/>
      <c r="O286" s="1488"/>
    </row>
    <row r="287" spans="2:51" ht="36">
      <c r="C287" s="870" t="s">
        <v>1407</v>
      </c>
      <c r="D287" s="889" t="s">
        <v>945</v>
      </c>
      <c r="E287" s="855" t="s">
        <v>946</v>
      </c>
      <c r="F287" s="855" t="s">
        <v>946</v>
      </c>
      <c r="G287" s="857" t="s">
        <v>946</v>
      </c>
      <c r="H287" s="857" t="s">
        <v>946</v>
      </c>
      <c r="I287" s="857" t="s">
        <v>946</v>
      </c>
      <c r="J287" s="856">
        <f>'9.1 - METERS'!M33</f>
        <v>0</v>
      </c>
      <c r="K287" s="856" t="s">
        <v>946</v>
      </c>
      <c r="L287" s="856">
        <f>'9.1 - METERS'!L33</f>
        <v>0</v>
      </c>
      <c r="M287" s="872"/>
      <c r="N287" s="1488"/>
      <c r="O287" s="1488"/>
    </row>
    <row r="288" spans="2:51">
      <c r="C288" s="1503"/>
      <c r="D288" s="1501"/>
      <c r="E288" s="1500"/>
      <c r="F288" s="814"/>
      <c r="J288" s="813"/>
      <c r="K288" s="814"/>
      <c r="L288" s="1499"/>
      <c r="M288" s="1488"/>
      <c r="N288" s="1488"/>
      <c r="O288" s="1488"/>
    </row>
    <row r="289" spans="3:15">
      <c r="C289" s="1503"/>
      <c r="D289" s="1501"/>
      <c r="E289" s="1500"/>
      <c r="F289" s="814"/>
      <c r="J289" s="813"/>
      <c r="K289" s="814"/>
      <c r="L289" s="1499"/>
      <c r="M289" s="1488"/>
      <c r="N289" s="1488"/>
      <c r="O289" s="1488"/>
    </row>
    <row r="290" spans="3:15">
      <c r="C290" s="1503"/>
      <c r="D290" s="1501"/>
      <c r="E290" s="1500"/>
      <c r="F290" s="814"/>
      <c r="J290" s="813"/>
      <c r="K290" s="814"/>
      <c r="L290" s="1499"/>
      <c r="M290" s="1488"/>
      <c r="N290" s="1488"/>
      <c r="O290" s="1488"/>
    </row>
    <row r="291" spans="3:15">
      <c r="C291" s="1503"/>
      <c r="D291" s="1501"/>
      <c r="E291" s="1500"/>
      <c r="F291" s="814"/>
      <c r="J291" s="813"/>
      <c r="K291" s="814"/>
      <c r="L291" s="1499"/>
      <c r="M291" s="1488"/>
      <c r="N291" s="1488"/>
      <c r="O291" s="1488"/>
    </row>
    <row r="292" spans="3:15">
      <c r="C292" s="1503"/>
      <c r="D292" s="1501"/>
      <c r="E292" s="1500"/>
      <c r="F292" s="814"/>
      <c r="J292" s="813"/>
      <c r="K292" s="814"/>
      <c r="L292" s="1499"/>
      <c r="M292" s="1488"/>
      <c r="N292" s="1488"/>
      <c r="O292" s="1488"/>
    </row>
    <row r="293" spans="3:15">
      <c r="C293" s="1503"/>
      <c r="D293" s="1501"/>
      <c r="E293" s="1500"/>
      <c r="F293" s="814"/>
      <c r="J293" s="813"/>
      <c r="K293" s="814"/>
      <c r="L293" s="1499"/>
      <c r="M293" s="1488"/>
      <c r="N293" s="1488"/>
      <c r="O293" s="1488"/>
    </row>
    <row r="294" spans="3:15">
      <c r="C294" s="1503"/>
      <c r="D294" s="1501"/>
      <c r="E294" s="1500"/>
      <c r="F294" s="814"/>
      <c r="J294" s="813"/>
      <c r="K294" s="814"/>
      <c r="L294" s="1499"/>
      <c r="M294" s="1488"/>
      <c r="N294" s="1488"/>
      <c r="O294" s="1488"/>
    </row>
    <row r="295" spans="3:15">
      <c r="C295" s="1503"/>
      <c r="D295" s="1501"/>
      <c r="E295" s="1500"/>
      <c r="F295" s="814"/>
      <c r="J295" s="813"/>
      <c r="K295" s="814"/>
      <c r="L295" s="1499"/>
      <c r="M295" s="1488"/>
      <c r="N295" s="1488"/>
      <c r="O295" s="1488"/>
    </row>
    <row r="296" spans="3:15">
      <c r="D296" s="1501"/>
      <c r="E296" s="1500"/>
      <c r="F296" s="814"/>
      <c r="J296" s="813"/>
      <c r="K296" s="814"/>
      <c r="L296" s="1499"/>
      <c r="M296" s="1488"/>
      <c r="N296" s="1488"/>
      <c r="O296" s="1488"/>
    </row>
    <row r="297" spans="3:15">
      <c r="D297" s="1501"/>
      <c r="E297" s="1500"/>
      <c r="F297" s="814"/>
      <c r="J297" s="813"/>
      <c r="K297" s="814"/>
      <c r="L297" s="1499"/>
      <c r="M297" s="1488"/>
      <c r="N297" s="1488"/>
      <c r="O297" s="1488"/>
    </row>
    <row r="298" spans="3:15">
      <c r="D298" s="1501"/>
      <c r="E298" s="1500"/>
      <c r="F298" s="814"/>
      <c r="J298" s="813"/>
      <c r="K298" s="814"/>
      <c r="L298" s="1499"/>
      <c r="M298" s="1488"/>
      <c r="N298" s="1488"/>
      <c r="O298" s="1488"/>
    </row>
    <row r="299" spans="3:15">
      <c r="D299" s="1501"/>
      <c r="E299" s="1500"/>
      <c r="F299" s="814"/>
      <c r="J299" s="813"/>
      <c r="K299" s="814"/>
      <c r="L299" s="1499"/>
      <c r="M299" s="1488"/>
      <c r="N299" s="1488"/>
      <c r="O299" s="1488"/>
    </row>
    <row r="300" spans="3:15">
      <c r="D300" s="1501"/>
      <c r="E300" s="1500"/>
      <c r="F300" s="814"/>
      <c r="J300" s="813"/>
      <c r="K300" s="814"/>
      <c r="L300" s="1499"/>
      <c r="M300" s="1488"/>
      <c r="N300" s="1488"/>
    </row>
    <row r="301" spans="3:15">
      <c r="D301" s="1501"/>
      <c r="E301" s="1500"/>
      <c r="F301" s="814"/>
      <c r="J301" s="813"/>
      <c r="K301" s="814"/>
      <c r="L301" s="1499"/>
      <c r="M301" s="1488"/>
      <c r="N301" s="1488"/>
    </row>
    <row r="302" spans="3:15">
      <c r="D302" s="1501"/>
      <c r="E302" s="1500"/>
      <c r="F302" s="814"/>
      <c r="J302" s="813"/>
      <c r="K302" s="814"/>
      <c r="L302" s="1499"/>
      <c r="M302" s="1488"/>
      <c r="N302" s="1488"/>
    </row>
    <row r="303" spans="3:15">
      <c r="D303" s="1501"/>
      <c r="E303" s="1500"/>
      <c r="F303" s="814"/>
      <c r="J303" s="813"/>
      <c r="K303" s="814"/>
      <c r="L303" s="1499"/>
      <c r="M303" s="1488"/>
      <c r="N303" s="1488"/>
    </row>
    <row r="304" spans="3:15">
      <c r="D304" s="1501"/>
      <c r="E304" s="1500"/>
      <c r="F304" s="814"/>
      <c r="J304" s="813"/>
      <c r="K304" s="814"/>
      <c r="L304" s="1499"/>
      <c r="M304" s="1488"/>
      <c r="N304" s="1488"/>
    </row>
    <row r="305" spans="3:51" s="1502" customFormat="1">
      <c r="C305" s="1498"/>
      <c r="D305" s="1501"/>
      <c r="E305" s="1500"/>
      <c r="F305" s="814"/>
      <c r="G305" s="1494"/>
      <c r="H305" s="1493"/>
      <c r="I305" s="1493"/>
      <c r="J305" s="813"/>
      <c r="K305" s="814"/>
      <c r="L305" s="1499"/>
      <c r="M305" s="1488"/>
      <c r="N305" s="1488"/>
      <c r="O305" s="1489"/>
      <c r="P305" s="1489"/>
      <c r="Q305" s="1489"/>
      <c r="R305" s="1489"/>
      <c r="S305" s="1489"/>
      <c r="T305" s="1489"/>
      <c r="U305" s="1489"/>
      <c r="V305" s="1489"/>
      <c r="W305" s="1489"/>
      <c r="X305" s="1489"/>
      <c r="Y305" s="1489"/>
      <c r="Z305" s="1489"/>
      <c r="AA305" s="1489"/>
      <c r="AB305" s="1489"/>
      <c r="AC305" s="1489"/>
      <c r="AD305" s="1489"/>
      <c r="AE305" s="1489"/>
      <c r="AF305" s="1489"/>
      <c r="AG305" s="1489"/>
      <c r="AH305" s="1489"/>
      <c r="AI305" s="1489"/>
      <c r="AJ305" s="1489"/>
      <c r="AK305" s="1489"/>
      <c r="AL305" s="1489"/>
      <c r="AM305" s="1489"/>
      <c r="AN305" s="1489"/>
      <c r="AO305" s="1489"/>
      <c r="AP305" s="1489"/>
      <c r="AQ305" s="1489"/>
      <c r="AR305" s="1488"/>
      <c r="AS305" s="1488"/>
      <c r="AT305" s="1488"/>
      <c r="AU305" s="1488"/>
      <c r="AV305" s="1488"/>
      <c r="AW305" s="1488"/>
      <c r="AX305" s="1488"/>
      <c r="AY305" s="1488"/>
    </row>
    <row r="306" spans="3:51" s="1502" customFormat="1">
      <c r="C306" s="1498"/>
      <c r="D306" s="1501"/>
      <c r="E306" s="1500"/>
      <c r="F306" s="814"/>
      <c r="G306" s="1494"/>
      <c r="H306" s="1493"/>
      <c r="I306" s="1493"/>
      <c r="J306" s="813"/>
      <c r="K306" s="814"/>
      <c r="L306" s="1499"/>
      <c r="M306" s="1488"/>
      <c r="N306" s="1488"/>
      <c r="O306" s="1489"/>
      <c r="P306" s="1489"/>
      <c r="Q306" s="1489"/>
      <c r="R306" s="1489"/>
      <c r="S306" s="1489"/>
      <c r="T306" s="1489"/>
      <c r="U306" s="1489"/>
      <c r="V306" s="1489"/>
      <c r="W306" s="1489"/>
      <c r="X306" s="1489"/>
      <c r="Y306" s="1489"/>
      <c r="Z306" s="1489"/>
      <c r="AA306" s="1489"/>
      <c r="AB306" s="1489"/>
      <c r="AC306" s="1489"/>
      <c r="AD306" s="1489"/>
      <c r="AE306" s="1489"/>
      <c r="AF306" s="1489"/>
      <c r="AG306" s="1489"/>
      <c r="AH306" s="1489"/>
      <c r="AI306" s="1489"/>
      <c r="AJ306" s="1489"/>
      <c r="AK306" s="1489"/>
      <c r="AL306" s="1489"/>
      <c r="AM306" s="1489"/>
      <c r="AN306" s="1489"/>
      <c r="AO306" s="1489"/>
      <c r="AP306" s="1489"/>
      <c r="AQ306" s="1489"/>
      <c r="AR306" s="1488"/>
      <c r="AS306" s="1488"/>
      <c r="AT306" s="1488"/>
      <c r="AU306" s="1488"/>
      <c r="AV306" s="1488"/>
      <c r="AW306" s="1488"/>
      <c r="AX306" s="1488"/>
      <c r="AY306" s="1488"/>
    </row>
    <row r="307" spans="3:51" s="1502" customFormat="1">
      <c r="C307" s="1498"/>
      <c r="D307" s="1501"/>
      <c r="E307" s="1500"/>
      <c r="F307" s="814"/>
      <c r="G307" s="1494"/>
      <c r="H307" s="1493"/>
      <c r="I307" s="1493"/>
      <c r="J307" s="813"/>
      <c r="K307" s="814"/>
      <c r="L307" s="1499"/>
      <c r="M307" s="1488"/>
      <c r="N307" s="1488"/>
      <c r="O307" s="1489"/>
      <c r="P307" s="1489"/>
      <c r="Q307" s="1489"/>
      <c r="R307" s="1489"/>
      <c r="S307" s="1489"/>
      <c r="T307" s="1489"/>
      <c r="U307" s="1489"/>
      <c r="V307" s="1489"/>
      <c r="W307" s="1489"/>
      <c r="X307" s="1489"/>
      <c r="Y307" s="1489"/>
      <c r="Z307" s="1489"/>
      <c r="AA307" s="1489"/>
      <c r="AB307" s="1489"/>
      <c r="AC307" s="1489"/>
      <c r="AD307" s="1489"/>
      <c r="AE307" s="1489"/>
      <c r="AF307" s="1489"/>
      <c r="AG307" s="1489"/>
      <c r="AH307" s="1489"/>
      <c r="AI307" s="1489"/>
      <c r="AJ307" s="1489"/>
      <c r="AK307" s="1489"/>
      <c r="AL307" s="1489"/>
      <c r="AM307" s="1489"/>
      <c r="AN307" s="1489"/>
      <c r="AO307" s="1489"/>
      <c r="AP307" s="1489"/>
      <c r="AQ307" s="1489"/>
      <c r="AR307" s="1488"/>
      <c r="AS307" s="1488"/>
      <c r="AT307" s="1488"/>
      <c r="AU307" s="1488"/>
      <c r="AV307" s="1488"/>
      <c r="AW307" s="1488"/>
      <c r="AX307" s="1488"/>
      <c r="AY307" s="1488"/>
    </row>
    <row r="308" spans="3:51" s="1502" customFormat="1">
      <c r="C308" s="1498"/>
      <c r="D308" s="1501"/>
      <c r="E308" s="1500"/>
      <c r="F308" s="814"/>
      <c r="G308" s="1494"/>
      <c r="H308" s="1493"/>
      <c r="I308" s="1493"/>
      <c r="J308" s="813"/>
      <c r="K308" s="814"/>
      <c r="L308" s="1499"/>
      <c r="M308" s="1488"/>
      <c r="N308" s="1488"/>
      <c r="O308" s="1489"/>
      <c r="P308" s="1489"/>
      <c r="Q308" s="1489"/>
      <c r="R308" s="1489"/>
      <c r="S308" s="1489"/>
      <c r="T308" s="1489"/>
      <c r="U308" s="1489"/>
      <c r="V308" s="1489"/>
      <c r="W308" s="1489"/>
      <c r="X308" s="1489"/>
      <c r="Y308" s="1489"/>
      <c r="Z308" s="1489"/>
      <c r="AA308" s="1489"/>
      <c r="AB308" s="1489"/>
      <c r="AC308" s="1489"/>
      <c r="AD308" s="1489"/>
      <c r="AE308" s="1489"/>
      <c r="AF308" s="1489"/>
      <c r="AG308" s="1489"/>
      <c r="AH308" s="1489"/>
      <c r="AI308" s="1489"/>
      <c r="AJ308" s="1489"/>
      <c r="AK308" s="1489"/>
      <c r="AL308" s="1489"/>
      <c r="AM308" s="1489"/>
      <c r="AN308" s="1489"/>
      <c r="AO308" s="1489"/>
      <c r="AP308" s="1489"/>
      <c r="AQ308" s="1489"/>
      <c r="AR308" s="1488"/>
      <c r="AS308" s="1488"/>
      <c r="AT308" s="1488"/>
      <c r="AU308" s="1488"/>
      <c r="AV308" s="1488"/>
      <c r="AW308" s="1488"/>
      <c r="AX308" s="1488"/>
      <c r="AY308" s="1488"/>
    </row>
    <row r="309" spans="3:51" s="1502" customFormat="1">
      <c r="C309" s="1498"/>
      <c r="D309" s="1501"/>
      <c r="E309" s="1500"/>
      <c r="F309" s="814"/>
      <c r="G309" s="1494"/>
      <c r="H309" s="1493"/>
      <c r="I309" s="1493"/>
      <c r="J309" s="813"/>
      <c r="K309" s="814"/>
      <c r="L309" s="1499"/>
      <c r="M309" s="1488"/>
      <c r="N309" s="1488"/>
      <c r="O309" s="1489"/>
      <c r="P309" s="1489"/>
      <c r="Q309" s="1489"/>
      <c r="R309" s="1489"/>
      <c r="S309" s="1489"/>
      <c r="T309" s="1489"/>
      <c r="U309" s="1489"/>
      <c r="V309" s="1489"/>
      <c r="W309" s="1489"/>
      <c r="X309" s="1489"/>
      <c r="Y309" s="1489"/>
      <c r="Z309" s="1489"/>
      <c r="AA309" s="1489"/>
      <c r="AB309" s="1489"/>
      <c r="AC309" s="1489"/>
      <c r="AD309" s="1489"/>
      <c r="AE309" s="1489"/>
      <c r="AF309" s="1489"/>
      <c r="AG309" s="1489"/>
      <c r="AH309" s="1489"/>
      <c r="AI309" s="1489"/>
      <c r="AJ309" s="1489"/>
      <c r="AK309" s="1489"/>
      <c r="AL309" s="1489"/>
      <c r="AM309" s="1489"/>
      <c r="AN309" s="1489"/>
      <c r="AO309" s="1489"/>
      <c r="AP309" s="1489"/>
      <c r="AQ309" s="1489"/>
      <c r="AR309" s="1488"/>
      <c r="AS309" s="1488"/>
      <c r="AT309" s="1488"/>
      <c r="AU309" s="1488"/>
      <c r="AV309" s="1488"/>
      <c r="AW309" s="1488"/>
      <c r="AX309" s="1488"/>
      <c r="AY309" s="1488"/>
    </row>
    <row r="310" spans="3:51" s="1502" customFormat="1">
      <c r="C310" s="1498"/>
      <c r="D310" s="1501"/>
      <c r="E310" s="1500"/>
      <c r="F310" s="814"/>
      <c r="G310" s="1494"/>
      <c r="H310" s="1493"/>
      <c r="I310" s="1493"/>
      <c r="J310" s="813"/>
      <c r="K310" s="814"/>
      <c r="L310" s="1499"/>
      <c r="M310" s="1488"/>
      <c r="N310" s="1488"/>
      <c r="O310" s="1489"/>
      <c r="P310" s="1489"/>
      <c r="Q310" s="1489"/>
      <c r="R310" s="1489"/>
      <c r="S310" s="1489"/>
      <c r="T310" s="1489"/>
      <c r="U310" s="1489"/>
      <c r="V310" s="1489"/>
      <c r="W310" s="1489"/>
      <c r="X310" s="1489"/>
      <c r="Y310" s="1489"/>
      <c r="Z310" s="1489"/>
      <c r="AA310" s="1489"/>
      <c r="AB310" s="1489"/>
      <c r="AC310" s="1489"/>
      <c r="AD310" s="1489"/>
      <c r="AE310" s="1489"/>
      <c r="AF310" s="1489"/>
      <c r="AG310" s="1489"/>
      <c r="AH310" s="1489"/>
      <c r="AI310" s="1489"/>
      <c r="AJ310" s="1489"/>
      <c r="AK310" s="1489"/>
      <c r="AL310" s="1489"/>
      <c r="AM310" s="1489"/>
      <c r="AN310" s="1489"/>
      <c r="AO310" s="1489"/>
      <c r="AP310" s="1489"/>
      <c r="AQ310" s="1489"/>
      <c r="AR310" s="1488"/>
      <c r="AS310" s="1488"/>
      <c r="AT310" s="1488"/>
      <c r="AU310" s="1488"/>
      <c r="AV310" s="1488"/>
      <c r="AW310" s="1488"/>
      <c r="AX310" s="1488"/>
      <c r="AY310" s="1488"/>
    </row>
    <row r="311" spans="3:51" s="1502" customFormat="1">
      <c r="C311" s="1498"/>
      <c r="D311" s="1501"/>
      <c r="E311" s="1500"/>
      <c r="F311" s="814"/>
      <c r="G311" s="1494"/>
      <c r="H311" s="1493"/>
      <c r="I311" s="1493"/>
      <c r="J311" s="813"/>
      <c r="K311" s="814"/>
      <c r="L311" s="1499"/>
      <c r="M311" s="1488"/>
      <c r="N311" s="1488"/>
      <c r="O311" s="1489"/>
      <c r="P311" s="1489"/>
      <c r="Q311" s="1489"/>
      <c r="R311" s="1489"/>
      <c r="S311" s="1489"/>
      <c r="T311" s="1489"/>
      <c r="U311" s="1489"/>
      <c r="V311" s="1489"/>
      <c r="W311" s="1489"/>
      <c r="X311" s="1489"/>
      <c r="Y311" s="1489"/>
      <c r="Z311" s="1489"/>
      <c r="AA311" s="1489"/>
      <c r="AB311" s="1489"/>
      <c r="AC311" s="1489"/>
      <c r="AD311" s="1489"/>
      <c r="AE311" s="1489"/>
      <c r="AF311" s="1489"/>
      <c r="AG311" s="1489"/>
      <c r="AH311" s="1489"/>
      <c r="AI311" s="1489"/>
      <c r="AJ311" s="1489"/>
      <c r="AK311" s="1489"/>
      <c r="AL311" s="1489"/>
      <c r="AM311" s="1489"/>
      <c r="AN311" s="1489"/>
      <c r="AO311" s="1489"/>
      <c r="AP311" s="1489"/>
      <c r="AQ311" s="1489"/>
      <c r="AR311" s="1488"/>
      <c r="AS311" s="1488"/>
      <c r="AT311" s="1488"/>
      <c r="AU311" s="1488"/>
      <c r="AV311" s="1488"/>
      <c r="AW311" s="1488"/>
      <c r="AX311" s="1488"/>
      <c r="AY311" s="1488"/>
    </row>
    <row r="312" spans="3:51" s="1502" customFormat="1">
      <c r="C312" s="1498"/>
      <c r="D312" s="1501"/>
      <c r="E312" s="1500"/>
      <c r="F312" s="814"/>
      <c r="G312" s="1494"/>
      <c r="H312" s="1493"/>
      <c r="I312" s="1493"/>
      <c r="J312" s="813"/>
      <c r="K312" s="814"/>
      <c r="L312" s="1499"/>
      <c r="M312" s="1488"/>
      <c r="N312" s="1488"/>
      <c r="O312" s="1489"/>
      <c r="P312" s="1489"/>
      <c r="Q312" s="1489"/>
      <c r="R312" s="1489"/>
      <c r="S312" s="1489"/>
      <c r="T312" s="1489"/>
      <c r="U312" s="1489"/>
      <c r="V312" s="1489"/>
      <c r="W312" s="1489"/>
      <c r="X312" s="1489"/>
      <c r="Y312" s="1489"/>
      <c r="Z312" s="1489"/>
      <c r="AA312" s="1489"/>
      <c r="AB312" s="1489"/>
      <c r="AC312" s="1489"/>
      <c r="AD312" s="1489"/>
      <c r="AE312" s="1489"/>
      <c r="AF312" s="1489"/>
      <c r="AG312" s="1489"/>
      <c r="AH312" s="1489"/>
      <c r="AI312" s="1489"/>
      <c r="AJ312" s="1489"/>
      <c r="AK312" s="1489"/>
      <c r="AL312" s="1489"/>
      <c r="AM312" s="1489"/>
      <c r="AN312" s="1489"/>
      <c r="AO312" s="1489"/>
      <c r="AP312" s="1489"/>
      <c r="AQ312" s="1489"/>
      <c r="AR312" s="1488"/>
      <c r="AS312" s="1488"/>
      <c r="AT312" s="1488"/>
      <c r="AU312" s="1488"/>
      <c r="AV312" s="1488"/>
      <c r="AW312" s="1488"/>
      <c r="AX312" s="1488"/>
      <c r="AY312" s="1488"/>
    </row>
    <row r="313" spans="3:51" s="1502" customFormat="1">
      <c r="C313" s="1498"/>
      <c r="D313" s="1501"/>
      <c r="E313" s="1500"/>
      <c r="F313" s="814"/>
      <c r="G313" s="1494"/>
      <c r="H313" s="1493"/>
      <c r="I313" s="1493"/>
      <c r="J313" s="813"/>
      <c r="K313" s="814"/>
      <c r="L313" s="1499"/>
      <c r="M313" s="1488"/>
      <c r="N313" s="1488"/>
      <c r="O313" s="1489"/>
      <c r="P313" s="1489"/>
      <c r="Q313" s="1489"/>
      <c r="R313" s="1489"/>
      <c r="S313" s="1489"/>
      <c r="T313" s="1489"/>
      <c r="U313" s="1489"/>
      <c r="V313" s="1489"/>
      <c r="W313" s="1489"/>
      <c r="X313" s="1489"/>
      <c r="Y313" s="1489"/>
      <c r="Z313" s="1489"/>
      <c r="AA313" s="1489"/>
      <c r="AB313" s="1489"/>
      <c r="AC313" s="1489"/>
      <c r="AD313" s="1489"/>
      <c r="AE313" s="1489"/>
      <c r="AF313" s="1489"/>
      <c r="AG313" s="1489"/>
      <c r="AH313" s="1489"/>
      <c r="AI313" s="1489"/>
      <c r="AJ313" s="1489"/>
      <c r="AK313" s="1489"/>
      <c r="AL313" s="1489"/>
      <c r="AM313" s="1489"/>
      <c r="AN313" s="1489"/>
      <c r="AO313" s="1489"/>
      <c r="AP313" s="1489"/>
      <c r="AQ313" s="1489"/>
      <c r="AR313" s="1488"/>
      <c r="AS313" s="1488"/>
      <c r="AT313" s="1488"/>
      <c r="AU313" s="1488"/>
      <c r="AV313" s="1488"/>
      <c r="AW313" s="1488"/>
      <c r="AX313" s="1488"/>
      <c r="AY313" s="1488"/>
    </row>
    <row r="314" spans="3:51" s="1502" customFormat="1">
      <c r="C314" s="1498"/>
      <c r="D314" s="1501"/>
      <c r="E314" s="1500"/>
      <c r="F314" s="814"/>
      <c r="G314" s="1494"/>
      <c r="H314" s="1493"/>
      <c r="I314" s="1493"/>
      <c r="J314" s="813"/>
      <c r="K314" s="814"/>
      <c r="L314" s="1499"/>
      <c r="M314" s="1488"/>
      <c r="N314" s="1488"/>
      <c r="O314" s="1489"/>
      <c r="P314" s="1489"/>
      <c r="Q314" s="1489"/>
      <c r="R314" s="1489"/>
      <c r="S314" s="1489"/>
      <c r="T314" s="1489"/>
      <c r="U314" s="1489"/>
      <c r="V314" s="1489"/>
      <c r="W314" s="1489"/>
      <c r="X314" s="1489"/>
      <c r="Y314" s="1489"/>
      <c r="Z314" s="1489"/>
      <c r="AA314" s="1489"/>
      <c r="AB314" s="1489"/>
      <c r="AC314" s="1489"/>
      <c r="AD314" s="1489"/>
      <c r="AE314" s="1489"/>
      <c r="AF314" s="1489"/>
      <c r="AG314" s="1489"/>
      <c r="AH314" s="1489"/>
      <c r="AI314" s="1489"/>
      <c r="AJ314" s="1489"/>
      <c r="AK314" s="1489"/>
      <c r="AL314" s="1489"/>
      <c r="AM314" s="1489"/>
      <c r="AN314" s="1489"/>
      <c r="AO314" s="1489"/>
      <c r="AP314" s="1489"/>
      <c r="AQ314" s="1489"/>
      <c r="AR314" s="1488"/>
      <c r="AS314" s="1488"/>
      <c r="AT314" s="1488"/>
      <c r="AU314" s="1488"/>
      <c r="AV314" s="1488"/>
      <c r="AW314" s="1488"/>
      <c r="AX314" s="1488"/>
      <c r="AY314" s="1488"/>
    </row>
    <row r="315" spans="3:51" s="1502" customFormat="1">
      <c r="C315" s="1498"/>
      <c r="D315" s="1501"/>
      <c r="E315" s="1500"/>
      <c r="F315" s="814"/>
      <c r="G315" s="1494"/>
      <c r="H315" s="1493"/>
      <c r="I315" s="1493"/>
      <c r="J315" s="813"/>
      <c r="K315" s="814"/>
      <c r="L315" s="1499"/>
      <c r="M315" s="1488"/>
      <c r="N315" s="1488"/>
      <c r="O315" s="1489"/>
      <c r="P315" s="1489"/>
      <c r="Q315" s="1489"/>
      <c r="R315" s="1489"/>
      <c r="S315" s="1489"/>
      <c r="T315" s="1489"/>
      <c r="U315" s="1489"/>
      <c r="V315" s="1489"/>
      <c r="W315" s="1489"/>
      <c r="X315" s="1489"/>
      <c r="Y315" s="1489"/>
      <c r="Z315" s="1489"/>
      <c r="AA315" s="1489"/>
      <c r="AB315" s="1489"/>
      <c r="AC315" s="1489"/>
      <c r="AD315" s="1489"/>
      <c r="AE315" s="1489"/>
      <c r="AF315" s="1489"/>
      <c r="AG315" s="1489"/>
      <c r="AH315" s="1489"/>
      <c r="AI315" s="1489"/>
      <c r="AJ315" s="1489"/>
      <c r="AK315" s="1489"/>
      <c r="AL315" s="1489"/>
      <c r="AM315" s="1489"/>
      <c r="AN315" s="1489"/>
      <c r="AO315" s="1489"/>
      <c r="AP315" s="1489"/>
      <c r="AQ315" s="1489"/>
      <c r="AR315" s="1488"/>
      <c r="AS315" s="1488"/>
      <c r="AT315" s="1488"/>
      <c r="AU315" s="1488"/>
      <c r="AV315" s="1488"/>
      <c r="AW315" s="1488"/>
      <c r="AX315" s="1488"/>
      <c r="AY315" s="1488"/>
    </row>
    <row r="316" spans="3:51" s="1502" customFormat="1">
      <c r="C316" s="1498"/>
      <c r="D316" s="1501"/>
      <c r="E316" s="1500"/>
      <c r="F316" s="814"/>
      <c r="G316" s="1494"/>
      <c r="H316" s="1493"/>
      <c r="I316" s="1493"/>
      <c r="J316" s="813"/>
      <c r="K316" s="814"/>
      <c r="L316" s="1499"/>
      <c r="M316" s="1488"/>
      <c r="N316" s="1488"/>
      <c r="O316" s="1489"/>
      <c r="P316" s="1489"/>
      <c r="Q316" s="1489"/>
      <c r="R316" s="1489"/>
      <c r="S316" s="1489"/>
      <c r="T316" s="1489"/>
      <c r="U316" s="1489"/>
      <c r="V316" s="1489"/>
      <c r="W316" s="1489"/>
      <c r="X316" s="1489"/>
      <c r="Y316" s="1489"/>
      <c r="Z316" s="1489"/>
      <c r="AA316" s="1489"/>
      <c r="AB316" s="1489"/>
      <c r="AC316" s="1489"/>
      <c r="AD316" s="1489"/>
      <c r="AE316" s="1489"/>
      <c r="AF316" s="1489"/>
      <c r="AG316" s="1489"/>
      <c r="AH316" s="1489"/>
      <c r="AI316" s="1489"/>
      <c r="AJ316" s="1489"/>
      <c r="AK316" s="1489"/>
      <c r="AL316" s="1489"/>
      <c r="AM316" s="1489"/>
      <c r="AN316" s="1489"/>
      <c r="AO316" s="1489"/>
      <c r="AP316" s="1489"/>
      <c r="AQ316" s="1489"/>
      <c r="AR316" s="1488"/>
      <c r="AS316" s="1488"/>
      <c r="AT316" s="1488"/>
      <c r="AU316" s="1488"/>
      <c r="AV316" s="1488"/>
      <c r="AW316" s="1488"/>
      <c r="AX316" s="1488"/>
      <c r="AY316" s="1488"/>
    </row>
    <row r="317" spans="3:51" s="1502" customFormat="1">
      <c r="C317" s="1498"/>
      <c r="D317" s="1501"/>
      <c r="E317" s="1500"/>
      <c r="F317" s="814"/>
      <c r="G317" s="1494"/>
      <c r="H317" s="1493"/>
      <c r="I317" s="1493"/>
      <c r="J317" s="813"/>
      <c r="K317" s="814"/>
      <c r="L317" s="1499"/>
      <c r="M317" s="1488"/>
      <c r="N317" s="1488"/>
      <c r="O317" s="1489"/>
      <c r="P317" s="1489"/>
      <c r="Q317" s="1489"/>
      <c r="R317" s="1489"/>
      <c r="S317" s="1489"/>
      <c r="T317" s="1489"/>
      <c r="U317" s="1489"/>
      <c r="V317" s="1489"/>
      <c r="W317" s="1489"/>
      <c r="X317" s="1489"/>
      <c r="Y317" s="1489"/>
      <c r="Z317" s="1489"/>
      <c r="AA317" s="1489"/>
      <c r="AB317" s="1489"/>
      <c r="AC317" s="1489"/>
      <c r="AD317" s="1489"/>
      <c r="AE317" s="1489"/>
      <c r="AF317" s="1489"/>
      <c r="AG317" s="1489"/>
      <c r="AH317" s="1489"/>
      <c r="AI317" s="1489"/>
      <c r="AJ317" s="1489"/>
      <c r="AK317" s="1489"/>
      <c r="AL317" s="1489"/>
      <c r="AM317" s="1489"/>
      <c r="AN317" s="1489"/>
      <c r="AO317" s="1489"/>
      <c r="AP317" s="1489"/>
      <c r="AQ317" s="1489"/>
      <c r="AR317" s="1488"/>
      <c r="AS317" s="1488"/>
      <c r="AT317" s="1488"/>
      <c r="AU317" s="1488"/>
      <c r="AV317" s="1488"/>
      <c r="AW317" s="1488"/>
      <c r="AX317" s="1488"/>
      <c r="AY317" s="1488"/>
    </row>
    <row r="318" spans="3:51" s="1502" customFormat="1">
      <c r="C318" s="1498"/>
      <c r="D318" s="1501"/>
      <c r="E318" s="1500"/>
      <c r="F318" s="814"/>
      <c r="G318" s="1494"/>
      <c r="H318" s="1493"/>
      <c r="I318" s="1493"/>
      <c r="J318" s="813"/>
      <c r="K318" s="814"/>
      <c r="L318" s="1499"/>
      <c r="M318" s="1488"/>
      <c r="N318" s="1488"/>
      <c r="O318" s="1489"/>
      <c r="P318" s="1489"/>
      <c r="Q318" s="1489"/>
      <c r="R318" s="1489"/>
      <c r="S318" s="1489"/>
      <c r="T318" s="1489"/>
      <c r="U318" s="1489"/>
      <c r="V318" s="1489"/>
      <c r="W318" s="1489"/>
      <c r="X318" s="1489"/>
      <c r="Y318" s="1489"/>
      <c r="Z318" s="1489"/>
      <c r="AA318" s="1489"/>
      <c r="AB318" s="1489"/>
      <c r="AC318" s="1489"/>
      <c r="AD318" s="1489"/>
      <c r="AE318" s="1489"/>
      <c r="AF318" s="1489"/>
      <c r="AG318" s="1489"/>
      <c r="AH318" s="1489"/>
      <c r="AI318" s="1489"/>
      <c r="AJ318" s="1489"/>
      <c r="AK318" s="1489"/>
      <c r="AL318" s="1489"/>
      <c r="AM318" s="1489"/>
      <c r="AN318" s="1489"/>
      <c r="AO318" s="1489"/>
      <c r="AP318" s="1489"/>
      <c r="AQ318" s="1489"/>
      <c r="AR318" s="1488"/>
      <c r="AS318" s="1488"/>
      <c r="AT318" s="1488"/>
      <c r="AU318" s="1488"/>
      <c r="AV318" s="1488"/>
      <c r="AW318" s="1488"/>
      <c r="AX318" s="1488"/>
      <c r="AY318" s="1488"/>
    </row>
    <row r="319" spans="3:51" s="1502" customFormat="1">
      <c r="C319" s="1498"/>
      <c r="D319" s="1501"/>
      <c r="E319" s="1500"/>
      <c r="F319" s="814"/>
      <c r="G319" s="1494"/>
      <c r="H319" s="1493"/>
      <c r="I319" s="1493"/>
      <c r="J319" s="813"/>
      <c r="K319" s="814"/>
      <c r="L319" s="1499"/>
      <c r="M319" s="1488"/>
      <c r="N319" s="1488"/>
      <c r="O319" s="1489"/>
      <c r="P319" s="1489"/>
      <c r="Q319" s="1489"/>
      <c r="R319" s="1489"/>
      <c r="S319" s="1489"/>
      <c r="T319" s="1489"/>
      <c r="U319" s="1489"/>
      <c r="V319" s="1489"/>
      <c r="W319" s="1489"/>
      <c r="X319" s="1489"/>
      <c r="Y319" s="1489"/>
      <c r="Z319" s="1489"/>
      <c r="AA319" s="1489"/>
      <c r="AB319" s="1489"/>
      <c r="AC319" s="1489"/>
      <c r="AD319" s="1489"/>
      <c r="AE319" s="1489"/>
      <c r="AF319" s="1489"/>
      <c r="AG319" s="1489"/>
      <c r="AH319" s="1489"/>
      <c r="AI319" s="1489"/>
      <c r="AJ319" s="1489"/>
      <c r="AK319" s="1489"/>
      <c r="AL319" s="1489"/>
      <c r="AM319" s="1489"/>
      <c r="AN319" s="1489"/>
      <c r="AO319" s="1489"/>
      <c r="AP319" s="1489"/>
      <c r="AQ319" s="1489"/>
      <c r="AR319" s="1488"/>
      <c r="AS319" s="1488"/>
      <c r="AT319" s="1488"/>
      <c r="AU319" s="1488"/>
      <c r="AV319" s="1488"/>
      <c r="AW319" s="1488"/>
      <c r="AX319" s="1488"/>
      <c r="AY319" s="1488"/>
    </row>
    <row r="320" spans="3:51" s="1502" customFormat="1">
      <c r="C320" s="1498"/>
      <c r="D320" s="1501"/>
      <c r="E320" s="1500"/>
      <c r="F320" s="814"/>
      <c r="G320" s="1494"/>
      <c r="H320" s="1493"/>
      <c r="I320" s="1493"/>
      <c r="J320" s="813"/>
      <c r="K320" s="814"/>
      <c r="L320" s="1499"/>
      <c r="M320" s="1488"/>
      <c r="N320" s="1488"/>
      <c r="O320" s="1489"/>
      <c r="P320" s="1489"/>
      <c r="Q320" s="1489"/>
      <c r="R320" s="1489"/>
      <c r="S320" s="1489"/>
      <c r="T320" s="1489"/>
      <c r="U320" s="1489"/>
      <c r="V320" s="1489"/>
      <c r="W320" s="1489"/>
      <c r="X320" s="1489"/>
      <c r="Y320" s="1489"/>
      <c r="Z320" s="1489"/>
      <c r="AA320" s="1489"/>
      <c r="AB320" s="1489"/>
      <c r="AC320" s="1489"/>
      <c r="AD320" s="1489"/>
      <c r="AE320" s="1489"/>
      <c r="AF320" s="1489"/>
      <c r="AG320" s="1489"/>
      <c r="AH320" s="1489"/>
      <c r="AI320" s="1489"/>
      <c r="AJ320" s="1489"/>
      <c r="AK320" s="1489"/>
      <c r="AL320" s="1489"/>
      <c r="AM320" s="1489"/>
      <c r="AN320" s="1489"/>
      <c r="AO320" s="1489"/>
      <c r="AP320" s="1489"/>
      <c r="AQ320" s="1489"/>
      <c r="AR320" s="1488"/>
      <c r="AS320" s="1488"/>
      <c r="AT320" s="1488"/>
      <c r="AU320" s="1488"/>
      <c r="AV320" s="1488"/>
      <c r="AW320" s="1488"/>
      <c r="AX320" s="1488"/>
      <c r="AY320" s="1488"/>
    </row>
    <row r="321" spans="3:51" s="1502" customFormat="1">
      <c r="C321" s="1498"/>
      <c r="D321" s="1501"/>
      <c r="E321" s="1500"/>
      <c r="F321" s="814"/>
      <c r="G321" s="1494"/>
      <c r="H321" s="1493"/>
      <c r="I321" s="1493"/>
      <c r="J321" s="813"/>
      <c r="K321" s="814"/>
      <c r="L321" s="1499"/>
      <c r="M321" s="1488"/>
      <c r="N321" s="1488"/>
      <c r="O321" s="1489"/>
      <c r="P321" s="1489"/>
      <c r="Q321" s="1489"/>
      <c r="R321" s="1489"/>
      <c r="S321" s="1489"/>
      <c r="T321" s="1489"/>
      <c r="U321" s="1489"/>
      <c r="V321" s="1489"/>
      <c r="W321" s="1489"/>
      <c r="X321" s="1489"/>
      <c r="Y321" s="1489"/>
      <c r="Z321" s="1489"/>
      <c r="AA321" s="1489"/>
      <c r="AB321" s="1489"/>
      <c r="AC321" s="1489"/>
      <c r="AD321" s="1489"/>
      <c r="AE321" s="1489"/>
      <c r="AF321" s="1489"/>
      <c r="AG321" s="1489"/>
      <c r="AH321" s="1489"/>
      <c r="AI321" s="1489"/>
      <c r="AJ321" s="1489"/>
      <c r="AK321" s="1489"/>
      <c r="AL321" s="1489"/>
      <c r="AM321" s="1489"/>
      <c r="AN321" s="1489"/>
      <c r="AO321" s="1489"/>
      <c r="AP321" s="1489"/>
      <c r="AQ321" s="1489"/>
      <c r="AR321" s="1488"/>
      <c r="AS321" s="1488"/>
      <c r="AT321" s="1488"/>
      <c r="AU321" s="1488"/>
      <c r="AV321" s="1488"/>
      <c r="AW321" s="1488"/>
      <c r="AX321" s="1488"/>
      <c r="AY321" s="1488"/>
    </row>
    <row r="322" spans="3:51" s="1502" customFormat="1">
      <c r="C322" s="1498"/>
      <c r="D322" s="1501"/>
      <c r="E322" s="1500"/>
      <c r="F322" s="814"/>
      <c r="G322" s="1494"/>
      <c r="H322" s="1493"/>
      <c r="I322" s="1493"/>
      <c r="J322" s="813"/>
      <c r="K322" s="814"/>
      <c r="L322" s="1499"/>
      <c r="M322" s="1488"/>
      <c r="N322" s="1488"/>
      <c r="O322" s="1489"/>
      <c r="P322" s="1489"/>
      <c r="Q322" s="1489"/>
      <c r="R322" s="1489"/>
      <c r="S322" s="1489"/>
      <c r="T322" s="1489"/>
      <c r="U322" s="1489"/>
      <c r="V322" s="1489"/>
      <c r="W322" s="1489"/>
      <c r="X322" s="1489"/>
      <c r="Y322" s="1489"/>
      <c r="Z322" s="1489"/>
      <c r="AA322" s="1489"/>
      <c r="AB322" s="1489"/>
      <c r="AC322" s="1489"/>
      <c r="AD322" s="1489"/>
      <c r="AE322" s="1489"/>
      <c r="AF322" s="1489"/>
      <c r="AG322" s="1489"/>
      <c r="AH322" s="1489"/>
      <c r="AI322" s="1489"/>
      <c r="AJ322" s="1489"/>
      <c r="AK322" s="1489"/>
      <c r="AL322" s="1489"/>
      <c r="AM322" s="1489"/>
      <c r="AN322" s="1489"/>
      <c r="AO322" s="1489"/>
      <c r="AP322" s="1489"/>
      <c r="AQ322" s="1489"/>
      <c r="AR322" s="1488"/>
      <c r="AS322" s="1488"/>
      <c r="AT322" s="1488"/>
      <c r="AU322" s="1488"/>
      <c r="AV322" s="1488"/>
      <c r="AW322" s="1488"/>
      <c r="AX322" s="1488"/>
      <c r="AY322" s="1488"/>
    </row>
    <row r="323" spans="3:51" s="1502" customFormat="1">
      <c r="C323" s="1498"/>
      <c r="D323" s="1501"/>
      <c r="E323" s="1500"/>
      <c r="F323" s="814"/>
      <c r="G323" s="1494"/>
      <c r="H323" s="1493"/>
      <c r="I323" s="1493"/>
      <c r="J323" s="813"/>
      <c r="K323" s="814"/>
      <c r="L323" s="1499"/>
      <c r="M323" s="1488"/>
      <c r="N323" s="1488"/>
      <c r="O323" s="1489"/>
      <c r="P323" s="1489"/>
      <c r="Q323" s="1489"/>
      <c r="R323" s="1489"/>
      <c r="S323" s="1489"/>
      <c r="T323" s="1489"/>
      <c r="U323" s="1489"/>
      <c r="V323" s="1489"/>
      <c r="W323" s="1489"/>
      <c r="X323" s="1489"/>
      <c r="Y323" s="1489"/>
      <c r="Z323" s="1489"/>
      <c r="AA323" s="1489"/>
      <c r="AB323" s="1489"/>
      <c r="AC323" s="1489"/>
      <c r="AD323" s="1489"/>
      <c r="AE323" s="1489"/>
      <c r="AF323" s="1489"/>
      <c r="AG323" s="1489"/>
      <c r="AH323" s="1489"/>
      <c r="AI323" s="1489"/>
      <c r="AJ323" s="1489"/>
      <c r="AK323" s="1489"/>
      <c r="AL323" s="1489"/>
      <c r="AM323" s="1489"/>
      <c r="AN323" s="1489"/>
      <c r="AO323" s="1489"/>
      <c r="AP323" s="1489"/>
      <c r="AQ323" s="1489"/>
      <c r="AR323" s="1488"/>
      <c r="AS323" s="1488"/>
      <c r="AT323" s="1488"/>
      <c r="AU323" s="1488"/>
      <c r="AV323" s="1488"/>
      <c r="AW323" s="1488"/>
      <c r="AX323" s="1488"/>
      <c r="AY323" s="1488"/>
    </row>
    <row r="324" spans="3:51" s="1502" customFormat="1">
      <c r="C324" s="1498"/>
      <c r="D324" s="1501"/>
      <c r="E324" s="1500"/>
      <c r="F324" s="814"/>
      <c r="G324" s="1494"/>
      <c r="H324" s="1493"/>
      <c r="I324" s="1493"/>
      <c r="J324" s="813"/>
      <c r="K324" s="814"/>
      <c r="L324" s="1499"/>
      <c r="M324" s="1488"/>
      <c r="N324" s="1488"/>
      <c r="O324" s="1489"/>
      <c r="P324" s="1489"/>
      <c r="Q324" s="1489"/>
      <c r="R324" s="1489"/>
      <c r="S324" s="1489"/>
      <c r="T324" s="1489"/>
      <c r="U324" s="1489"/>
      <c r="V324" s="1489"/>
      <c r="W324" s="1489"/>
      <c r="X324" s="1489"/>
      <c r="Y324" s="1489"/>
      <c r="Z324" s="1489"/>
      <c r="AA324" s="1489"/>
      <c r="AB324" s="1489"/>
      <c r="AC324" s="1489"/>
      <c r="AD324" s="1489"/>
      <c r="AE324" s="1489"/>
      <c r="AF324" s="1489"/>
      <c r="AG324" s="1489"/>
      <c r="AH324" s="1489"/>
      <c r="AI324" s="1489"/>
      <c r="AJ324" s="1489"/>
      <c r="AK324" s="1489"/>
      <c r="AL324" s="1489"/>
      <c r="AM324" s="1489"/>
      <c r="AN324" s="1489"/>
      <c r="AO324" s="1489"/>
      <c r="AP324" s="1489"/>
      <c r="AQ324" s="1489"/>
      <c r="AR324" s="1488"/>
      <c r="AS324" s="1488"/>
      <c r="AT324" s="1488"/>
      <c r="AU324" s="1488"/>
      <c r="AV324" s="1488"/>
      <c r="AW324" s="1488"/>
      <c r="AX324" s="1488"/>
      <c r="AY324" s="1488"/>
    </row>
    <row r="325" spans="3:51" s="1502" customFormat="1">
      <c r="C325" s="1498"/>
      <c r="D325" s="1501"/>
      <c r="E325" s="1500"/>
      <c r="F325" s="814"/>
      <c r="G325" s="1494"/>
      <c r="H325" s="1493"/>
      <c r="I325" s="1493"/>
      <c r="J325" s="813"/>
      <c r="K325" s="814"/>
      <c r="L325" s="1499"/>
      <c r="M325" s="1488"/>
      <c r="N325" s="1488"/>
      <c r="O325" s="1489"/>
      <c r="P325" s="1489"/>
      <c r="Q325" s="1489"/>
      <c r="R325" s="1489"/>
      <c r="S325" s="1489"/>
      <c r="T325" s="1489"/>
      <c r="U325" s="1489"/>
      <c r="V325" s="1489"/>
      <c r="W325" s="1489"/>
      <c r="X325" s="1489"/>
      <c r="Y325" s="1489"/>
      <c r="Z325" s="1489"/>
      <c r="AA325" s="1489"/>
      <c r="AB325" s="1489"/>
      <c r="AC325" s="1489"/>
      <c r="AD325" s="1489"/>
      <c r="AE325" s="1489"/>
      <c r="AF325" s="1489"/>
      <c r="AG325" s="1489"/>
      <c r="AH325" s="1489"/>
      <c r="AI325" s="1489"/>
      <c r="AJ325" s="1489"/>
      <c r="AK325" s="1489"/>
      <c r="AL325" s="1489"/>
      <c r="AM325" s="1489"/>
      <c r="AN325" s="1489"/>
      <c r="AO325" s="1489"/>
      <c r="AP325" s="1489"/>
      <c r="AQ325" s="1489"/>
      <c r="AR325" s="1488"/>
      <c r="AS325" s="1488"/>
      <c r="AT325" s="1488"/>
      <c r="AU325" s="1488"/>
      <c r="AV325" s="1488"/>
      <c r="AW325" s="1488"/>
      <c r="AX325" s="1488"/>
      <c r="AY325" s="1488"/>
    </row>
    <row r="326" spans="3:51" s="1502" customFormat="1">
      <c r="C326" s="1498"/>
      <c r="D326" s="1501"/>
      <c r="E326" s="1500"/>
      <c r="F326" s="814"/>
      <c r="G326" s="1494"/>
      <c r="H326" s="1493"/>
      <c r="I326" s="1493"/>
      <c r="J326" s="813"/>
      <c r="K326" s="814"/>
      <c r="L326" s="1499"/>
      <c r="M326" s="1488"/>
      <c r="N326" s="1488"/>
      <c r="O326" s="1489"/>
      <c r="P326" s="1489"/>
      <c r="Q326" s="1489"/>
      <c r="R326" s="1489"/>
      <c r="S326" s="1489"/>
      <c r="T326" s="1489"/>
      <c r="U326" s="1489"/>
      <c r="V326" s="1489"/>
      <c r="W326" s="1489"/>
      <c r="X326" s="1489"/>
      <c r="Y326" s="1489"/>
      <c r="Z326" s="1489"/>
      <c r="AA326" s="1489"/>
      <c r="AB326" s="1489"/>
      <c r="AC326" s="1489"/>
      <c r="AD326" s="1489"/>
      <c r="AE326" s="1489"/>
      <c r="AF326" s="1489"/>
      <c r="AG326" s="1489"/>
      <c r="AH326" s="1489"/>
      <c r="AI326" s="1489"/>
      <c r="AJ326" s="1489"/>
      <c r="AK326" s="1489"/>
      <c r="AL326" s="1489"/>
      <c r="AM326" s="1489"/>
      <c r="AN326" s="1489"/>
      <c r="AO326" s="1489"/>
      <c r="AP326" s="1489"/>
      <c r="AQ326" s="1489"/>
      <c r="AR326" s="1488"/>
      <c r="AS326" s="1488"/>
      <c r="AT326" s="1488"/>
      <c r="AU326" s="1488"/>
      <c r="AV326" s="1488"/>
      <c r="AW326" s="1488"/>
      <c r="AX326" s="1488"/>
      <c r="AY326" s="1488"/>
    </row>
    <row r="327" spans="3:51" s="1502" customFormat="1">
      <c r="C327" s="1498"/>
      <c r="D327" s="1501"/>
      <c r="E327" s="1500"/>
      <c r="F327" s="814"/>
      <c r="G327" s="1494"/>
      <c r="H327" s="1493"/>
      <c r="I327" s="1493"/>
      <c r="J327" s="813"/>
      <c r="K327" s="814"/>
      <c r="L327" s="1499"/>
      <c r="M327" s="1488"/>
      <c r="N327" s="1488"/>
      <c r="O327" s="1489"/>
      <c r="P327" s="1489"/>
      <c r="Q327" s="1489"/>
      <c r="R327" s="1489"/>
      <c r="S327" s="1489"/>
      <c r="T327" s="1489"/>
      <c r="U327" s="1489"/>
      <c r="V327" s="1489"/>
      <c r="W327" s="1489"/>
      <c r="X327" s="1489"/>
      <c r="Y327" s="1489"/>
      <c r="Z327" s="1489"/>
      <c r="AA327" s="1489"/>
      <c r="AB327" s="1489"/>
      <c r="AC327" s="1489"/>
      <c r="AD327" s="1489"/>
      <c r="AE327" s="1489"/>
      <c r="AF327" s="1489"/>
      <c r="AG327" s="1489"/>
      <c r="AH327" s="1489"/>
      <c r="AI327" s="1489"/>
      <c r="AJ327" s="1489"/>
      <c r="AK327" s="1489"/>
      <c r="AL327" s="1489"/>
      <c r="AM327" s="1489"/>
      <c r="AN327" s="1489"/>
      <c r="AO327" s="1489"/>
      <c r="AP327" s="1489"/>
      <c r="AQ327" s="1489"/>
      <c r="AR327" s="1488"/>
      <c r="AS327" s="1488"/>
      <c r="AT327" s="1488"/>
      <c r="AU327" s="1488"/>
      <c r="AV327" s="1488"/>
      <c r="AW327" s="1488"/>
      <c r="AX327" s="1488"/>
      <c r="AY327" s="1488"/>
    </row>
    <row r="328" spans="3:51" s="1502" customFormat="1">
      <c r="C328" s="1498"/>
      <c r="D328" s="1501"/>
      <c r="E328" s="1500"/>
      <c r="F328" s="814"/>
      <c r="G328" s="1494"/>
      <c r="H328" s="1493"/>
      <c r="I328" s="1493"/>
      <c r="J328" s="813"/>
      <c r="K328" s="814"/>
      <c r="L328" s="1499"/>
      <c r="M328" s="1488"/>
      <c r="N328" s="1488"/>
      <c r="O328" s="1489"/>
      <c r="P328" s="1489"/>
      <c r="Q328" s="1489"/>
      <c r="R328" s="1489"/>
      <c r="S328" s="1489"/>
      <c r="T328" s="1489"/>
      <c r="U328" s="1489"/>
      <c r="V328" s="1489"/>
      <c r="W328" s="1489"/>
      <c r="X328" s="1489"/>
      <c r="Y328" s="1489"/>
      <c r="Z328" s="1489"/>
      <c r="AA328" s="1489"/>
      <c r="AB328" s="1489"/>
      <c r="AC328" s="1489"/>
      <c r="AD328" s="1489"/>
      <c r="AE328" s="1489"/>
      <c r="AF328" s="1489"/>
      <c r="AG328" s="1489"/>
      <c r="AH328" s="1489"/>
      <c r="AI328" s="1489"/>
      <c r="AJ328" s="1489"/>
      <c r="AK328" s="1489"/>
      <c r="AL328" s="1489"/>
      <c r="AM328" s="1489"/>
      <c r="AN328" s="1489"/>
      <c r="AO328" s="1489"/>
      <c r="AP328" s="1489"/>
      <c r="AQ328" s="1489"/>
      <c r="AR328" s="1488"/>
      <c r="AS328" s="1488"/>
      <c r="AT328" s="1488"/>
      <c r="AU328" s="1488"/>
      <c r="AV328" s="1488"/>
      <c r="AW328" s="1488"/>
      <c r="AX328" s="1488"/>
      <c r="AY328" s="1488"/>
    </row>
    <row r="329" spans="3:51" s="1502" customFormat="1">
      <c r="C329" s="1498"/>
      <c r="D329" s="1501"/>
      <c r="E329" s="1500"/>
      <c r="F329" s="814"/>
      <c r="G329" s="1494"/>
      <c r="H329" s="1493"/>
      <c r="I329" s="1493"/>
      <c r="J329" s="813"/>
      <c r="K329" s="814"/>
      <c r="L329" s="1499"/>
      <c r="M329" s="1488"/>
      <c r="N329" s="1488"/>
      <c r="O329" s="1489"/>
      <c r="P329" s="1489"/>
      <c r="Q329" s="1489"/>
      <c r="R329" s="1489"/>
      <c r="S329" s="1489"/>
      <c r="T329" s="1489"/>
      <c r="U329" s="1489"/>
      <c r="V329" s="1489"/>
      <c r="W329" s="1489"/>
      <c r="X329" s="1489"/>
      <c r="Y329" s="1489"/>
      <c r="Z329" s="1489"/>
      <c r="AA329" s="1489"/>
      <c r="AB329" s="1489"/>
      <c r="AC329" s="1489"/>
      <c r="AD329" s="1489"/>
      <c r="AE329" s="1489"/>
      <c r="AF329" s="1489"/>
      <c r="AG329" s="1489"/>
      <c r="AH329" s="1489"/>
      <c r="AI329" s="1489"/>
      <c r="AJ329" s="1489"/>
      <c r="AK329" s="1489"/>
      <c r="AL329" s="1489"/>
      <c r="AM329" s="1489"/>
      <c r="AN329" s="1489"/>
      <c r="AO329" s="1489"/>
      <c r="AP329" s="1489"/>
      <c r="AQ329" s="1489"/>
      <c r="AR329" s="1488"/>
      <c r="AS329" s="1488"/>
      <c r="AT329" s="1488"/>
      <c r="AU329" s="1488"/>
      <c r="AV329" s="1488"/>
      <c r="AW329" s="1488"/>
      <c r="AX329" s="1488"/>
      <c r="AY329" s="1488"/>
    </row>
    <row r="330" spans="3:51" s="1502" customFormat="1">
      <c r="C330" s="1498"/>
      <c r="D330" s="1501"/>
      <c r="E330" s="1500"/>
      <c r="F330" s="814"/>
      <c r="G330" s="1494"/>
      <c r="H330" s="1493"/>
      <c r="I330" s="1493"/>
      <c r="J330" s="813"/>
      <c r="K330" s="814"/>
      <c r="L330" s="1499"/>
      <c r="M330" s="1488"/>
      <c r="N330" s="1488"/>
      <c r="O330" s="1489"/>
      <c r="P330" s="1489"/>
      <c r="Q330" s="1489"/>
      <c r="R330" s="1489"/>
      <c r="S330" s="1489"/>
      <c r="T330" s="1489"/>
      <c r="U330" s="1489"/>
      <c r="V330" s="1489"/>
      <c r="W330" s="1489"/>
      <c r="X330" s="1489"/>
      <c r="Y330" s="1489"/>
      <c r="Z330" s="1489"/>
      <c r="AA330" s="1489"/>
      <c r="AB330" s="1489"/>
      <c r="AC330" s="1489"/>
      <c r="AD330" s="1489"/>
      <c r="AE330" s="1489"/>
      <c r="AF330" s="1489"/>
      <c r="AG330" s="1489"/>
      <c r="AH330" s="1489"/>
      <c r="AI330" s="1489"/>
      <c r="AJ330" s="1489"/>
      <c r="AK330" s="1489"/>
      <c r="AL330" s="1489"/>
      <c r="AM330" s="1489"/>
      <c r="AN330" s="1489"/>
      <c r="AO330" s="1489"/>
      <c r="AP330" s="1489"/>
      <c r="AQ330" s="1489"/>
      <c r="AR330" s="1488"/>
      <c r="AS330" s="1488"/>
      <c r="AT330" s="1488"/>
      <c r="AU330" s="1488"/>
      <c r="AV330" s="1488"/>
      <c r="AW330" s="1488"/>
      <c r="AX330" s="1488"/>
      <c r="AY330" s="1488"/>
    </row>
    <row r="331" spans="3:51" s="1502" customFormat="1">
      <c r="C331" s="1498"/>
      <c r="D331" s="1501"/>
      <c r="E331" s="1500"/>
      <c r="F331" s="814"/>
      <c r="G331" s="1494"/>
      <c r="H331" s="1493"/>
      <c r="I331" s="1493"/>
      <c r="J331" s="813"/>
      <c r="K331" s="814"/>
      <c r="L331" s="1499"/>
      <c r="M331" s="1488"/>
      <c r="N331" s="1488"/>
      <c r="O331" s="1489"/>
      <c r="P331" s="1489"/>
      <c r="Q331" s="1489"/>
      <c r="R331" s="1489"/>
      <c r="S331" s="1489"/>
      <c r="T331" s="1489"/>
      <c r="U331" s="1489"/>
      <c r="V331" s="1489"/>
      <c r="W331" s="1489"/>
      <c r="X331" s="1489"/>
      <c r="Y331" s="1489"/>
      <c r="Z331" s="1489"/>
      <c r="AA331" s="1489"/>
      <c r="AB331" s="1489"/>
      <c r="AC331" s="1489"/>
      <c r="AD331" s="1489"/>
      <c r="AE331" s="1489"/>
      <c r="AF331" s="1489"/>
      <c r="AG331" s="1489"/>
      <c r="AH331" s="1489"/>
      <c r="AI331" s="1489"/>
      <c r="AJ331" s="1489"/>
      <c r="AK331" s="1489"/>
      <c r="AL331" s="1489"/>
      <c r="AM331" s="1489"/>
      <c r="AN331" s="1489"/>
      <c r="AO331" s="1489"/>
      <c r="AP331" s="1489"/>
      <c r="AQ331" s="1489"/>
      <c r="AR331" s="1488"/>
      <c r="AS331" s="1488"/>
      <c r="AT331" s="1488"/>
      <c r="AU331" s="1488"/>
      <c r="AV331" s="1488"/>
      <c r="AW331" s="1488"/>
      <c r="AX331" s="1488"/>
      <c r="AY331" s="1488"/>
    </row>
    <row r="332" spans="3:51" s="1502" customFormat="1">
      <c r="C332" s="1498"/>
      <c r="D332" s="1501"/>
      <c r="E332" s="1500"/>
      <c r="F332" s="814"/>
      <c r="G332" s="1494"/>
      <c r="H332" s="1493"/>
      <c r="I332" s="1493"/>
      <c r="J332" s="813"/>
      <c r="K332" s="814"/>
      <c r="L332" s="1499"/>
      <c r="M332" s="1488"/>
      <c r="N332" s="1488"/>
      <c r="O332" s="1489"/>
      <c r="P332" s="1489"/>
      <c r="Q332" s="1489"/>
      <c r="R332" s="1489"/>
      <c r="S332" s="1489"/>
      <c r="T332" s="1489"/>
      <c r="U332" s="1489"/>
      <c r="V332" s="1489"/>
      <c r="W332" s="1489"/>
      <c r="X332" s="1489"/>
      <c r="Y332" s="1489"/>
      <c r="Z332" s="1489"/>
      <c r="AA332" s="1489"/>
      <c r="AB332" s="1489"/>
      <c r="AC332" s="1489"/>
      <c r="AD332" s="1489"/>
      <c r="AE332" s="1489"/>
      <c r="AF332" s="1489"/>
      <c r="AG332" s="1489"/>
      <c r="AH332" s="1489"/>
      <c r="AI332" s="1489"/>
      <c r="AJ332" s="1489"/>
      <c r="AK332" s="1489"/>
      <c r="AL332" s="1489"/>
      <c r="AM332" s="1489"/>
      <c r="AN332" s="1489"/>
      <c r="AO332" s="1489"/>
      <c r="AP332" s="1489"/>
      <c r="AQ332" s="1489"/>
      <c r="AR332" s="1488"/>
      <c r="AS332" s="1488"/>
      <c r="AT332" s="1488"/>
      <c r="AU332" s="1488"/>
      <c r="AV332" s="1488"/>
      <c r="AW332" s="1488"/>
      <c r="AX332" s="1488"/>
      <c r="AY332" s="1488"/>
    </row>
    <row r="333" spans="3:51" s="1502" customFormat="1">
      <c r="C333" s="1498"/>
      <c r="D333" s="1501"/>
      <c r="E333" s="1500"/>
      <c r="F333" s="814"/>
      <c r="G333" s="1494"/>
      <c r="H333" s="1493"/>
      <c r="I333" s="1493"/>
      <c r="J333" s="813"/>
      <c r="K333" s="814"/>
      <c r="L333" s="1499"/>
      <c r="M333" s="1488"/>
      <c r="N333" s="1488"/>
      <c r="O333" s="1489"/>
      <c r="P333" s="1489"/>
      <c r="Q333" s="1489"/>
      <c r="R333" s="1489"/>
      <c r="S333" s="1489"/>
      <c r="T333" s="1489"/>
      <c r="U333" s="1489"/>
      <c r="V333" s="1489"/>
      <c r="W333" s="1489"/>
      <c r="X333" s="1489"/>
      <c r="Y333" s="1489"/>
      <c r="Z333" s="1489"/>
      <c r="AA333" s="1489"/>
      <c r="AB333" s="1489"/>
      <c r="AC333" s="1489"/>
      <c r="AD333" s="1489"/>
      <c r="AE333" s="1489"/>
      <c r="AF333" s="1489"/>
      <c r="AG333" s="1489"/>
      <c r="AH333" s="1489"/>
      <c r="AI333" s="1489"/>
      <c r="AJ333" s="1489"/>
      <c r="AK333" s="1489"/>
      <c r="AL333" s="1489"/>
      <c r="AM333" s="1489"/>
      <c r="AN333" s="1489"/>
      <c r="AO333" s="1489"/>
      <c r="AP333" s="1489"/>
      <c r="AQ333" s="1489"/>
      <c r="AR333" s="1488"/>
      <c r="AS333" s="1488"/>
      <c r="AT333" s="1488"/>
      <c r="AU333" s="1488"/>
      <c r="AV333" s="1488"/>
      <c r="AW333" s="1488"/>
      <c r="AX333" s="1488"/>
      <c r="AY333" s="1488"/>
    </row>
    <row r="334" spans="3:51" s="1502" customFormat="1">
      <c r="C334" s="1498"/>
      <c r="D334" s="1501"/>
      <c r="E334" s="1500"/>
      <c r="F334" s="814"/>
      <c r="G334" s="1494"/>
      <c r="H334" s="1493"/>
      <c r="I334" s="1493"/>
      <c r="J334" s="813"/>
      <c r="K334" s="814"/>
      <c r="L334" s="1499"/>
      <c r="M334" s="1488"/>
      <c r="N334" s="1488"/>
      <c r="O334" s="1489"/>
      <c r="P334" s="1489"/>
      <c r="Q334" s="1489"/>
      <c r="R334" s="1489"/>
      <c r="S334" s="1489"/>
      <c r="T334" s="1489"/>
      <c r="U334" s="1489"/>
      <c r="V334" s="1489"/>
      <c r="W334" s="1489"/>
      <c r="X334" s="1489"/>
      <c r="Y334" s="1489"/>
      <c r="Z334" s="1489"/>
      <c r="AA334" s="1489"/>
      <c r="AB334" s="1489"/>
      <c r="AC334" s="1489"/>
      <c r="AD334" s="1489"/>
      <c r="AE334" s="1489"/>
      <c r="AF334" s="1489"/>
      <c r="AG334" s="1489"/>
      <c r="AH334" s="1489"/>
      <c r="AI334" s="1489"/>
      <c r="AJ334" s="1489"/>
      <c r="AK334" s="1489"/>
      <c r="AL334" s="1489"/>
      <c r="AM334" s="1489"/>
      <c r="AN334" s="1489"/>
      <c r="AO334" s="1489"/>
      <c r="AP334" s="1489"/>
      <c r="AQ334" s="1489"/>
      <c r="AR334" s="1488"/>
      <c r="AS334" s="1488"/>
      <c r="AT334" s="1488"/>
      <c r="AU334" s="1488"/>
      <c r="AV334" s="1488"/>
      <c r="AW334" s="1488"/>
      <c r="AX334" s="1488"/>
      <c r="AY334" s="1488"/>
    </row>
    <row r="335" spans="3:51" s="1502" customFormat="1">
      <c r="C335" s="1498"/>
      <c r="D335" s="1501"/>
      <c r="E335" s="1500"/>
      <c r="F335" s="814"/>
      <c r="G335" s="1494"/>
      <c r="H335" s="1493"/>
      <c r="I335" s="1493"/>
      <c r="J335" s="813"/>
      <c r="K335" s="814"/>
      <c r="L335" s="1499"/>
      <c r="M335" s="1488"/>
      <c r="N335" s="1488"/>
      <c r="O335" s="1489"/>
      <c r="P335" s="1489"/>
      <c r="Q335" s="1489"/>
      <c r="R335" s="1489"/>
      <c r="S335" s="1489"/>
      <c r="T335" s="1489"/>
      <c r="U335" s="1489"/>
      <c r="V335" s="1489"/>
      <c r="W335" s="1489"/>
      <c r="X335" s="1489"/>
      <c r="Y335" s="1489"/>
      <c r="Z335" s="1489"/>
      <c r="AA335" s="1489"/>
      <c r="AB335" s="1489"/>
      <c r="AC335" s="1489"/>
      <c r="AD335" s="1489"/>
      <c r="AE335" s="1489"/>
      <c r="AF335" s="1489"/>
      <c r="AG335" s="1489"/>
      <c r="AH335" s="1489"/>
      <c r="AI335" s="1489"/>
      <c r="AJ335" s="1489"/>
      <c r="AK335" s="1489"/>
      <c r="AL335" s="1489"/>
      <c r="AM335" s="1489"/>
      <c r="AN335" s="1489"/>
      <c r="AO335" s="1489"/>
      <c r="AP335" s="1489"/>
      <c r="AQ335" s="1489"/>
      <c r="AR335" s="1488"/>
      <c r="AS335" s="1488"/>
      <c r="AT335" s="1488"/>
      <c r="AU335" s="1488"/>
      <c r="AV335" s="1488"/>
      <c r="AW335" s="1488"/>
      <c r="AX335" s="1488"/>
      <c r="AY335" s="1488"/>
    </row>
    <row r="336" spans="3:51" s="1502" customFormat="1">
      <c r="C336" s="1498"/>
      <c r="D336" s="1501"/>
      <c r="E336" s="1500"/>
      <c r="F336" s="814"/>
      <c r="G336" s="1494"/>
      <c r="H336" s="1493"/>
      <c r="I336" s="1493"/>
      <c r="J336" s="813"/>
      <c r="K336" s="814"/>
      <c r="L336" s="1499"/>
      <c r="M336" s="1488"/>
      <c r="N336" s="1488"/>
      <c r="O336" s="1489"/>
      <c r="P336" s="1489"/>
      <c r="Q336" s="1489"/>
      <c r="R336" s="1489"/>
      <c r="S336" s="1489"/>
      <c r="T336" s="1489"/>
      <c r="U336" s="1489"/>
      <c r="V336" s="1489"/>
      <c r="W336" s="1489"/>
      <c r="X336" s="1489"/>
      <c r="Y336" s="1489"/>
      <c r="Z336" s="1489"/>
      <c r="AA336" s="1489"/>
      <c r="AB336" s="1489"/>
      <c r="AC336" s="1489"/>
      <c r="AD336" s="1489"/>
      <c r="AE336" s="1489"/>
      <c r="AF336" s="1489"/>
      <c r="AG336" s="1489"/>
      <c r="AH336" s="1489"/>
      <c r="AI336" s="1489"/>
      <c r="AJ336" s="1489"/>
      <c r="AK336" s="1489"/>
      <c r="AL336" s="1489"/>
      <c r="AM336" s="1489"/>
      <c r="AN336" s="1489"/>
      <c r="AO336" s="1489"/>
      <c r="AP336" s="1489"/>
      <c r="AQ336" s="1489"/>
      <c r="AR336" s="1488"/>
      <c r="AS336" s="1488"/>
      <c r="AT336" s="1488"/>
      <c r="AU336" s="1488"/>
      <c r="AV336" s="1488"/>
      <c r="AW336" s="1488"/>
      <c r="AX336" s="1488"/>
      <c r="AY336" s="1488"/>
    </row>
    <row r="337" spans="3:51" s="1502" customFormat="1">
      <c r="C337" s="1498"/>
      <c r="D337" s="1501"/>
      <c r="E337" s="1500"/>
      <c r="F337" s="814"/>
      <c r="G337" s="1494"/>
      <c r="H337" s="1493"/>
      <c r="I337" s="1493"/>
      <c r="J337" s="813"/>
      <c r="K337" s="814"/>
      <c r="L337" s="1499"/>
      <c r="M337" s="1488"/>
      <c r="N337" s="1488"/>
      <c r="O337" s="1489"/>
      <c r="P337" s="1489"/>
      <c r="Q337" s="1489"/>
      <c r="R337" s="1489"/>
      <c r="S337" s="1489"/>
      <c r="T337" s="1489"/>
      <c r="U337" s="1489"/>
      <c r="V337" s="1489"/>
      <c r="W337" s="1489"/>
      <c r="X337" s="1489"/>
      <c r="Y337" s="1489"/>
      <c r="Z337" s="1489"/>
      <c r="AA337" s="1489"/>
      <c r="AB337" s="1489"/>
      <c r="AC337" s="1489"/>
      <c r="AD337" s="1489"/>
      <c r="AE337" s="1489"/>
      <c r="AF337" s="1489"/>
      <c r="AG337" s="1489"/>
      <c r="AH337" s="1489"/>
      <c r="AI337" s="1489"/>
      <c r="AJ337" s="1489"/>
      <c r="AK337" s="1489"/>
      <c r="AL337" s="1489"/>
      <c r="AM337" s="1489"/>
      <c r="AN337" s="1489"/>
      <c r="AO337" s="1489"/>
      <c r="AP337" s="1489"/>
      <c r="AQ337" s="1489"/>
      <c r="AR337" s="1488"/>
      <c r="AS337" s="1488"/>
      <c r="AT337" s="1488"/>
      <c r="AU337" s="1488"/>
      <c r="AV337" s="1488"/>
      <c r="AW337" s="1488"/>
      <c r="AX337" s="1488"/>
      <c r="AY337" s="1488"/>
    </row>
    <row r="338" spans="3:51" s="1502" customFormat="1">
      <c r="C338" s="1498"/>
      <c r="D338" s="1501"/>
      <c r="E338" s="1500"/>
      <c r="F338" s="814"/>
      <c r="G338" s="1494"/>
      <c r="H338" s="1493"/>
      <c r="I338" s="1493"/>
      <c r="J338" s="813"/>
      <c r="K338" s="814"/>
      <c r="L338" s="1499"/>
      <c r="M338" s="1488"/>
      <c r="N338" s="1488"/>
      <c r="O338" s="1489"/>
      <c r="P338" s="1489"/>
      <c r="Q338" s="1489"/>
      <c r="R338" s="1489"/>
      <c r="S338" s="1489"/>
      <c r="T338" s="1489"/>
      <c r="U338" s="1489"/>
      <c r="V338" s="1489"/>
      <c r="W338" s="1489"/>
      <c r="X338" s="1489"/>
      <c r="Y338" s="1489"/>
      <c r="Z338" s="1489"/>
      <c r="AA338" s="1489"/>
      <c r="AB338" s="1489"/>
      <c r="AC338" s="1489"/>
      <c r="AD338" s="1489"/>
      <c r="AE338" s="1489"/>
      <c r="AF338" s="1489"/>
      <c r="AG338" s="1489"/>
      <c r="AH338" s="1489"/>
      <c r="AI338" s="1489"/>
      <c r="AJ338" s="1489"/>
      <c r="AK338" s="1489"/>
      <c r="AL338" s="1489"/>
      <c r="AM338" s="1489"/>
      <c r="AN338" s="1489"/>
      <c r="AO338" s="1489"/>
      <c r="AP338" s="1489"/>
      <c r="AQ338" s="1489"/>
      <c r="AR338" s="1488"/>
      <c r="AS338" s="1488"/>
      <c r="AT338" s="1488"/>
      <c r="AU338" s="1488"/>
      <c r="AV338" s="1488"/>
      <c r="AW338" s="1488"/>
      <c r="AX338" s="1488"/>
      <c r="AY338" s="1488"/>
    </row>
    <row r="339" spans="3:51" s="1502" customFormat="1">
      <c r="C339" s="1498"/>
      <c r="D339" s="1501"/>
      <c r="E339" s="1500"/>
      <c r="F339" s="814"/>
      <c r="G339" s="1494"/>
      <c r="H339" s="1493"/>
      <c r="I339" s="1493"/>
      <c r="J339" s="813"/>
      <c r="K339" s="814"/>
      <c r="L339" s="1499"/>
      <c r="M339" s="1488"/>
      <c r="N339" s="1488"/>
      <c r="O339" s="1489"/>
      <c r="P339" s="1489"/>
      <c r="Q339" s="1489"/>
      <c r="R339" s="1489"/>
      <c r="S339" s="1489"/>
      <c r="T339" s="1489"/>
      <c r="U339" s="1489"/>
      <c r="V339" s="1489"/>
      <c r="W339" s="1489"/>
      <c r="X339" s="1489"/>
      <c r="Y339" s="1489"/>
      <c r="Z339" s="1489"/>
      <c r="AA339" s="1489"/>
      <c r="AB339" s="1489"/>
      <c r="AC339" s="1489"/>
      <c r="AD339" s="1489"/>
      <c r="AE339" s="1489"/>
      <c r="AF339" s="1489"/>
      <c r="AG339" s="1489"/>
      <c r="AH339" s="1489"/>
      <c r="AI339" s="1489"/>
      <c r="AJ339" s="1489"/>
      <c r="AK339" s="1489"/>
      <c r="AL339" s="1489"/>
      <c r="AM339" s="1489"/>
      <c r="AN339" s="1489"/>
      <c r="AO339" s="1489"/>
      <c r="AP339" s="1489"/>
      <c r="AQ339" s="1489"/>
      <c r="AR339" s="1488"/>
      <c r="AS339" s="1488"/>
      <c r="AT339" s="1488"/>
      <c r="AU339" s="1488"/>
      <c r="AV339" s="1488"/>
      <c r="AW339" s="1488"/>
      <c r="AX339" s="1488"/>
      <c r="AY339" s="1488"/>
    </row>
    <row r="340" spans="3:51" s="1502" customFormat="1">
      <c r="C340" s="1498"/>
      <c r="D340" s="1501"/>
      <c r="E340" s="1500"/>
      <c r="F340" s="814"/>
      <c r="G340" s="1494"/>
      <c r="H340" s="1493"/>
      <c r="I340" s="1493"/>
      <c r="J340" s="813"/>
      <c r="K340" s="814"/>
      <c r="L340" s="1499"/>
      <c r="M340" s="1488"/>
      <c r="N340" s="1488"/>
      <c r="O340" s="1489"/>
      <c r="P340" s="1489"/>
      <c r="Q340" s="1489"/>
      <c r="R340" s="1489"/>
      <c r="S340" s="1489"/>
      <c r="T340" s="1489"/>
      <c r="U340" s="1489"/>
      <c r="V340" s="1489"/>
      <c r="W340" s="1489"/>
      <c r="X340" s="1489"/>
      <c r="Y340" s="1489"/>
      <c r="Z340" s="1489"/>
      <c r="AA340" s="1489"/>
      <c r="AB340" s="1489"/>
      <c r="AC340" s="1489"/>
      <c r="AD340" s="1489"/>
      <c r="AE340" s="1489"/>
      <c r="AF340" s="1489"/>
      <c r="AG340" s="1489"/>
      <c r="AH340" s="1489"/>
      <c r="AI340" s="1489"/>
      <c r="AJ340" s="1489"/>
      <c r="AK340" s="1489"/>
      <c r="AL340" s="1489"/>
      <c r="AM340" s="1489"/>
      <c r="AN340" s="1489"/>
      <c r="AO340" s="1489"/>
      <c r="AP340" s="1489"/>
      <c r="AQ340" s="1489"/>
      <c r="AR340" s="1488"/>
      <c r="AS340" s="1488"/>
      <c r="AT340" s="1488"/>
      <c r="AU340" s="1488"/>
      <c r="AV340" s="1488"/>
      <c r="AW340" s="1488"/>
      <c r="AX340" s="1488"/>
      <c r="AY340" s="1488"/>
    </row>
    <row r="341" spans="3:51" s="1502" customFormat="1">
      <c r="C341" s="1498"/>
      <c r="D341" s="1501"/>
      <c r="E341" s="1500"/>
      <c r="F341" s="814"/>
      <c r="G341" s="1494"/>
      <c r="H341" s="1493"/>
      <c r="I341" s="1493"/>
      <c r="J341" s="813"/>
      <c r="K341" s="814"/>
      <c r="L341" s="1499"/>
      <c r="M341" s="1488"/>
      <c r="N341" s="1488"/>
      <c r="O341" s="1489"/>
      <c r="P341" s="1489"/>
      <c r="Q341" s="1489"/>
      <c r="R341" s="1489"/>
      <c r="S341" s="1489"/>
      <c r="T341" s="1489"/>
      <c r="U341" s="1489"/>
      <c r="V341" s="1489"/>
      <c r="W341" s="1489"/>
      <c r="X341" s="1489"/>
      <c r="Y341" s="1489"/>
      <c r="Z341" s="1489"/>
      <c r="AA341" s="1489"/>
      <c r="AB341" s="1489"/>
      <c r="AC341" s="1489"/>
      <c r="AD341" s="1489"/>
      <c r="AE341" s="1489"/>
      <c r="AF341" s="1489"/>
      <c r="AG341" s="1489"/>
      <c r="AH341" s="1489"/>
      <c r="AI341" s="1489"/>
      <c r="AJ341" s="1489"/>
      <c r="AK341" s="1489"/>
      <c r="AL341" s="1489"/>
      <c r="AM341" s="1489"/>
      <c r="AN341" s="1489"/>
      <c r="AO341" s="1489"/>
      <c r="AP341" s="1489"/>
      <c r="AQ341" s="1489"/>
      <c r="AR341" s="1488"/>
      <c r="AS341" s="1488"/>
      <c r="AT341" s="1488"/>
      <c r="AU341" s="1488"/>
      <c r="AV341" s="1488"/>
      <c r="AW341" s="1488"/>
      <c r="AX341" s="1488"/>
      <c r="AY341" s="1488"/>
    </row>
    <row r="342" spans="3:51" s="1502" customFormat="1">
      <c r="C342" s="1498"/>
      <c r="D342" s="1501"/>
      <c r="E342" s="1500"/>
      <c r="F342" s="814"/>
      <c r="G342" s="1494"/>
      <c r="H342" s="1493"/>
      <c r="I342" s="1493"/>
      <c r="J342" s="813"/>
      <c r="K342" s="814"/>
      <c r="L342" s="1499"/>
      <c r="M342" s="1488"/>
      <c r="N342" s="1488"/>
      <c r="O342" s="1489"/>
      <c r="P342" s="1489"/>
      <c r="Q342" s="1489"/>
      <c r="R342" s="1489"/>
      <c r="S342" s="1489"/>
      <c r="T342" s="1489"/>
      <c r="U342" s="1489"/>
      <c r="V342" s="1489"/>
      <c r="W342" s="1489"/>
      <c r="X342" s="1489"/>
      <c r="Y342" s="1489"/>
      <c r="Z342" s="1489"/>
      <c r="AA342" s="1489"/>
      <c r="AB342" s="1489"/>
      <c r="AC342" s="1489"/>
      <c r="AD342" s="1489"/>
      <c r="AE342" s="1489"/>
      <c r="AF342" s="1489"/>
      <c r="AG342" s="1489"/>
      <c r="AH342" s="1489"/>
      <c r="AI342" s="1489"/>
      <c r="AJ342" s="1489"/>
      <c r="AK342" s="1489"/>
      <c r="AL342" s="1489"/>
      <c r="AM342" s="1489"/>
      <c r="AN342" s="1489"/>
      <c r="AO342" s="1489"/>
      <c r="AP342" s="1489"/>
      <c r="AQ342" s="1489"/>
      <c r="AR342" s="1488"/>
      <c r="AS342" s="1488"/>
      <c r="AT342" s="1488"/>
      <c r="AU342" s="1488"/>
      <c r="AV342" s="1488"/>
      <c r="AW342" s="1488"/>
      <c r="AX342" s="1488"/>
      <c r="AY342" s="1488"/>
    </row>
    <row r="343" spans="3:51" s="1502" customFormat="1">
      <c r="C343" s="1498"/>
      <c r="D343" s="1501"/>
      <c r="E343" s="1500"/>
      <c r="F343" s="814"/>
      <c r="G343" s="1494"/>
      <c r="H343" s="1493"/>
      <c r="I343" s="1493"/>
      <c r="J343" s="813"/>
      <c r="K343" s="814"/>
      <c r="L343" s="1499"/>
      <c r="M343" s="1488"/>
      <c r="N343" s="1488"/>
      <c r="O343" s="1489"/>
      <c r="P343" s="1489"/>
      <c r="Q343" s="1489"/>
      <c r="R343" s="1489"/>
      <c r="S343" s="1489"/>
      <c r="T343" s="1489"/>
      <c r="U343" s="1489"/>
      <c r="V343" s="1489"/>
      <c r="W343" s="1489"/>
      <c r="X343" s="1489"/>
      <c r="Y343" s="1489"/>
      <c r="Z343" s="1489"/>
      <c r="AA343" s="1489"/>
      <c r="AB343" s="1489"/>
      <c r="AC343" s="1489"/>
      <c r="AD343" s="1489"/>
      <c r="AE343" s="1489"/>
      <c r="AF343" s="1489"/>
      <c r="AG343" s="1489"/>
      <c r="AH343" s="1489"/>
      <c r="AI343" s="1489"/>
      <c r="AJ343" s="1489"/>
      <c r="AK343" s="1489"/>
      <c r="AL343" s="1489"/>
      <c r="AM343" s="1489"/>
      <c r="AN343" s="1489"/>
      <c r="AO343" s="1489"/>
      <c r="AP343" s="1489"/>
      <c r="AQ343" s="1489"/>
      <c r="AR343" s="1488"/>
      <c r="AS343" s="1488"/>
      <c r="AT343" s="1488"/>
      <c r="AU343" s="1488"/>
      <c r="AV343" s="1488"/>
      <c r="AW343" s="1488"/>
      <c r="AX343" s="1488"/>
      <c r="AY343" s="1488"/>
    </row>
    <row r="344" spans="3:51" s="1502" customFormat="1">
      <c r="C344" s="1498"/>
      <c r="D344" s="1501"/>
      <c r="E344" s="1500"/>
      <c r="F344" s="814"/>
      <c r="G344" s="1494"/>
      <c r="H344" s="1493"/>
      <c r="I344" s="1493"/>
      <c r="J344" s="813"/>
      <c r="K344" s="814"/>
      <c r="L344" s="1499"/>
      <c r="M344" s="1488"/>
      <c r="N344" s="1488"/>
      <c r="O344" s="1489"/>
      <c r="P344" s="1489"/>
      <c r="Q344" s="1489"/>
      <c r="R344" s="1489"/>
      <c r="S344" s="1489"/>
      <c r="T344" s="1489"/>
      <c r="U344" s="1489"/>
      <c r="V344" s="1489"/>
      <c r="W344" s="1489"/>
      <c r="X344" s="1489"/>
      <c r="Y344" s="1489"/>
      <c r="Z344" s="1489"/>
      <c r="AA344" s="1489"/>
      <c r="AB344" s="1489"/>
      <c r="AC344" s="1489"/>
      <c r="AD344" s="1489"/>
      <c r="AE344" s="1489"/>
      <c r="AF344" s="1489"/>
      <c r="AG344" s="1489"/>
      <c r="AH344" s="1489"/>
      <c r="AI344" s="1489"/>
      <c r="AJ344" s="1489"/>
      <c r="AK344" s="1489"/>
      <c r="AL344" s="1489"/>
      <c r="AM344" s="1489"/>
      <c r="AN344" s="1489"/>
      <c r="AO344" s="1489"/>
      <c r="AP344" s="1489"/>
      <c r="AQ344" s="1489"/>
      <c r="AR344" s="1488"/>
      <c r="AS344" s="1488"/>
      <c r="AT344" s="1488"/>
      <c r="AU344" s="1488"/>
      <c r="AV344" s="1488"/>
      <c r="AW344" s="1488"/>
      <c r="AX344" s="1488"/>
      <c r="AY344" s="1488"/>
    </row>
    <row r="345" spans="3:51" s="1502" customFormat="1">
      <c r="C345" s="1498"/>
      <c r="D345" s="1501"/>
      <c r="E345" s="1500"/>
      <c r="F345" s="814"/>
      <c r="G345" s="1494"/>
      <c r="H345" s="1493"/>
      <c r="I345" s="1493"/>
      <c r="J345" s="813"/>
      <c r="K345" s="814"/>
      <c r="L345" s="1499"/>
      <c r="M345" s="1488"/>
      <c r="N345" s="1488"/>
      <c r="O345" s="1489"/>
      <c r="P345" s="1489"/>
      <c r="Q345" s="1489"/>
      <c r="R345" s="1489"/>
      <c r="S345" s="1489"/>
      <c r="T345" s="1489"/>
      <c r="U345" s="1489"/>
      <c r="V345" s="1489"/>
      <c r="W345" s="1489"/>
      <c r="X345" s="1489"/>
      <c r="Y345" s="1489"/>
      <c r="Z345" s="1489"/>
      <c r="AA345" s="1489"/>
      <c r="AB345" s="1489"/>
      <c r="AC345" s="1489"/>
      <c r="AD345" s="1489"/>
      <c r="AE345" s="1489"/>
      <c r="AF345" s="1489"/>
      <c r="AG345" s="1489"/>
      <c r="AH345" s="1489"/>
      <c r="AI345" s="1489"/>
      <c r="AJ345" s="1489"/>
      <c r="AK345" s="1489"/>
      <c r="AL345" s="1489"/>
      <c r="AM345" s="1489"/>
      <c r="AN345" s="1489"/>
      <c r="AO345" s="1489"/>
      <c r="AP345" s="1489"/>
      <c r="AQ345" s="1489"/>
      <c r="AR345" s="1488"/>
      <c r="AS345" s="1488"/>
      <c r="AT345" s="1488"/>
      <c r="AU345" s="1488"/>
      <c r="AV345" s="1488"/>
      <c r="AW345" s="1488"/>
      <c r="AX345" s="1488"/>
      <c r="AY345" s="1488"/>
    </row>
    <row r="346" spans="3:51" s="1502" customFormat="1">
      <c r="C346" s="1498"/>
      <c r="D346" s="1501"/>
      <c r="E346" s="1500"/>
      <c r="F346" s="814"/>
      <c r="G346" s="1494"/>
      <c r="H346" s="1493"/>
      <c r="I346" s="1493"/>
      <c r="J346" s="813"/>
      <c r="K346" s="814"/>
      <c r="L346" s="1499"/>
      <c r="M346" s="1488"/>
      <c r="N346" s="1488"/>
      <c r="O346" s="1489"/>
      <c r="P346" s="1489"/>
      <c r="Q346" s="1489"/>
      <c r="R346" s="1489"/>
      <c r="S346" s="1489"/>
      <c r="T346" s="1489"/>
      <c r="U346" s="1489"/>
      <c r="V346" s="1489"/>
      <c r="W346" s="1489"/>
      <c r="X346" s="1489"/>
      <c r="Y346" s="1489"/>
      <c r="Z346" s="1489"/>
      <c r="AA346" s="1489"/>
      <c r="AB346" s="1489"/>
      <c r="AC346" s="1489"/>
      <c r="AD346" s="1489"/>
      <c r="AE346" s="1489"/>
      <c r="AF346" s="1489"/>
      <c r="AG346" s="1489"/>
      <c r="AH346" s="1489"/>
      <c r="AI346" s="1489"/>
      <c r="AJ346" s="1489"/>
      <c r="AK346" s="1489"/>
      <c r="AL346" s="1489"/>
      <c r="AM346" s="1489"/>
      <c r="AN346" s="1489"/>
      <c r="AO346" s="1489"/>
      <c r="AP346" s="1489"/>
      <c r="AQ346" s="1489"/>
      <c r="AR346" s="1488"/>
      <c r="AS346" s="1488"/>
      <c r="AT346" s="1488"/>
      <c r="AU346" s="1488"/>
      <c r="AV346" s="1488"/>
      <c r="AW346" s="1488"/>
      <c r="AX346" s="1488"/>
      <c r="AY346" s="1488"/>
    </row>
    <row r="347" spans="3:51" s="1502" customFormat="1">
      <c r="C347" s="1498"/>
      <c r="D347" s="1501"/>
      <c r="E347" s="1500"/>
      <c r="F347" s="814"/>
      <c r="G347" s="1494"/>
      <c r="H347" s="1493"/>
      <c r="I347" s="1493"/>
      <c r="J347" s="813"/>
      <c r="K347" s="814"/>
      <c r="L347" s="1499"/>
      <c r="M347" s="1488"/>
      <c r="N347" s="1488"/>
      <c r="O347" s="1489"/>
      <c r="P347" s="1489"/>
      <c r="Q347" s="1489"/>
      <c r="R347" s="1489"/>
      <c r="S347" s="1489"/>
      <c r="T347" s="1489"/>
      <c r="U347" s="1489"/>
      <c r="V347" s="1489"/>
      <c r="W347" s="1489"/>
      <c r="X347" s="1489"/>
      <c r="Y347" s="1489"/>
      <c r="Z347" s="1489"/>
      <c r="AA347" s="1489"/>
      <c r="AB347" s="1489"/>
      <c r="AC347" s="1489"/>
      <c r="AD347" s="1489"/>
      <c r="AE347" s="1489"/>
      <c r="AF347" s="1489"/>
      <c r="AG347" s="1489"/>
      <c r="AH347" s="1489"/>
      <c r="AI347" s="1489"/>
      <c r="AJ347" s="1489"/>
      <c r="AK347" s="1489"/>
      <c r="AL347" s="1489"/>
      <c r="AM347" s="1489"/>
      <c r="AN347" s="1489"/>
      <c r="AO347" s="1489"/>
      <c r="AP347" s="1489"/>
      <c r="AQ347" s="1489"/>
      <c r="AR347" s="1488"/>
      <c r="AS347" s="1488"/>
      <c r="AT347" s="1488"/>
      <c r="AU347" s="1488"/>
      <c r="AV347" s="1488"/>
      <c r="AW347" s="1488"/>
      <c r="AX347" s="1488"/>
      <c r="AY347" s="1488"/>
    </row>
    <row r="348" spans="3:51" s="1502" customFormat="1">
      <c r="C348" s="1498"/>
      <c r="D348" s="1501"/>
      <c r="E348" s="1500"/>
      <c r="F348" s="814"/>
      <c r="G348" s="1494"/>
      <c r="H348" s="1493"/>
      <c r="I348" s="1493"/>
      <c r="J348" s="813"/>
      <c r="K348" s="814"/>
      <c r="L348" s="1499"/>
      <c r="M348" s="1488"/>
      <c r="N348" s="1488"/>
      <c r="O348" s="1489"/>
      <c r="P348" s="1489"/>
      <c r="Q348" s="1489"/>
      <c r="R348" s="1489"/>
      <c r="S348" s="1489"/>
      <c r="T348" s="1489"/>
      <c r="U348" s="1489"/>
      <c r="V348" s="1489"/>
      <c r="W348" s="1489"/>
      <c r="X348" s="1489"/>
      <c r="Y348" s="1489"/>
      <c r="Z348" s="1489"/>
      <c r="AA348" s="1489"/>
      <c r="AB348" s="1489"/>
      <c r="AC348" s="1489"/>
      <c r="AD348" s="1489"/>
      <c r="AE348" s="1489"/>
      <c r="AF348" s="1489"/>
      <c r="AG348" s="1489"/>
      <c r="AH348" s="1489"/>
      <c r="AI348" s="1489"/>
      <c r="AJ348" s="1489"/>
      <c r="AK348" s="1489"/>
      <c r="AL348" s="1489"/>
      <c r="AM348" s="1489"/>
      <c r="AN348" s="1489"/>
      <c r="AO348" s="1489"/>
      <c r="AP348" s="1489"/>
      <c r="AQ348" s="1489"/>
      <c r="AR348" s="1488"/>
      <c r="AS348" s="1488"/>
      <c r="AT348" s="1488"/>
      <c r="AU348" s="1488"/>
      <c r="AV348" s="1488"/>
      <c r="AW348" s="1488"/>
      <c r="AX348" s="1488"/>
      <c r="AY348" s="1488"/>
    </row>
    <row r="349" spans="3:51" s="1502" customFormat="1">
      <c r="C349" s="1498"/>
      <c r="D349" s="1501"/>
      <c r="E349" s="1500"/>
      <c r="F349" s="814"/>
      <c r="G349" s="1494"/>
      <c r="H349" s="1493"/>
      <c r="I349" s="1493"/>
      <c r="J349" s="813"/>
      <c r="K349" s="814"/>
      <c r="L349" s="1499"/>
      <c r="M349" s="1488"/>
      <c r="N349" s="1488"/>
      <c r="O349" s="1489"/>
      <c r="P349" s="1489"/>
      <c r="Q349" s="1489"/>
      <c r="R349" s="1489"/>
      <c r="S349" s="1489"/>
      <c r="T349" s="1489"/>
      <c r="U349" s="1489"/>
      <c r="V349" s="1489"/>
      <c r="W349" s="1489"/>
      <c r="X349" s="1489"/>
      <c r="Y349" s="1489"/>
      <c r="Z349" s="1489"/>
      <c r="AA349" s="1489"/>
      <c r="AB349" s="1489"/>
      <c r="AC349" s="1489"/>
      <c r="AD349" s="1489"/>
      <c r="AE349" s="1489"/>
      <c r="AF349" s="1489"/>
      <c r="AG349" s="1489"/>
      <c r="AH349" s="1489"/>
      <c r="AI349" s="1489"/>
      <c r="AJ349" s="1489"/>
      <c r="AK349" s="1489"/>
      <c r="AL349" s="1489"/>
      <c r="AM349" s="1489"/>
      <c r="AN349" s="1489"/>
      <c r="AO349" s="1489"/>
      <c r="AP349" s="1489"/>
      <c r="AQ349" s="1489"/>
      <c r="AR349" s="1488"/>
      <c r="AS349" s="1488"/>
      <c r="AT349" s="1488"/>
      <c r="AU349" s="1488"/>
      <c r="AV349" s="1488"/>
      <c r="AW349" s="1488"/>
      <c r="AX349" s="1488"/>
      <c r="AY349" s="1488"/>
    </row>
    <row r="350" spans="3:51" s="1502" customFormat="1">
      <c r="C350" s="1498"/>
      <c r="D350" s="1501"/>
      <c r="E350" s="1500"/>
      <c r="F350" s="814"/>
      <c r="G350" s="1494"/>
      <c r="H350" s="1493"/>
      <c r="I350" s="1493"/>
      <c r="J350" s="813"/>
      <c r="K350" s="814"/>
      <c r="L350" s="1499"/>
      <c r="M350" s="1488"/>
      <c r="N350" s="1488"/>
      <c r="O350" s="1489"/>
      <c r="P350" s="1489"/>
      <c r="Q350" s="1489"/>
      <c r="R350" s="1489"/>
      <c r="S350" s="1489"/>
      <c r="T350" s="1489"/>
      <c r="U350" s="1489"/>
      <c r="V350" s="1489"/>
      <c r="W350" s="1489"/>
      <c r="X350" s="1489"/>
      <c r="Y350" s="1489"/>
      <c r="Z350" s="1489"/>
      <c r="AA350" s="1489"/>
      <c r="AB350" s="1489"/>
      <c r="AC350" s="1489"/>
      <c r="AD350" s="1489"/>
      <c r="AE350" s="1489"/>
      <c r="AF350" s="1489"/>
      <c r="AG350" s="1489"/>
      <c r="AH350" s="1489"/>
      <c r="AI350" s="1489"/>
      <c r="AJ350" s="1489"/>
      <c r="AK350" s="1489"/>
      <c r="AL350" s="1489"/>
      <c r="AM350" s="1489"/>
      <c r="AN350" s="1489"/>
      <c r="AO350" s="1489"/>
      <c r="AP350" s="1489"/>
      <c r="AQ350" s="1489"/>
      <c r="AR350" s="1488"/>
      <c r="AS350" s="1488"/>
      <c r="AT350" s="1488"/>
      <c r="AU350" s="1488"/>
      <c r="AV350" s="1488"/>
      <c r="AW350" s="1488"/>
      <c r="AX350" s="1488"/>
      <c r="AY350" s="1488"/>
    </row>
    <row r="351" spans="3:51" s="1502" customFormat="1">
      <c r="C351" s="1498"/>
      <c r="D351" s="1501"/>
      <c r="E351" s="1500"/>
      <c r="F351" s="814"/>
      <c r="G351" s="1494"/>
      <c r="H351" s="1493"/>
      <c r="I351" s="1493"/>
      <c r="J351" s="813"/>
      <c r="K351" s="814"/>
      <c r="L351" s="1499"/>
      <c r="M351" s="1488"/>
      <c r="N351" s="1488"/>
      <c r="O351" s="1489"/>
      <c r="P351" s="1489"/>
      <c r="Q351" s="1489"/>
      <c r="R351" s="1489"/>
      <c r="S351" s="1489"/>
      <c r="T351" s="1489"/>
      <c r="U351" s="1489"/>
      <c r="V351" s="1489"/>
      <c r="W351" s="1489"/>
      <c r="X351" s="1489"/>
      <c r="Y351" s="1489"/>
      <c r="Z351" s="1489"/>
      <c r="AA351" s="1489"/>
      <c r="AB351" s="1489"/>
      <c r="AC351" s="1489"/>
      <c r="AD351" s="1489"/>
      <c r="AE351" s="1489"/>
      <c r="AF351" s="1489"/>
      <c r="AG351" s="1489"/>
      <c r="AH351" s="1489"/>
      <c r="AI351" s="1489"/>
      <c r="AJ351" s="1489"/>
      <c r="AK351" s="1489"/>
      <c r="AL351" s="1489"/>
      <c r="AM351" s="1489"/>
      <c r="AN351" s="1489"/>
      <c r="AO351" s="1489"/>
      <c r="AP351" s="1489"/>
      <c r="AQ351" s="1489"/>
      <c r="AR351" s="1488"/>
      <c r="AS351" s="1488"/>
      <c r="AT351" s="1488"/>
      <c r="AU351" s="1488"/>
      <c r="AV351" s="1488"/>
      <c r="AW351" s="1488"/>
      <c r="AX351" s="1488"/>
      <c r="AY351" s="1488"/>
    </row>
    <row r="352" spans="3:51" s="1502" customFormat="1">
      <c r="C352" s="1498"/>
      <c r="D352" s="1501"/>
      <c r="E352" s="1500"/>
      <c r="F352" s="814"/>
      <c r="G352" s="1494"/>
      <c r="H352" s="1493"/>
      <c r="I352" s="1493"/>
      <c r="J352" s="813"/>
      <c r="K352" s="814"/>
      <c r="L352" s="1499"/>
      <c r="M352" s="1488"/>
      <c r="N352" s="1488"/>
      <c r="O352" s="1489"/>
      <c r="P352" s="1489"/>
      <c r="Q352" s="1489"/>
      <c r="R352" s="1489"/>
      <c r="S352" s="1489"/>
      <c r="T352" s="1489"/>
      <c r="U352" s="1489"/>
      <c r="V352" s="1489"/>
      <c r="W352" s="1489"/>
      <c r="X352" s="1489"/>
      <c r="Y352" s="1489"/>
      <c r="Z352" s="1489"/>
      <c r="AA352" s="1489"/>
      <c r="AB352" s="1489"/>
      <c r="AC352" s="1489"/>
      <c r="AD352" s="1489"/>
      <c r="AE352" s="1489"/>
      <c r="AF352" s="1489"/>
      <c r="AG352" s="1489"/>
      <c r="AH352" s="1489"/>
      <c r="AI352" s="1489"/>
      <c r="AJ352" s="1489"/>
      <c r="AK352" s="1489"/>
      <c r="AL352" s="1489"/>
      <c r="AM352" s="1489"/>
      <c r="AN352" s="1489"/>
      <c r="AO352" s="1489"/>
      <c r="AP352" s="1489"/>
      <c r="AQ352" s="1489"/>
      <c r="AR352" s="1488"/>
      <c r="AS352" s="1488"/>
      <c r="AT352" s="1488"/>
      <c r="AU352" s="1488"/>
      <c r="AV352" s="1488"/>
      <c r="AW352" s="1488"/>
      <c r="AX352" s="1488"/>
      <c r="AY352" s="1488"/>
    </row>
    <row r="353" spans="3:51" s="1502" customFormat="1">
      <c r="C353" s="1498"/>
      <c r="D353" s="1501"/>
      <c r="E353" s="1500"/>
      <c r="F353" s="814"/>
      <c r="G353" s="1494"/>
      <c r="H353" s="1493"/>
      <c r="I353" s="1493"/>
      <c r="J353" s="813"/>
      <c r="K353" s="814"/>
      <c r="L353" s="1499"/>
      <c r="M353" s="1488"/>
      <c r="N353" s="1488"/>
      <c r="O353" s="1489"/>
      <c r="P353" s="1489"/>
      <c r="Q353" s="1489"/>
      <c r="R353" s="1489"/>
      <c r="S353" s="1489"/>
      <c r="T353" s="1489"/>
      <c r="U353" s="1489"/>
      <c r="V353" s="1489"/>
      <c r="W353" s="1489"/>
      <c r="X353" s="1489"/>
      <c r="Y353" s="1489"/>
      <c r="Z353" s="1489"/>
      <c r="AA353" s="1489"/>
      <c r="AB353" s="1489"/>
      <c r="AC353" s="1489"/>
      <c r="AD353" s="1489"/>
      <c r="AE353" s="1489"/>
      <c r="AF353" s="1489"/>
      <c r="AG353" s="1489"/>
      <c r="AH353" s="1489"/>
      <c r="AI353" s="1489"/>
      <c r="AJ353" s="1489"/>
      <c r="AK353" s="1489"/>
      <c r="AL353" s="1489"/>
      <c r="AM353" s="1489"/>
      <c r="AN353" s="1489"/>
      <c r="AO353" s="1489"/>
      <c r="AP353" s="1489"/>
      <c r="AQ353" s="1489"/>
      <c r="AR353" s="1488"/>
      <c r="AS353" s="1488"/>
      <c r="AT353" s="1488"/>
      <c r="AU353" s="1488"/>
      <c r="AV353" s="1488"/>
      <c r="AW353" s="1488"/>
      <c r="AX353" s="1488"/>
      <c r="AY353" s="1488"/>
    </row>
    <row r="354" spans="3:51" s="1502" customFormat="1">
      <c r="C354" s="1498"/>
      <c r="D354" s="1501"/>
      <c r="E354" s="1500"/>
      <c r="F354" s="814"/>
      <c r="G354" s="1494"/>
      <c r="H354" s="1493"/>
      <c r="I354" s="1493"/>
      <c r="J354" s="813"/>
      <c r="K354" s="814"/>
      <c r="L354" s="1499"/>
      <c r="M354" s="1488"/>
      <c r="N354" s="1488"/>
      <c r="O354" s="1489"/>
      <c r="P354" s="1489"/>
      <c r="Q354" s="1489"/>
      <c r="R354" s="1489"/>
      <c r="S354" s="1489"/>
      <c r="T354" s="1489"/>
      <c r="U354" s="1489"/>
      <c r="V354" s="1489"/>
      <c r="W354" s="1489"/>
      <c r="X354" s="1489"/>
      <c r="Y354" s="1489"/>
      <c r="Z354" s="1489"/>
      <c r="AA354" s="1489"/>
      <c r="AB354" s="1489"/>
      <c r="AC354" s="1489"/>
      <c r="AD354" s="1489"/>
      <c r="AE354" s="1489"/>
      <c r="AF354" s="1489"/>
      <c r="AG354" s="1489"/>
      <c r="AH354" s="1489"/>
      <c r="AI354" s="1489"/>
      <c r="AJ354" s="1489"/>
      <c r="AK354" s="1489"/>
      <c r="AL354" s="1489"/>
      <c r="AM354" s="1489"/>
      <c r="AN354" s="1489"/>
      <c r="AO354" s="1489"/>
      <c r="AP354" s="1489"/>
      <c r="AQ354" s="1489"/>
      <c r="AR354" s="1488"/>
      <c r="AS354" s="1488"/>
      <c r="AT354" s="1488"/>
      <c r="AU354" s="1488"/>
      <c r="AV354" s="1488"/>
      <c r="AW354" s="1488"/>
      <c r="AX354" s="1488"/>
      <c r="AY354" s="1488"/>
    </row>
    <row r="355" spans="3:51" s="1502" customFormat="1">
      <c r="C355" s="1498"/>
      <c r="D355" s="1501"/>
      <c r="E355" s="1500"/>
      <c r="F355" s="814"/>
      <c r="G355" s="1494"/>
      <c r="H355" s="1493"/>
      <c r="I355" s="1493"/>
      <c r="J355" s="813"/>
      <c r="K355" s="814"/>
      <c r="L355" s="1499"/>
      <c r="M355" s="1488"/>
      <c r="N355" s="1488"/>
      <c r="O355" s="1489"/>
      <c r="P355" s="1489"/>
      <c r="Q355" s="1489"/>
      <c r="R355" s="1489"/>
      <c r="S355" s="1489"/>
      <c r="T355" s="1489"/>
      <c r="U355" s="1489"/>
      <c r="V355" s="1489"/>
      <c r="W355" s="1489"/>
      <c r="X355" s="1489"/>
      <c r="Y355" s="1489"/>
      <c r="Z355" s="1489"/>
      <c r="AA355" s="1489"/>
      <c r="AB355" s="1489"/>
      <c r="AC355" s="1489"/>
      <c r="AD355" s="1489"/>
      <c r="AE355" s="1489"/>
      <c r="AF355" s="1489"/>
      <c r="AG355" s="1489"/>
      <c r="AH355" s="1489"/>
      <c r="AI355" s="1489"/>
      <c r="AJ355" s="1489"/>
      <c r="AK355" s="1489"/>
      <c r="AL355" s="1489"/>
      <c r="AM355" s="1489"/>
      <c r="AN355" s="1489"/>
      <c r="AO355" s="1489"/>
      <c r="AP355" s="1489"/>
      <c r="AQ355" s="1489"/>
      <c r="AR355" s="1488"/>
      <c r="AS355" s="1488"/>
      <c r="AT355" s="1488"/>
      <c r="AU355" s="1488"/>
      <c r="AV355" s="1488"/>
      <c r="AW355" s="1488"/>
      <c r="AX355" s="1488"/>
      <c r="AY355" s="1488"/>
    </row>
    <row r="356" spans="3:51" s="1502" customFormat="1">
      <c r="C356" s="1498"/>
      <c r="D356" s="1501"/>
      <c r="E356" s="1500"/>
      <c r="F356" s="814"/>
      <c r="G356" s="1494"/>
      <c r="H356" s="1493"/>
      <c r="I356" s="1493"/>
      <c r="J356" s="813"/>
      <c r="K356" s="814"/>
      <c r="L356" s="1499"/>
      <c r="M356" s="1488"/>
      <c r="N356" s="1488"/>
      <c r="O356" s="1489"/>
      <c r="P356" s="1489"/>
      <c r="Q356" s="1489"/>
      <c r="R356" s="1489"/>
      <c r="S356" s="1489"/>
      <c r="T356" s="1489"/>
      <c r="U356" s="1489"/>
      <c r="V356" s="1489"/>
      <c r="W356" s="1489"/>
      <c r="X356" s="1489"/>
      <c r="Y356" s="1489"/>
      <c r="Z356" s="1489"/>
      <c r="AA356" s="1489"/>
      <c r="AB356" s="1489"/>
      <c r="AC356" s="1489"/>
      <c r="AD356" s="1489"/>
      <c r="AE356" s="1489"/>
      <c r="AF356" s="1489"/>
      <c r="AG356" s="1489"/>
      <c r="AH356" s="1489"/>
      <c r="AI356" s="1489"/>
      <c r="AJ356" s="1489"/>
      <c r="AK356" s="1489"/>
      <c r="AL356" s="1489"/>
      <c r="AM356" s="1489"/>
      <c r="AN356" s="1489"/>
      <c r="AO356" s="1489"/>
      <c r="AP356" s="1489"/>
      <c r="AQ356" s="1489"/>
      <c r="AR356" s="1488"/>
      <c r="AS356" s="1488"/>
      <c r="AT356" s="1488"/>
      <c r="AU356" s="1488"/>
      <c r="AV356" s="1488"/>
      <c r="AW356" s="1488"/>
      <c r="AX356" s="1488"/>
      <c r="AY356" s="1488"/>
    </row>
    <row r="357" spans="3:51" s="1502" customFormat="1">
      <c r="C357" s="1498"/>
      <c r="D357" s="1501"/>
      <c r="E357" s="1500"/>
      <c r="F357" s="814"/>
      <c r="G357" s="1494"/>
      <c r="H357" s="1493"/>
      <c r="I357" s="1493"/>
      <c r="J357" s="813"/>
      <c r="K357" s="814"/>
      <c r="L357" s="1499"/>
      <c r="M357" s="1488"/>
      <c r="N357" s="1488"/>
      <c r="O357" s="1489"/>
      <c r="P357" s="1489"/>
      <c r="Q357" s="1489"/>
      <c r="R357" s="1489"/>
      <c r="S357" s="1489"/>
      <c r="T357" s="1489"/>
      <c r="U357" s="1489"/>
      <c r="V357" s="1489"/>
      <c r="W357" s="1489"/>
      <c r="X357" s="1489"/>
      <c r="Y357" s="1489"/>
      <c r="Z357" s="1489"/>
      <c r="AA357" s="1489"/>
      <c r="AB357" s="1489"/>
      <c r="AC357" s="1489"/>
      <c r="AD357" s="1489"/>
      <c r="AE357" s="1489"/>
      <c r="AF357" s="1489"/>
      <c r="AG357" s="1489"/>
      <c r="AH357" s="1489"/>
      <c r="AI357" s="1489"/>
      <c r="AJ357" s="1489"/>
      <c r="AK357" s="1489"/>
      <c r="AL357" s="1489"/>
      <c r="AM357" s="1489"/>
      <c r="AN357" s="1489"/>
      <c r="AO357" s="1489"/>
      <c r="AP357" s="1489"/>
      <c r="AQ357" s="1489"/>
      <c r="AR357" s="1488"/>
      <c r="AS357" s="1488"/>
      <c r="AT357" s="1488"/>
      <c r="AU357" s="1488"/>
      <c r="AV357" s="1488"/>
      <c r="AW357" s="1488"/>
      <c r="AX357" s="1488"/>
      <c r="AY357" s="1488"/>
    </row>
    <row r="358" spans="3:51" s="1502" customFormat="1">
      <c r="C358" s="1498"/>
      <c r="D358" s="1501"/>
      <c r="E358" s="1500"/>
      <c r="F358" s="814"/>
      <c r="G358" s="1494"/>
      <c r="H358" s="1493"/>
      <c r="I358" s="1493"/>
      <c r="J358" s="813"/>
      <c r="K358" s="814"/>
      <c r="L358" s="1499"/>
      <c r="M358" s="1488"/>
      <c r="N358" s="1488"/>
      <c r="O358" s="1489"/>
      <c r="P358" s="1489"/>
      <c r="Q358" s="1489"/>
      <c r="R358" s="1489"/>
      <c r="S358" s="1489"/>
      <c r="T358" s="1489"/>
      <c r="U358" s="1489"/>
      <c r="V358" s="1489"/>
      <c r="W358" s="1489"/>
      <c r="X358" s="1489"/>
      <c r="Y358" s="1489"/>
      <c r="Z358" s="1489"/>
      <c r="AA358" s="1489"/>
      <c r="AB358" s="1489"/>
      <c r="AC358" s="1489"/>
      <c r="AD358" s="1489"/>
      <c r="AE358" s="1489"/>
      <c r="AF358" s="1489"/>
      <c r="AG358" s="1489"/>
      <c r="AH358" s="1489"/>
      <c r="AI358" s="1489"/>
      <c r="AJ358" s="1489"/>
      <c r="AK358" s="1489"/>
      <c r="AL358" s="1489"/>
      <c r="AM358" s="1489"/>
      <c r="AN358" s="1489"/>
      <c r="AO358" s="1489"/>
      <c r="AP358" s="1489"/>
      <c r="AQ358" s="1489"/>
      <c r="AR358" s="1488"/>
      <c r="AS358" s="1488"/>
      <c r="AT358" s="1488"/>
      <c r="AU358" s="1488"/>
      <c r="AV358" s="1488"/>
      <c r="AW358" s="1488"/>
      <c r="AX358" s="1488"/>
      <c r="AY358" s="1488"/>
    </row>
    <row r="359" spans="3:51" s="1502" customFormat="1">
      <c r="C359" s="1498"/>
      <c r="D359" s="1501"/>
      <c r="E359" s="1500"/>
      <c r="F359" s="814"/>
      <c r="G359" s="1494"/>
      <c r="H359" s="1493"/>
      <c r="I359" s="1493"/>
      <c r="J359" s="813"/>
      <c r="K359" s="814"/>
      <c r="L359" s="1499"/>
      <c r="M359" s="1488"/>
      <c r="N359" s="1488"/>
      <c r="O359" s="1489"/>
      <c r="P359" s="1489"/>
      <c r="Q359" s="1489"/>
      <c r="R359" s="1489"/>
      <c r="S359" s="1489"/>
      <c r="T359" s="1489"/>
      <c r="U359" s="1489"/>
      <c r="V359" s="1489"/>
      <c r="W359" s="1489"/>
      <c r="X359" s="1489"/>
      <c r="Y359" s="1489"/>
      <c r="Z359" s="1489"/>
      <c r="AA359" s="1489"/>
      <c r="AB359" s="1489"/>
      <c r="AC359" s="1489"/>
      <c r="AD359" s="1489"/>
      <c r="AE359" s="1489"/>
      <c r="AF359" s="1489"/>
      <c r="AG359" s="1489"/>
      <c r="AH359" s="1489"/>
      <c r="AI359" s="1489"/>
      <c r="AJ359" s="1489"/>
      <c r="AK359" s="1489"/>
      <c r="AL359" s="1489"/>
      <c r="AM359" s="1489"/>
      <c r="AN359" s="1489"/>
      <c r="AO359" s="1489"/>
      <c r="AP359" s="1489"/>
      <c r="AQ359" s="1489"/>
      <c r="AR359" s="1488"/>
      <c r="AS359" s="1488"/>
      <c r="AT359" s="1488"/>
      <c r="AU359" s="1488"/>
      <c r="AV359" s="1488"/>
      <c r="AW359" s="1488"/>
      <c r="AX359" s="1488"/>
      <c r="AY359" s="1488"/>
    </row>
    <row r="360" spans="3:51" s="1502" customFormat="1">
      <c r="C360" s="1498"/>
      <c r="D360" s="1501"/>
      <c r="E360" s="1500"/>
      <c r="F360" s="814"/>
      <c r="G360" s="1494"/>
      <c r="H360" s="1493"/>
      <c r="I360" s="1493"/>
      <c r="J360" s="813"/>
      <c r="K360" s="814"/>
      <c r="L360" s="1499"/>
      <c r="M360" s="1488"/>
      <c r="N360" s="1488"/>
      <c r="O360" s="1489"/>
      <c r="P360" s="1489"/>
      <c r="Q360" s="1489"/>
      <c r="R360" s="1489"/>
      <c r="S360" s="1489"/>
      <c r="T360" s="1489"/>
      <c r="U360" s="1489"/>
      <c r="V360" s="1489"/>
      <c r="W360" s="1489"/>
      <c r="X360" s="1489"/>
      <c r="Y360" s="1489"/>
      <c r="Z360" s="1489"/>
      <c r="AA360" s="1489"/>
      <c r="AB360" s="1489"/>
      <c r="AC360" s="1489"/>
      <c r="AD360" s="1489"/>
      <c r="AE360" s="1489"/>
      <c r="AF360" s="1489"/>
      <c r="AG360" s="1489"/>
      <c r="AH360" s="1489"/>
      <c r="AI360" s="1489"/>
      <c r="AJ360" s="1489"/>
      <c r="AK360" s="1489"/>
      <c r="AL360" s="1489"/>
      <c r="AM360" s="1489"/>
      <c r="AN360" s="1489"/>
      <c r="AO360" s="1489"/>
      <c r="AP360" s="1489"/>
      <c r="AQ360" s="1489"/>
      <c r="AR360" s="1488"/>
      <c r="AS360" s="1488"/>
      <c r="AT360" s="1488"/>
      <c r="AU360" s="1488"/>
      <c r="AV360" s="1488"/>
      <c r="AW360" s="1488"/>
      <c r="AX360" s="1488"/>
      <c r="AY360" s="1488"/>
    </row>
    <row r="361" spans="3:51" s="1502" customFormat="1">
      <c r="C361" s="1498"/>
      <c r="D361" s="1501"/>
      <c r="E361" s="1500"/>
      <c r="F361" s="814"/>
      <c r="G361" s="1494"/>
      <c r="H361" s="1493"/>
      <c r="I361" s="1493"/>
      <c r="J361" s="813"/>
      <c r="K361" s="814"/>
      <c r="L361" s="1499"/>
      <c r="M361" s="1488"/>
      <c r="N361" s="1488"/>
      <c r="O361" s="1489"/>
      <c r="P361" s="1489"/>
      <c r="Q361" s="1489"/>
      <c r="R361" s="1489"/>
      <c r="S361" s="1489"/>
      <c r="T361" s="1489"/>
      <c r="U361" s="1489"/>
      <c r="V361" s="1489"/>
      <c r="W361" s="1489"/>
      <c r="X361" s="1489"/>
      <c r="Y361" s="1489"/>
      <c r="Z361" s="1489"/>
      <c r="AA361" s="1489"/>
      <c r="AB361" s="1489"/>
      <c r="AC361" s="1489"/>
      <c r="AD361" s="1489"/>
      <c r="AE361" s="1489"/>
      <c r="AF361" s="1489"/>
      <c r="AG361" s="1489"/>
      <c r="AH361" s="1489"/>
      <c r="AI361" s="1489"/>
      <c r="AJ361" s="1489"/>
      <c r="AK361" s="1489"/>
      <c r="AL361" s="1489"/>
      <c r="AM361" s="1489"/>
      <c r="AN361" s="1489"/>
      <c r="AO361" s="1489"/>
      <c r="AP361" s="1489"/>
      <c r="AQ361" s="1489"/>
      <c r="AR361" s="1488"/>
      <c r="AS361" s="1488"/>
      <c r="AT361" s="1488"/>
      <c r="AU361" s="1488"/>
      <c r="AV361" s="1488"/>
      <c r="AW361" s="1488"/>
      <c r="AX361" s="1488"/>
      <c r="AY361" s="1488"/>
    </row>
    <row r="362" spans="3:51" s="1502" customFormat="1">
      <c r="C362" s="1498"/>
      <c r="D362" s="1501"/>
      <c r="E362" s="1500"/>
      <c r="F362" s="814"/>
      <c r="G362" s="1494"/>
      <c r="H362" s="1493"/>
      <c r="I362" s="1493"/>
      <c r="J362" s="813"/>
      <c r="K362" s="814"/>
      <c r="L362" s="1499"/>
      <c r="M362" s="1488"/>
      <c r="N362" s="1488"/>
      <c r="O362" s="1489"/>
      <c r="P362" s="1489"/>
      <c r="Q362" s="1489"/>
      <c r="R362" s="1489"/>
      <c r="S362" s="1489"/>
      <c r="T362" s="1489"/>
      <c r="U362" s="1489"/>
      <c r="V362" s="1489"/>
      <c r="W362" s="1489"/>
      <c r="X362" s="1489"/>
      <c r="Y362" s="1489"/>
      <c r="Z362" s="1489"/>
      <c r="AA362" s="1489"/>
      <c r="AB362" s="1489"/>
      <c r="AC362" s="1489"/>
      <c r="AD362" s="1489"/>
      <c r="AE362" s="1489"/>
      <c r="AF362" s="1489"/>
      <c r="AG362" s="1489"/>
      <c r="AH362" s="1489"/>
      <c r="AI362" s="1489"/>
      <c r="AJ362" s="1489"/>
      <c r="AK362" s="1489"/>
      <c r="AL362" s="1489"/>
      <c r="AM362" s="1489"/>
      <c r="AN362" s="1489"/>
      <c r="AO362" s="1489"/>
      <c r="AP362" s="1489"/>
      <c r="AQ362" s="1489"/>
      <c r="AR362" s="1488"/>
      <c r="AS362" s="1488"/>
      <c r="AT362" s="1488"/>
      <c r="AU362" s="1488"/>
      <c r="AV362" s="1488"/>
      <c r="AW362" s="1488"/>
      <c r="AX362" s="1488"/>
      <c r="AY362" s="1488"/>
    </row>
    <row r="363" spans="3:51" s="1502" customFormat="1">
      <c r="C363" s="1498"/>
      <c r="D363" s="1501"/>
      <c r="E363" s="1500"/>
      <c r="F363" s="814"/>
      <c r="G363" s="1494"/>
      <c r="H363" s="1493"/>
      <c r="I363" s="1493"/>
      <c r="J363" s="813"/>
      <c r="K363" s="814"/>
      <c r="L363" s="1499"/>
      <c r="M363" s="1488"/>
      <c r="N363" s="1488"/>
      <c r="O363" s="1489"/>
      <c r="P363" s="1489"/>
      <c r="Q363" s="1489"/>
      <c r="R363" s="1489"/>
      <c r="S363" s="1489"/>
      <c r="T363" s="1489"/>
      <c r="U363" s="1489"/>
      <c r="V363" s="1489"/>
      <c r="W363" s="1489"/>
      <c r="X363" s="1489"/>
      <c r="Y363" s="1489"/>
      <c r="Z363" s="1489"/>
      <c r="AA363" s="1489"/>
      <c r="AB363" s="1489"/>
      <c r="AC363" s="1489"/>
      <c r="AD363" s="1489"/>
      <c r="AE363" s="1489"/>
      <c r="AF363" s="1489"/>
      <c r="AG363" s="1489"/>
      <c r="AH363" s="1489"/>
      <c r="AI363" s="1489"/>
      <c r="AJ363" s="1489"/>
      <c r="AK363" s="1489"/>
      <c r="AL363" s="1489"/>
      <c r="AM363" s="1489"/>
      <c r="AN363" s="1489"/>
      <c r="AO363" s="1489"/>
      <c r="AP363" s="1489"/>
      <c r="AQ363" s="1489"/>
      <c r="AR363" s="1488"/>
      <c r="AS363" s="1488"/>
      <c r="AT363" s="1488"/>
      <c r="AU363" s="1488"/>
      <c r="AV363" s="1488"/>
      <c r="AW363" s="1488"/>
      <c r="AX363" s="1488"/>
      <c r="AY363" s="1488"/>
    </row>
    <row r="364" spans="3:51" s="1502" customFormat="1">
      <c r="C364" s="1498"/>
      <c r="D364" s="1501"/>
      <c r="E364" s="1500"/>
      <c r="F364" s="814"/>
      <c r="G364" s="1494"/>
      <c r="H364" s="1493"/>
      <c r="I364" s="1493"/>
      <c r="J364" s="813"/>
      <c r="K364" s="814"/>
      <c r="L364" s="1499"/>
      <c r="M364" s="1488"/>
      <c r="N364" s="1488"/>
      <c r="O364" s="1489"/>
      <c r="P364" s="1489"/>
      <c r="Q364" s="1489"/>
      <c r="R364" s="1489"/>
      <c r="S364" s="1489"/>
      <c r="T364" s="1489"/>
      <c r="U364" s="1489"/>
      <c r="V364" s="1489"/>
      <c r="W364" s="1489"/>
      <c r="X364" s="1489"/>
      <c r="Y364" s="1489"/>
      <c r="Z364" s="1489"/>
      <c r="AA364" s="1489"/>
      <c r="AB364" s="1489"/>
      <c r="AC364" s="1489"/>
      <c r="AD364" s="1489"/>
      <c r="AE364" s="1489"/>
      <c r="AF364" s="1489"/>
      <c r="AG364" s="1489"/>
      <c r="AH364" s="1489"/>
      <c r="AI364" s="1489"/>
      <c r="AJ364" s="1489"/>
      <c r="AK364" s="1489"/>
      <c r="AL364" s="1489"/>
      <c r="AM364" s="1489"/>
      <c r="AN364" s="1489"/>
      <c r="AO364" s="1489"/>
      <c r="AP364" s="1489"/>
      <c r="AQ364" s="1489"/>
      <c r="AR364" s="1488"/>
      <c r="AS364" s="1488"/>
      <c r="AT364" s="1488"/>
      <c r="AU364" s="1488"/>
      <c r="AV364" s="1488"/>
      <c r="AW364" s="1488"/>
      <c r="AX364" s="1488"/>
      <c r="AY364" s="1488"/>
    </row>
    <row r="365" spans="3:51" s="1502" customFormat="1">
      <c r="C365" s="1498"/>
      <c r="D365" s="1501"/>
      <c r="E365" s="1500"/>
      <c r="F365" s="814"/>
      <c r="G365" s="1494"/>
      <c r="H365" s="1493"/>
      <c r="I365" s="1493"/>
      <c r="J365" s="813"/>
      <c r="K365" s="814"/>
      <c r="L365" s="1499"/>
      <c r="M365" s="1488"/>
      <c r="N365" s="1488"/>
      <c r="O365" s="1489"/>
      <c r="P365" s="1489"/>
      <c r="Q365" s="1489"/>
      <c r="R365" s="1489"/>
      <c r="S365" s="1489"/>
      <c r="T365" s="1489"/>
      <c r="U365" s="1489"/>
      <c r="V365" s="1489"/>
      <c r="W365" s="1489"/>
      <c r="X365" s="1489"/>
      <c r="Y365" s="1489"/>
      <c r="Z365" s="1489"/>
      <c r="AA365" s="1489"/>
      <c r="AB365" s="1489"/>
      <c r="AC365" s="1489"/>
      <c r="AD365" s="1489"/>
      <c r="AE365" s="1489"/>
      <c r="AF365" s="1489"/>
      <c r="AG365" s="1489"/>
      <c r="AH365" s="1489"/>
      <c r="AI365" s="1489"/>
      <c r="AJ365" s="1489"/>
      <c r="AK365" s="1489"/>
      <c r="AL365" s="1489"/>
      <c r="AM365" s="1489"/>
      <c r="AN365" s="1489"/>
      <c r="AO365" s="1489"/>
      <c r="AP365" s="1489"/>
      <c r="AQ365" s="1489"/>
      <c r="AR365" s="1488"/>
      <c r="AS365" s="1488"/>
      <c r="AT365" s="1488"/>
      <c r="AU365" s="1488"/>
      <c r="AV365" s="1488"/>
      <c r="AW365" s="1488"/>
      <c r="AX365" s="1488"/>
      <c r="AY365" s="1488"/>
    </row>
    <row r="366" spans="3:51" s="1502" customFormat="1">
      <c r="C366" s="1498"/>
      <c r="D366" s="1501"/>
      <c r="E366" s="1500"/>
      <c r="F366" s="814"/>
      <c r="G366" s="1494"/>
      <c r="H366" s="1493"/>
      <c r="I366" s="1493"/>
      <c r="J366" s="813"/>
      <c r="K366" s="814"/>
      <c r="L366" s="1499"/>
      <c r="M366" s="1488"/>
      <c r="N366" s="1488"/>
      <c r="O366" s="1489"/>
      <c r="P366" s="1489"/>
      <c r="Q366" s="1489"/>
      <c r="R366" s="1489"/>
      <c r="S366" s="1489"/>
      <c r="T366" s="1489"/>
      <c r="U366" s="1489"/>
      <c r="V366" s="1489"/>
      <c r="W366" s="1489"/>
      <c r="X366" s="1489"/>
      <c r="Y366" s="1489"/>
      <c r="Z366" s="1489"/>
      <c r="AA366" s="1489"/>
      <c r="AB366" s="1489"/>
      <c r="AC366" s="1489"/>
      <c r="AD366" s="1489"/>
      <c r="AE366" s="1489"/>
      <c r="AF366" s="1489"/>
      <c r="AG366" s="1489"/>
      <c r="AH366" s="1489"/>
      <c r="AI366" s="1489"/>
      <c r="AJ366" s="1489"/>
      <c r="AK366" s="1489"/>
      <c r="AL366" s="1489"/>
      <c r="AM366" s="1489"/>
      <c r="AN366" s="1489"/>
      <c r="AO366" s="1489"/>
      <c r="AP366" s="1489"/>
      <c r="AQ366" s="1489"/>
      <c r="AR366" s="1488"/>
      <c r="AS366" s="1488"/>
      <c r="AT366" s="1488"/>
      <c r="AU366" s="1488"/>
      <c r="AV366" s="1488"/>
      <c r="AW366" s="1488"/>
      <c r="AX366" s="1488"/>
      <c r="AY366" s="1488"/>
    </row>
    <row r="367" spans="3:51" s="1502" customFormat="1">
      <c r="C367" s="1498"/>
      <c r="D367" s="1501"/>
      <c r="E367" s="1500"/>
      <c r="F367" s="814"/>
      <c r="G367" s="1494"/>
      <c r="H367" s="1493"/>
      <c r="I367" s="1493"/>
      <c r="J367" s="813"/>
      <c r="K367" s="814"/>
      <c r="L367" s="1499"/>
      <c r="M367" s="1488"/>
      <c r="N367" s="1488"/>
      <c r="O367" s="1489"/>
      <c r="P367" s="1489"/>
      <c r="Q367" s="1489"/>
      <c r="R367" s="1489"/>
      <c r="S367" s="1489"/>
      <c r="T367" s="1489"/>
      <c r="U367" s="1489"/>
      <c r="V367" s="1489"/>
      <c r="W367" s="1489"/>
      <c r="X367" s="1489"/>
      <c r="Y367" s="1489"/>
      <c r="Z367" s="1489"/>
      <c r="AA367" s="1489"/>
      <c r="AB367" s="1489"/>
      <c r="AC367" s="1489"/>
      <c r="AD367" s="1489"/>
      <c r="AE367" s="1489"/>
      <c r="AF367" s="1489"/>
      <c r="AG367" s="1489"/>
      <c r="AH367" s="1489"/>
      <c r="AI367" s="1489"/>
      <c r="AJ367" s="1489"/>
      <c r="AK367" s="1489"/>
      <c r="AL367" s="1489"/>
      <c r="AM367" s="1489"/>
      <c r="AN367" s="1489"/>
      <c r="AO367" s="1489"/>
      <c r="AP367" s="1489"/>
      <c r="AQ367" s="1489"/>
      <c r="AR367" s="1488"/>
      <c r="AS367" s="1488"/>
      <c r="AT367" s="1488"/>
      <c r="AU367" s="1488"/>
      <c r="AV367" s="1488"/>
      <c r="AW367" s="1488"/>
      <c r="AX367" s="1488"/>
      <c r="AY367" s="1488"/>
    </row>
    <row r="368" spans="3:51" s="1502" customFormat="1">
      <c r="C368" s="1498"/>
      <c r="D368" s="1501"/>
      <c r="E368" s="1500"/>
      <c r="F368" s="814"/>
      <c r="G368" s="1494"/>
      <c r="H368" s="1493"/>
      <c r="I368" s="1493"/>
      <c r="J368" s="813"/>
      <c r="K368" s="814"/>
      <c r="L368" s="1499"/>
      <c r="M368" s="1488"/>
      <c r="N368" s="1488"/>
      <c r="O368" s="1489"/>
      <c r="P368" s="1489"/>
      <c r="Q368" s="1489"/>
      <c r="R368" s="1489"/>
      <c r="S368" s="1489"/>
      <c r="T368" s="1489"/>
      <c r="U368" s="1489"/>
      <c r="V368" s="1489"/>
      <c r="W368" s="1489"/>
      <c r="X368" s="1489"/>
      <c r="Y368" s="1489"/>
      <c r="Z368" s="1489"/>
      <c r="AA368" s="1489"/>
      <c r="AB368" s="1489"/>
      <c r="AC368" s="1489"/>
      <c r="AD368" s="1489"/>
      <c r="AE368" s="1489"/>
      <c r="AF368" s="1489"/>
      <c r="AG368" s="1489"/>
      <c r="AH368" s="1489"/>
      <c r="AI368" s="1489"/>
      <c r="AJ368" s="1489"/>
      <c r="AK368" s="1489"/>
      <c r="AL368" s="1489"/>
      <c r="AM368" s="1489"/>
      <c r="AN368" s="1489"/>
      <c r="AO368" s="1489"/>
      <c r="AP368" s="1489"/>
      <c r="AQ368" s="1489"/>
      <c r="AR368" s="1488"/>
      <c r="AS368" s="1488"/>
      <c r="AT368" s="1488"/>
      <c r="AU368" s="1488"/>
      <c r="AV368" s="1488"/>
      <c r="AW368" s="1488"/>
      <c r="AX368" s="1488"/>
      <c r="AY368" s="1488"/>
    </row>
    <row r="369" spans="3:51" s="1502" customFormat="1">
      <c r="C369" s="1498"/>
      <c r="D369" s="1501"/>
      <c r="E369" s="1500"/>
      <c r="F369" s="814"/>
      <c r="G369" s="1494"/>
      <c r="H369" s="1493"/>
      <c r="I369" s="1493"/>
      <c r="J369" s="813"/>
      <c r="K369" s="814"/>
      <c r="L369" s="1499"/>
      <c r="M369" s="1488"/>
      <c r="N369" s="1488"/>
      <c r="O369" s="1489"/>
      <c r="P369" s="1489"/>
      <c r="Q369" s="1489"/>
      <c r="R369" s="1489"/>
      <c r="S369" s="1489"/>
      <c r="T369" s="1489"/>
      <c r="U369" s="1489"/>
      <c r="V369" s="1489"/>
      <c r="W369" s="1489"/>
      <c r="X369" s="1489"/>
      <c r="Y369" s="1489"/>
      <c r="Z369" s="1489"/>
      <c r="AA369" s="1489"/>
      <c r="AB369" s="1489"/>
      <c r="AC369" s="1489"/>
      <c r="AD369" s="1489"/>
      <c r="AE369" s="1489"/>
      <c r="AF369" s="1489"/>
      <c r="AG369" s="1489"/>
      <c r="AH369" s="1489"/>
      <c r="AI369" s="1489"/>
      <c r="AJ369" s="1489"/>
      <c r="AK369" s="1489"/>
      <c r="AL369" s="1489"/>
      <c r="AM369" s="1489"/>
      <c r="AN369" s="1489"/>
      <c r="AO369" s="1489"/>
      <c r="AP369" s="1489"/>
      <c r="AQ369" s="1489"/>
      <c r="AR369" s="1488"/>
      <c r="AS369" s="1488"/>
      <c r="AT369" s="1488"/>
      <c r="AU369" s="1488"/>
      <c r="AV369" s="1488"/>
      <c r="AW369" s="1488"/>
      <c r="AX369" s="1488"/>
      <c r="AY369" s="1488"/>
    </row>
    <row r="370" spans="3:51" s="1502" customFormat="1">
      <c r="C370" s="1498"/>
      <c r="D370" s="1501"/>
      <c r="E370" s="1500"/>
      <c r="F370" s="814"/>
      <c r="G370" s="1494"/>
      <c r="H370" s="1493"/>
      <c r="I370" s="1493"/>
      <c r="J370" s="813"/>
      <c r="K370" s="814"/>
      <c r="L370" s="1499"/>
      <c r="M370" s="1488"/>
      <c r="N370" s="1488"/>
      <c r="O370" s="1489"/>
      <c r="P370" s="1489"/>
      <c r="Q370" s="1489"/>
      <c r="R370" s="1489"/>
      <c r="S370" s="1489"/>
      <c r="T370" s="1489"/>
      <c r="U370" s="1489"/>
      <c r="V370" s="1489"/>
      <c r="W370" s="1489"/>
      <c r="X370" s="1489"/>
      <c r="Y370" s="1489"/>
      <c r="Z370" s="1489"/>
      <c r="AA370" s="1489"/>
      <c r="AB370" s="1489"/>
      <c r="AC370" s="1489"/>
      <c r="AD370" s="1489"/>
      <c r="AE370" s="1489"/>
      <c r="AF370" s="1489"/>
      <c r="AG370" s="1489"/>
      <c r="AH370" s="1489"/>
      <c r="AI370" s="1489"/>
      <c r="AJ370" s="1489"/>
      <c r="AK370" s="1489"/>
      <c r="AL370" s="1489"/>
      <c r="AM370" s="1489"/>
      <c r="AN370" s="1489"/>
      <c r="AO370" s="1489"/>
      <c r="AP370" s="1489"/>
      <c r="AQ370" s="1489"/>
      <c r="AR370" s="1488"/>
      <c r="AS370" s="1488"/>
      <c r="AT370" s="1488"/>
      <c r="AU370" s="1488"/>
      <c r="AV370" s="1488"/>
      <c r="AW370" s="1488"/>
      <c r="AX370" s="1488"/>
      <c r="AY370" s="1488"/>
    </row>
    <row r="371" spans="3:51" s="1502" customFormat="1">
      <c r="C371" s="1498"/>
      <c r="D371" s="1501"/>
      <c r="E371" s="1500"/>
      <c r="F371" s="814"/>
      <c r="G371" s="1494"/>
      <c r="H371" s="1493"/>
      <c r="I371" s="1493"/>
      <c r="J371" s="813"/>
      <c r="K371" s="814"/>
      <c r="L371" s="1499"/>
      <c r="M371" s="1488"/>
      <c r="N371" s="1488"/>
      <c r="O371" s="1489"/>
      <c r="P371" s="1489"/>
      <c r="Q371" s="1489"/>
      <c r="R371" s="1489"/>
      <c r="S371" s="1489"/>
      <c r="T371" s="1489"/>
      <c r="U371" s="1489"/>
      <c r="V371" s="1489"/>
      <c r="W371" s="1489"/>
      <c r="X371" s="1489"/>
      <c r="Y371" s="1489"/>
      <c r="Z371" s="1489"/>
      <c r="AA371" s="1489"/>
      <c r="AB371" s="1489"/>
      <c r="AC371" s="1489"/>
      <c r="AD371" s="1489"/>
      <c r="AE371" s="1489"/>
      <c r="AF371" s="1489"/>
      <c r="AG371" s="1489"/>
      <c r="AH371" s="1489"/>
      <c r="AI371" s="1489"/>
      <c r="AJ371" s="1489"/>
      <c r="AK371" s="1489"/>
      <c r="AL371" s="1489"/>
      <c r="AM371" s="1489"/>
      <c r="AN371" s="1489"/>
      <c r="AO371" s="1489"/>
      <c r="AP371" s="1489"/>
      <c r="AQ371" s="1489"/>
      <c r="AR371" s="1488"/>
      <c r="AS371" s="1488"/>
      <c r="AT371" s="1488"/>
      <c r="AU371" s="1488"/>
      <c r="AV371" s="1488"/>
      <c r="AW371" s="1488"/>
      <c r="AX371" s="1488"/>
      <c r="AY371" s="1488"/>
    </row>
    <row r="372" spans="3:51" s="1502" customFormat="1">
      <c r="C372" s="1498"/>
      <c r="D372" s="1501"/>
      <c r="E372" s="1500"/>
      <c r="F372" s="814"/>
      <c r="G372" s="1494"/>
      <c r="H372" s="1493"/>
      <c r="I372" s="1493"/>
      <c r="J372" s="813"/>
      <c r="K372" s="814"/>
      <c r="L372" s="1499"/>
      <c r="M372" s="1488"/>
      <c r="N372" s="1488"/>
      <c r="O372" s="1489"/>
      <c r="P372" s="1489"/>
      <c r="Q372" s="1489"/>
      <c r="R372" s="1489"/>
      <c r="S372" s="1489"/>
      <c r="T372" s="1489"/>
      <c r="U372" s="1489"/>
      <c r="V372" s="1489"/>
      <c r="W372" s="1489"/>
      <c r="X372" s="1489"/>
      <c r="Y372" s="1489"/>
      <c r="Z372" s="1489"/>
      <c r="AA372" s="1489"/>
      <c r="AB372" s="1489"/>
      <c r="AC372" s="1489"/>
      <c r="AD372" s="1489"/>
      <c r="AE372" s="1489"/>
      <c r="AF372" s="1489"/>
      <c r="AG372" s="1489"/>
      <c r="AH372" s="1489"/>
      <c r="AI372" s="1489"/>
      <c r="AJ372" s="1489"/>
      <c r="AK372" s="1489"/>
      <c r="AL372" s="1489"/>
      <c r="AM372" s="1489"/>
      <c r="AN372" s="1489"/>
      <c r="AO372" s="1489"/>
      <c r="AP372" s="1489"/>
      <c r="AQ372" s="1489"/>
      <c r="AR372" s="1488"/>
      <c r="AS372" s="1488"/>
      <c r="AT372" s="1488"/>
      <c r="AU372" s="1488"/>
      <c r="AV372" s="1488"/>
      <c r="AW372" s="1488"/>
      <c r="AX372" s="1488"/>
      <c r="AY372" s="1488"/>
    </row>
    <row r="373" spans="3:51" s="1502" customFormat="1">
      <c r="C373" s="1498"/>
      <c r="D373" s="1501"/>
      <c r="E373" s="1500"/>
      <c r="F373" s="814"/>
      <c r="G373" s="1494"/>
      <c r="H373" s="1493"/>
      <c r="I373" s="1493"/>
      <c r="J373" s="813"/>
      <c r="K373" s="814"/>
      <c r="L373" s="1499"/>
      <c r="M373" s="1488"/>
      <c r="N373" s="1488"/>
      <c r="O373" s="1489"/>
      <c r="P373" s="1489"/>
      <c r="Q373" s="1489"/>
      <c r="R373" s="1489"/>
      <c r="S373" s="1489"/>
      <c r="T373" s="1489"/>
      <c r="U373" s="1489"/>
      <c r="V373" s="1489"/>
      <c r="W373" s="1489"/>
      <c r="X373" s="1489"/>
      <c r="Y373" s="1489"/>
      <c r="Z373" s="1489"/>
      <c r="AA373" s="1489"/>
      <c r="AB373" s="1489"/>
      <c r="AC373" s="1489"/>
      <c r="AD373" s="1489"/>
      <c r="AE373" s="1489"/>
      <c r="AF373" s="1489"/>
      <c r="AG373" s="1489"/>
      <c r="AH373" s="1489"/>
      <c r="AI373" s="1489"/>
      <c r="AJ373" s="1489"/>
      <c r="AK373" s="1489"/>
      <c r="AL373" s="1489"/>
      <c r="AM373" s="1489"/>
      <c r="AN373" s="1489"/>
      <c r="AO373" s="1489"/>
      <c r="AP373" s="1489"/>
      <c r="AQ373" s="1489"/>
      <c r="AR373" s="1488"/>
      <c r="AS373" s="1488"/>
      <c r="AT373" s="1488"/>
      <c r="AU373" s="1488"/>
      <c r="AV373" s="1488"/>
      <c r="AW373" s="1488"/>
      <c r="AX373" s="1488"/>
      <c r="AY373" s="1488"/>
    </row>
    <row r="374" spans="3:51" s="1502" customFormat="1">
      <c r="C374" s="1498"/>
      <c r="D374" s="1501"/>
      <c r="E374" s="1500"/>
      <c r="F374" s="814"/>
      <c r="G374" s="1494"/>
      <c r="H374" s="1493"/>
      <c r="I374" s="1493"/>
      <c r="J374" s="813"/>
      <c r="K374" s="814"/>
      <c r="L374" s="1499"/>
      <c r="M374" s="1488"/>
      <c r="N374" s="1488"/>
      <c r="O374" s="1489"/>
      <c r="P374" s="1489"/>
      <c r="Q374" s="1489"/>
      <c r="R374" s="1489"/>
      <c r="S374" s="1489"/>
      <c r="T374" s="1489"/>
      <c r="U374" s="1489"/>
      <c r="V374" s="1489"/>
      <c r="W374" s="1489"/>
      <c r="X374" s="1489"/>
      <c r="Y374" s="1489"/>
      <c r="Z374" s="1489"/>
      <c r="AA374" s="1489"/>
      <c r="AB374" s="1489"/>
      <c r="AC374" s="1489"/>
      <c r="AD374" s="1489"/>
      <c r="AE374" s="1489"/>
      <c r="AF374" s="1489"/>
      <c r="AG374" s="1489"/>
      <c r="AH374" s="1489"/>
      <c r="AI374" s="1489"/>
      <c r="AJ374" s="1489"/>
      <c r="AK374" s="1489"/>
      <c r="AL374" s="1489"/>
      <c r="AM374" s="1489"/>
      <c r="AN374" s="1489"/>
      <c r="AO374" s="1489"/>
      <c r="AP374" s="1489"/>
      <c r="AQ374" s="1489"/>
      <c r="AR374" s="1488"/>
      <c r="AS374" s="1488"/>
      <c r="AT374" s="1488"/>
      <c r="AU374" s="1488"/>
      <c r="AV374" s="1488"/>
      <c r="AW374" s="1488"/>
      <c r="AX374" s="1488"/>
      <c r="AY374" s="1488"/>
    </row>
    <row r="375" spans="3:51" s="1502" customFormat="1">
      <c r="C375" s="1498"/>
      <c r="D375" s="1501"/>
      <c r="E375" s="1500"/>
      <c r="F375" s="814"/>
      <c r="G375" s="1494"/>
      <c r="H375" s="1493"/>
      <c r="I375" s="1493"/>
      <c r="J375" s="813"/>
      <c r="K375" s="814"/>
      <c r="L375" s="1499"/>
      <c r="M375" s="1488"/>
      <c r="N375" s="1488"/>
      <c r="O375" s="1489"/>
      <c r="P375" s="1489"/>
      <c r="Q375" s="1489"/>
      <c r="R375" s="1489"/>
      <c r="S375" s="1489"/>
      <c r="T375" s="1489"/>
      <c r="U375" s="1489"/>
      <c r="V375" s="1489"/>
      <c r="W375" s="1489"/>
      <c r="X375" s="1489"/>
      <c r="Y375" s="1489"/>
      <c r="Z375" s="1489"/>
      <c r="AA375" s="1489"/>
      <c r="AB375" s="1489"/>
      <c r="AC375" s="1489"/>
      <c r="AD375" s="1489"/>
      <c r="AE375" s="1489"/>
      <c r="AF375" s="1489"/>
      <c r="AG375" s="1489"/>
      <c r="AH375" s="1489"/>
      <c r="AI375" s="1489"/>
      <c r="AJ375" s="1489"/>
      <c r="AK375" s="1489"/>
      <c r="AL375" s="1489"/>
      <c r="AM375" s="1489"/>
      <c r="AN375" s="1489"/>
      <c r="AO375" s="1489"/>
      <c r="AP375" s="1489"/>
      <c r="AQ375" s="1489"/>
      <c r="AR375" s="1488"/>
      <c r="AS375" s="1488"/>
      <c r="AT375" s="1488"/>
      <c r="AU375" s="1488"/>
      <c r="AV375" s="1488"/>
      <c r="AW375" s="1488"/>
      <c r="AX375" s="1488"/>
      <c r="AY375" s="1488"/>
    </row>
    <row r="376" spans="3:51" s="1502" customFormat="1">
      <c r="C376" s="1498"/>
      <c r="D376" s="1501"/>
      <c r="E376" s="1500"/>
      <c r="F376" s="814"/>
      <c r="G376" s="1494"/>
      <c r="H376" s="1493"/>
      <c r="I376" s="1493"/>
      <c r="J376" s="813"/>
      <c r="K376" s="814"/>
      <c r="L376" s="1499"/>
      <c r="M376" s="1488"/>
      <c r="N376" s="1488"/>
      <c r="O376" s="1489"/>
      <c r="P376" s="1489"/>
      <c r="Q376" s="1489"/>
      <c r="R376" s="1489"/>
      <c r="S376" s="1489"/>
      <c r="T376" s="1489"/>
      <c r="U376" s="1489"/>
      <c r="V376" s="1489"/>
      <c r="W376" s="1489"/>
      <c r="X376" s="1489"/>
      <c r="Y376" s="1489"/>
      <c r="Z376" s="1489"/>
      <c r="AA376" s="1489"/>
      <c r="AB376" s="1489"/>
      <c r="AC376" s="1489"/>
      <c r="AD376" s="1489"/>
      <c r="AE376" s="1489"/>
      <c r="AF376" s="1489"/>
      <c r="AG376" s="1489"/>
      <c r="AH376" s="1489"/>
      <c r="AI376" s="1489"/>
      <c r="AJ376" s="1489"/>
      <c r="AK376" s="1489"/>
      <c r="AL376" s="1489"/>
      <c r="AM376" s="1489"/>
      <c r="AN376" s="1489"/>
      <c r="AO376" s="1489"/>
      <c r="AP376" s="1489"/>
      <c r="AQ376" s="1489"/>
      <c r="AR376" s="1488"/>
      <c r="AS376" s="1488"/>
      <c r="AT376" s="1488"/>
      <c r="AU376" s="1488"/>
      <c r="AV376" s="1488"/>
      <c r="AW376" s="1488"/>
      <c r="AX376" s="1488"/>
      <c r="AY376" s="1488"/>
    </row>
    <row r="377" spans="3:51" s="1502" customFormat="1">
      <c r="C377" s="1498"/>
      <c r="D377" s="1501"/>
      <c r="E377" s="1500"/>
      <c r="F377" s="814"/>
      <c r="G377" s="1494"/>
      <c r="H377" s="1493"/>
      <c r="I377" s="1493"/>
      <c r="J377" s="813"/>
      <c r="K377" s="814"/>
      <c r="L377" s="1499"/>
      <c r="M377" s="1488"/>
      <c r="N377" s="1488"/>
      <c r="O377" s="1489"/>
      <c r="P377" s="1489"/>
      <c r="Q377" s="1489"/>
      <c r="R377" s="1489"/>
      <c r="S377" s="1489"/>
      <c r="T377" s="1489"/>
      <c r="U377" s="1489"/>
      <c r="V377" s="1489"/>
      <c r="W377" s="1489"/>
      <c r="X377" s="1489"/>
      <c r="Y377" s="1489"/>
      <c r="Z377" s="1489"/>
      <c r="AA377" s="1489"/>
      <c r="AB377" s="1489"/>
      <c r="AC377" s="1489"/>
      <c r="AD377" s="1489"/>
      <c r="AE377" s="1489"/>
      <c r="AF377" s="1489"/>
      <c r="AG377" s="1489"/>
      <c r="AH377" s="1489"/>
      <c r="AI377" s="1489"/>
      <c r="AJ377" s="1489"/>
      <c r="AK377" s="1489"/>
      <c r="AL377" s="1489"/>
      <c r="AM377" s="1489"/>
      <c r="AN377" s="1489"/>
      <c r="AO377" s="1489"/>
      <c r="AP377" s="1489"/>
      <c r="AQ377" s="1489"/>
      <c r="AR377" s="1488"/>
      <c r="AS377" s="1488"/>
      <c r="AT377" s="1488"/>
      <c r="AU377" s="1488"/>
      <c r="AV377" s="1488"/>
      <c r="AW377" s="1488"/>
      <c r="AX377" s="1488"/>
      <c r="AY377" s="1488"/>
    </row>
    <row r="378" spans="3:51" s="1502" customFormat="1">
      <c r="C378" s="1498"/>
      <c r="D378" s="1501"/>
      <c r="E378" s="1500"/>
      <c r="F378" s="814"/>
      <c r="G378" s="1494"/>
      <c r="H378" s="1493"/>
      <c r="I378" s="1493"/>
      <c r="J378" s="813"/>
      <c r="K378" s="814"/>
      <c r="L378" s="1499"/>
      <c r="M378" s="1488"/>
      <c r="N378" s="1488"/>
      <c r="O378" s="1489"/>
      <c r="P378" s="1489"/>
      <c r="Q378" s="1489"/>
      <c r="R378" s="1489"/>
      <c r="S378" s="1489"/>
      <c r="T378" s="1489"/>
      <c r="U378" s="1489"/>
      <c r="V378" s="1489"/>
      <c r="W378" s="1489"/>
      <c r="X378" s="1489"/>
      <c r="Y378" s="1489"/>
      <c r="Z378" s="1489"/>
      <c r="AA378" s="1489"/>
      <c r="AB378" s="1489"/>
      <c r="AC378" s="1489"/>
      <c r="AD378" s="1489"/>
      <c r="AE378" s="1489"/>
      <c r="AF378" s="1489"/>
      <c r="AG378" s="1489"/>
      <c r="AH378" s="1489"/>
      <c r="AI378" s="1489"/>
      <c r="AJ378" s="1489"/>
      <c r="AK378" s="1489"/>
      <c r="AL378" s="1489"/>
      <c r="AM378" s="1489"/>
      <c r="AN378" s="1489"/>
      <c r="AO378" s="1489"/>
      <c r="AP378" s="1489"/>
      <c r="AQ378" s="1489"/>
      <c r="AR378" s="1488"/>
      <c r="AS378" s="1488"/>
      <c r="AT378" s="1488"/>
      <c r="AU378" s="1488"/>
      <c r="AV378" s="1488"/>
      <c r="AW378" s="1488"/>
      <c r="AX378" s="1488"/>
      <c r="AY378" s="1488"/>
    </row>
    <row r="379" spans="3:51" s="1502" customFormat="1">
      <c r="C379" s="1498"/>
      <c r="D379" s="1501"/>
      <c r="E379" s="1500"/>
      <c r="F379" s="814"/>
      <c r="G379" s="1494"/>
      <c r="H379" s="1493"/>
      <c r="I379" s="1493"/>
      <c r="J379" s="813"/>
      <c r="K379" s="814"/>
      <c r="L379" s="1499"/>
      <c r="M379" s="1488"/>
      <c r="N379" s="1488"/>
      <c r="O379" s="1489"/>
      <c r="P379" s="1489"/>
      <c r="Q379" s="1489"/>
      <c r="R379" s="1489"/>
      <c r="S379" s="1489"/>
      <c r="T379" s="1489"/>
      <c r="U379" s="1489"/>
      <c r="V379" s="1489"/>
      <c r="W379" s="1489"/>
      <c r="X379" s="1489"/>
      <c r="Y379" s="1489"/>
      <c r="Z379" s="1489"/>
      <c r="AA379" s="1489"/>
      <c r="AB379" s="1489"/>
      <c r="AC379" s="1489"/>
      <c r="AD379" s="1489"/>
      <c r="AE379" s="1489"/>
      <c r="AF379" s="1489"/>
      <c r="AG379" s="1489"/>
      <c r="AH379" s="1489"/>
      <c r="AI379" s="1489"/>
      <c r="AJ379" s="1489"/>
      <c r="AK379" s="1489"/>
      <c r="AL379" s="1489"/>
      <c r="AM379" s="1489"/>
      <c r="AN379" s="1489"/>
      <c r="AO379" s="1489"/>
      <c r="AP379" s="1489"/>
      <c r="AQ379" s="1489"/>
      <c r="AR379" s="1488"/>
      <c r="AS379" s="1488"/>
      <c r="AT379" s="1488"/>
      <c r="AU379" s="1488"/>
      <c r="AV379" s="1488"/>
      <c r="AW379" s="1488"/>
      <c r="AX379" s="1488"/>
      <c r="AY379" s="1488"/>
    </row>
    <row r="380" spans="3:51" s="1502" customFormat="1">
      <c r="C380" s="1498"/>
      <c r="D380" s="1501"/>
      <c r="E380" s="1500"/>
      <c r="F380" s="814"/>
      <c r="G380" s="1494"/>
      <c r="H380" s="1493"/>
      <c r="I380" s="1493"/>
      <c r="J380" s="813"/>
      <c r="K380" s="814"/>
      <c r="L380" s="1499"/>
      <c r="M380" s="1488"/>
      <c r="N380" s="1488"/>
      <c r="O380" s="1489"/>
      <c r="P380" s="1489"/>
      <c r="Q380" s="1489"/>
      <c r="R380" s="1489"/>
      <c r="S380" s="1489"/>
      <c r="T380" s="1489"/>
      <c r="U380" s="1489"/>
      <c r="V380" s="1489"/>
      <c r="W380" s="1489"/>
      <c r="X380" s="1489"/>
      <c r="Y380" s="1489"/>
      <c r="Z380" s="1489"/>
      <c r="AA380" s="1489"/>
      <c r="AB380" s="1489"/>
      <c r="AC380" s="1489"/>
      <c r="AD380" s="1489"/>
      <c r="AE380" s="1489"/>
      <c r="AF380" s="1489"/>
      <c r="AG380" s="1489"/>
      <c r="AH380" s="1489"/>
      <c r="AI380" s="1489"/>
      <c r="AJ380" s="1489"/>
      <c r="AK380" s="1489"/>
      <c r="AL380" s="1489"/>
      <c r="AM380" s="1489"/>
      <c r="AN380" s="1489"/>
      <c r="AO380" s="1489"/>
      <c r="AP380" s="1489"/>
      <c r="AQ380" s="1489"/>
      <c r="AR380" s="1488"/>
      <c r="AS380" s="1488"/>
      <c r="AT380" s="1488"/>
      <c r="AU380" s="1488"/>
      <c r="AV380" s="1488"/>
      <c r="AW380" s="1488"/>
      <c r="AX380" s="1488"/>
      <c r="AY380" s="1488"/>
    </row>
    <row r="381" spans="3:51" s="1502" customFormat="1">
      <c r="C381" s="1498"/>
      <c r="D381" s="1501"/>
      <c r="E381" s="1500"/>
      <c r="F381" s="814"/>
      <c r="G381" s="1494"/>
      <c r="H381" s="1493"/>
      <c r="I381" s="1493"/>
      <c r="J381" s="813"/>
      <c r="K381" s="814"/>
      <c r="L381" s="1499"/>
      <c r="M381" s="1488"/>
      <c r="N381" s="1488"/>
      <c r="O381" s="1489"/>
      <c r="P381" s="1489"/>
      <c r="Q381" s="1489"/>
      <c r="R381" s="1489"/>
      <c r="S381" s="1489"/>
      <c r="T381" s="1489"/>
      <c r="U381" s="1489"/>
      <c r="V381" s="1489"/>
      <c r="W381" s="1489"/>
      <c r="X381" s="1489"/>
      <c r="Y381" s="1489"/>
      <c r="Z381" s="1489"/>
      <c r="AA381" s="1489"/>
      <c r="AB381" s="1489"/>
      <c r="AC381" s="1489"/>
      <c r="AD381" s="1489"/>
      <c r="AE381" s="1489"/>
      <c r="AF381" s="1489"/>
      <c r="AG381" s="1489"/>
      <c r="AH381" s="1489"/>
      <c r="AI381" s="1489"/>
      <c r="AJ381" s="1489"/>
      <c r="AK381" s="1489"/>
      <c r="AL381" s="1489"/>
      <c r="AM381" s="1489"/>
      <c r="AN381" s="1489"/>
      <c r="AO381" s="1489"/>
      <c r="AP381" s="1489"/>
      <c r="AQ381" s="1489"/>
      <c r="AR381" s="1488"/>
      <c r="AS381" s="1488"/>
      <c r="AT381" s="1488"/>
      <c r="AU381" s="1488"/>
      <c r="AV381" s="1488"/>
      <c r="AW381" s="1488"/>
      <c r="AX381" s="1488"/>
      <c r="AY381" s="1488"/>
    </row>
    <row r="382" spans="3:51" s="1502" customFormat="1">
      <c r="C382" s="1498"/>
      <c r="D382" s="1501"/>
      <c r="E382" s="1500"/>
      <c r="F382" s="814"/>
      <c r="G382" s="1494"/>
      <c r="H382" s="1493"/>
      <c r="I382" s="1493"/>
      <c r="J382" s="813"/>
      <c r="K382" s="814"/>
      <c r="L382" s="1499"/>
      <c r="M382" s="1488"/>
      <c r="N382" s="1488"/>
      <c r="O382" s="1489"/>
      <c r="P382" s="1489"/>
      <c r="Q382" s="1489"/>
      <c r="R382" s="1489"/>
      <c r="S382" s="1489"/>
      <c r="T382" s="1489"/>
      <c r="U382" s="1489"/>
      <c r="V382" s="1489"/>
      <c r="W382" s="1489"/>
      <c r="X382" s="1489"/>
      <c r="Y382" s="1489"/>
      <c r="Z382" s="1489"/>
      <c r="AA382" s="1489"/>
      <c r="AB382" s="1489"/>
      <c r="AC382" s="1489"/>
      <c r="AD382" s="1489"/>
      <c r="AE382" s="1489"/>
      <c r="AF382" s="1489"/>
      <c r="AG382" s="1489"/>
      <c r="AH382" s="1489"/>
      <c r="AI382" s="1489"/>
      <c r="AJ382" s="1489"/>
      <c r="AK382" s="1489"/>
      <c r="AL382" s="1489"/>
      <c r="AM382" s="1489"/>
      <c r="AN382" s="1489"/>
      <c r="AO382" s="1489"/>
      <c r="AP382" s="1489"/>
      <c r="AQ382" s="1489"/>
      <c r="AR382" s="1488"/>
      <c r="AS382" s="1488"/>
      <c r="AT382" s="1488"/>
      <c r="AU382" s="1488"/>
      <c r="AV382" s="1488"/>
      <c r="AW382" s="1488"/>
      <c r="AX382" s="1488"/>
      <c r="AY382" s="1488"/>
    </row>
    <row r="383" spans="3:51" s="1502" customFormat="1">
      <c r="C383" s="1498"/>
      <c r="D383" s="1501"/>
      <c r="E383" s="1500"/>
      <c r="F383" s="814"/>
      <c r="G383" s="1494"/>
      <c r="H383" s="1493"/>
      <c r="I383" s="1493"/>
      <c r="J383" s="813"/>
      <c r="K383" s="814"/>
      <c r="L383" s="1499"/>
      <c r="M383" s="1488"/>
      <c r="N383" s="1488"/>
      <c r="O383" s="1489"/>
      <c r="P383" s="1489"/>
      <c r="Q383" s="1489"/>
      <c r="R383" s="1489"/>
      <c r="S383" s="1489"/>
      <c r="T383" s="1489"/>
      <c r="U383" s="1489"/>
      <c r="V383" s="1489"/>
      <c r="W383" s="1489"/>
      <c r="X383" s="1489"/>
      <c r="Y383" s="1489"/>
      <c r="Z383" s="1489"/>
      <c r="AA383" s="1489"/>
      <c r="AB383" s="1489"/>
      <c r="AC383" s="1489"/>
      <c r="AD383" s="1489"/>
      <c r="AE383" s="1489"/>
      <c r="AF383" s="1489"/>
      <c r="AG383" s="1489"/>
      <c r="AH383" s="1489"/>
      <c r="AI383" s="1489"/>
      <c r="AJ383" s="1489"/>
      <c r="AK383" s="1489"/>
      <c r="AL383" s="1489"/>
      <c r="AM383" s="1489"/>
      <c r="AN383" s="1489"/>
      <c r="AO383" s="1489"/>
      <c r="AP383" s="1489"/>
      <c r="AQ383" s="1489"/>
      <c r="AR383" s="1488"/>
      <c r="AS383" s="1488"/>
      <c r="AT383" s="1488"/>
      <c r="AU383" s="1488"/>
      <c r="AV383" s="1488"/>
      <c r="AW383" s="1488"/>
      <c r="AX383" s="1488"/>
      <c r="AY383" s="1488"/>
    </row>
    <row r="384" spans="3:51" s="1502" customFormat="1">
      <c r="C384" s="1498"/>
      <c r="D384" s="1501"/>
      <c r="E384" s="1500"/>
      <c r="F384" s="814"/>
      <c r="G384" s="1494"/>
      <c r="H384" s="1493"/>
      <c r="I384" s="1493"/>
      <c r="J384" s="813"/>
      <c r="K384" s="814"/>
      <c r="L384" s="1499"/>
      <c r="M384" s="1488"/>
      <c r="N384" s="1488"/>
      <c r="O384" s="1489"/>
      <c r="P384" s="1489"/>
      <c r="Q384" s="1489"/>
      <c r="R384" s="1489"/>
      <c r="S384" s="1489"/>
      <c r="T384" s="1489"/>
      <c r="U384" s="1489"/>
      <c r="V384" s="1489"/>
      <c r="W384" s="1489"/>
      <c r="X384" s="1489"/>
      <c r="Y384" s="1489"/>
      <c r="Z384" s="1489"/>
      <c r="AA384" s="1489"/>
      <c r="AB384" s="1489"/>
      <c r="AC384" s="1489"/>
      <c r="AD384" s="1489"/>
      <c r="AE384" s="1489"/>
      <c r="AF384" s="1489"/>
      <c r="AG384" s="1489"/>
      <c r="AH384" s="1489"/>
      <c r="AI384" s="1489"/>
      <c r="AJ384" s="1489"/>
      <c r="AK384" s="1489"/>
      <c r="AL384" s="1489"/>
      <c r="AM384" s="1489"/>
      <c r="AN384" s="1489"/>
      <c r="AO384" s="1489"/>
      <c r="AP384" s="1489"/>
      <c r="AQ384" s="1489"/>
      <c r="AR384" s="1488"/>
      <c r="AS384" s="1488"/>
      <c r="AT384" s="1488"/>
      <c r="AU384" s="1488"/>
      <c r="AV384" s="1488"/>
      <c r="AW384" s="1488"/>
      <c r="AX384" s="1488"/>
      <c r="AY384" s="1488"/>
    </row>
    <row r="385" spans="3:51" s="1502" customFormat="1">
      <c r="C385" s="1498"/>
      <c r="D385" s="1501"/>
      <c r="E385" s="1500"/>
      <c r="F385" s="814"/>
      <c r="G385" s="1494"/>
      <c r="H385" s="1493"/>
      <c r="I385" s="1493"/>
      <c r="J385" s="813"/>
      <c r="K385" s="814"/>
      <c r="L385" s="1499"/>
      <c r="M385" s="1488"/>
      <c r="N385" s="1488"/>
      <c r="O385" s="1489"/>
      <c r="P385" s="1489"/>
      <c r="Q385" s="1489"/>
      <c r="R385" s="1489"/>
      <c r="S385" s="1489"/>
      <c r="T385" s="1489"/>
      <c r="U385" s="1489"/>
      <c r="V385" s="1489"/>
      <c r="W385" s="1489"/>
      <c r="X385" s="1489"/>
      <c r="Y385" s="1489"/>
      <c r="Z385" s="1489"/>
      <c r="AA385" s="1489"/>
      <c r="AB385" s="1489"/>
      <c r="AC385" s="1489"/>
      <c r="AD385" s="1489"/>
      <c r="AE385" s="1489"/>
      <c r="AF385" s="1489"/>
      <c r="AG385" s="1489"/>
      <c r="AH385" s="1489"/>
      <c r="AI385" s="1489"/>
      <c r="AJ385" s="1489"/>
      <c r="AK385" s="1489"/>
      <c r="AL385" s="1489"/>
      <c r="AM385" s="1489"/>
      <c r="AN385" s="1489"/>
      <c r="AO385" s="1489"/>
      <c r="AP385" s="1489"/>
      <c r="AQ385" s="1489"/>
      <c r="AR385" s="1488"/>
      <c r="AS385" s="1488"/>
      <c r="AT385" s="1488"/>
      <c r="AU385" s="1488"/>
      <c r="AV385" s="1488"/>
      <c r="AW385" s="1488"/>
      <c r="AX385" s="1488"/>
      <c r="AY385" s="1488"/>
    </row>
    <row r="386" spans="3:51" s="1502" customFormat="1">
      <c r="C386" s="1498"/>
      <c r="D386" s="1501"/>
      <c r="E386" s="1500"/>
      <c r="F386" s="814"/>
      <c r="G386" s="1494"/>
      <c r="H386" s="1493"/>
      <c r="I386" s="1493"/>
      <c r="J386" s="813"/>
      <c r="K386" s="814"/>
      <c r="L386" s="1499"/>
      <c r="M386" s="1488"/>
      <c r="N386" s="1488"/>
      <c r="O386" s="1489"/>
      <c r="P386" s="1489"/>
      <c r="Q386" s="1489"/>
      <c r="R386" s="1489"/>
      <c r="S386" s="1489"/>
      <c r="T386" s="1489"/>
      <c r="U386" s="1489"/>
      <c r="V386" s="1489"/>
      <c r="W386" s="1489"/>
      <c r="X386" s="1489"/>
      <c r="Y386" s="1489"/>
      <c r="Z386" s="1489"/>
      <c r="AA386" s="1489"/>
      <c r="AB386" s="1489"/>
      <c r="AC386" s="1489"/>
      <c r="AD386" s="1489"/>
      <c r="AE386" s="1489"/>
      <c r="AF386" s="1489"/>
      <c r="AG386" s="1489"/>
      <c r="AH386" s="1489"/>
      <c r="AI386" s="1489"/>
      <c r="AJ386" s="1489"/>
      <c r="AK386" s="1489"/>
      <c r="AL386" s="1489"/>
      <c r="AM386" s="1489"/>
      <c r="AN386" s="1489"/>
      <c r="AO386" s="1489"/>
      <c r="AP386" s="1489"/>
      <c r="AQ386" s="1489"/>
      <c r="AR386" s="1488"/>
      <c r="AS386" s="1488"/>
      <c r="AT386" s="1488"/>
      <c r="AU386" s="1488"/>
      <c r="AV386" s="1488"/>
      <c r="AW386" s="1488"/>
      <c r="AX386" s="1488"/>
      <c r="AY386" s="1488"/>
    </row>
    <row r="387" spans="3:51" s="1502" customFormat="1">
      <c r="C387" s="1498"/>
      <c r="D387" s="1501"/>
      <c r="E387" s="1500"/>
      <c r="F387" s="814"/>
      <c r="G387" s="1494"/>
      <c r="H387" s="1493"/>
      <c r="I387" s="1493"/>
      <c r="J387" s="813"/>
      <c r="K387" s="814"/>
      <c r="L387" s="1499"/>
      <c r="M387" s="1488"/>
      <c r="N387" s="1488"/>
      <c r="O387" s="1489"/>
      <c r="P387" s="1489"/>
      <c r="Q387" s="1489"/>
      <c r="R387" s="1489"/>
      <c r="S387" s="1489"/>
      <c r="T387" s="1489"/>
      <c r="U387" s="1489"/>
      <c r="V387" s="1489"/>
      <c r="W387" s="1489"/>
      <c r="X387" s="1489"/>
      <c r="Y387" s="1489"/>
      <c r="Z387" s="1489"/>
      <c r="AA387" s="1489"/>
      <c r="AB387" s="1489"/>
      <c r="AC387" s="1489"/>
      <c r="AD387" s="1489"/>
      <c r="AE387" s="1489"/>
      <c r="AF387" s="1489"/>
      <c r="AG387" s="1489"/>
      <c r="AH387" s="1489"/>
      <c r="AI387" s="1489"/>
      <c r="AJ387" s="1489"/>
      <c r="AK387" s="1489"/>
      <c r="AL387" s="1489"/>
      <c r="AM387" s="1489"/>
      <c r="AN387" s="1489"/>
      <c r="AO387" s="1489"/>
      <c r="AP387" s="1489"/>
      <c r="AQ387" s="1489"/>
      <c r="AR387" s="1488"/>
      <c r="AS387" s="1488"/>
      <c r="AT387" s="1488"/>
      <c r="AU387" s="1488"/>
      <c r="AV387" s="1488"/>
      <c r="AW387" s="1488"/>
      <c r="AX387" s="1488"/>
      <c r="AY387" s="1488"/>
    </row>
    <row r="388" spans="3:51" s="1502" customFormat="1">
      <c r="C388" s="1498"/>
      <c r="D388" s="1501"/>
      <c r="E388" s="1500"/>
      <c r="F388" s="814"/>
      <c r="G388" s="1494"/>
      <c r="H388" s="1493"/>
      <c r="I388" s="1493"/>
      <c r="J388" s="813"/>
      <c r="K388" s="814"/>
      <c r="L388" s="1499"/>
      <c r="M388" s="1488"/>
      <c r="N388" s="1488"/>
      <c r="O388" s="1489"/>
      <c r="P388" s="1489"/>
      <c r="Q388" s="1489"/>
      <c r="R388" s="1489"/>
      <c r="S388" s="1489"/>
      <c r="T388" s="1489"/>
      <c r="U388" s="1489"/>
      <c r="V388" s="1489"/>
      <c r="W388" s="1489"/>
      <c r="X388" s="1489"/>
      <c r="Y388" s="1489"/>
      <c r="Z388" s="1489"/>
      <c r="AA388" s="1489"/>
      <c r="AB388" s="1489"/>
      <c r="AC388" s="1489"/>
      <c r="AD388" s="1489"/>
      <c r="AE388" s="1489"/>
      <c r="AF388" s="1489"/>
      <c r="AG388" s="1489"/>
      <c r="AH388" s="1489"/>
      <c r="AI388" s="1489"/>
      <c r="AJ388" s="1489"/>
      <c r="AK388" s="1489"/>
      <c r="AL388" s="1489"/>
      <c r="AM388" s="1489"/>
      <c r="AN388" s="1489"/>
      <c r="AO388" s="1489"/>
      <c r="AP388" s="1489"/>
      <c r="AQ388" s="1489"/>
      <c r="AR388" s="1488"/>
      <c r="AS388" s="1488"/>
      <c r="AT388" s="1488"/>
      <c r="AU388" s="1488"/>
      <c r="AV388" s="1488"/>
      <c r="AW388" s="1488"/>
      <c r="AX388" s="1488"/>
      <c r="AY388" s="1488"/>
    </row>
    <row r="389" spans="3:51" s="1502" customFormat="1">
      <c r="C389" s="1498"/>
      <c r="D389" s="1501"/>
      <c r="E389" s="1500"/>
      <c r="F389" s="814"/>
      <c r="G389" s="1494"/>
      <c r="H389" s="1493"/>
      <c r="I389" s="1493"/>
      <c r="J389" s="813"/>
      <c r="K389" s="814"/>
      <c r="L389" s="1499"/>
      <c r="M389" s="1488"/>
      <c r="N389" s="1488"/>
      <c r="O389" s="1489"/>
      <c r="P389" s="1489"/>
      <c r="Q389" s="1489"/>
      <c r="R389" s="1489"/>
      <c r="S389" s="1489"/>
      <c r="T389" s="1489"/>
      <c r="U389" s="1489"/>
      <c r="V389" s="1489"/>
      <c r="W389" s="1489"/>
      <c r="X389" s="1489"/>
      <c r="Y389" s="1489"/>
      <c r="Z389" s="1489"/>
      <c r="AA389" s="1489"/>
      <c r="AB389" s="1489"/>
      <c r="AC389" s="1489"/>
      <c r="AD389" s="1489"/>
      <c r="AE389" s="1489"/>
      <c r="AF389" s="1489"/>
      <c r="AG389" s="1489"/>
      <c r="AH389" s="1489"/>
      <c r="AI389" s="1489"/>
      <c r="AJ389" s="1489"/>
      <c r="AK389" s="1489"/>
      <c r="AL389" s="1489"/>
      <c r="AM389" s="1489"/>
      <c r="AN389" s="1489"/>
      <c r="AO389" s="1489"/>
      <c r="AP389" s="1489"/>
      <c r="AQ389" s="1489"/>
      <c r="AR389" s="1488"/>
      <c r="AS389" s="1488"/>
      <c r="AT389" s="1488"/>
      <c r="AU389" s="1488"/>
      <c r="AV389" s="1488"/>
      <c r="AW389" s="1488"/>
      <c r="AX389" s="1488"/>
      <c r="AY389" s="1488"/>
    </row>
    <row r="390" spans="3:51" s="1502" customFormat="1">
      <c r="C390" s="1498"/>
      <c r="D390" s="1501"/>
      <c r="E390" s="1500"/>
      <c r="F390" s="814"/>
      <c r="G390" s="1494"/>
      <c r="H390" s="1493"/>
      <c r="I390" s="1493"/>
      <c r="J390" s="813"/>
      <c r="K390" s="814"/>
      <c r="L390" s="1499"/>
      <c r="M390" s="1488"/>
      <c r="N390" s="1488"/>
      <c r="O390" s="1489"/>
      <c r="P390" s="1489"/>
      <c r="Q390" s="1489"/>
      <c r="R390" s="1489"/>
      <c r="S390" s="1489"/>
      <c r="T390" s="1489"/>
      <c r="U390" s="1489"/>
      <c r="V390" s="1489"/>
      <c r="W390" s="1489"/>
      <c r="X390" s="1489"/>
      <c r="Y390" s="1489"/>
      <c r="Z390" s="1489"/>
      <c r="AA390" s="1489"/>
      <c r="AB390" s="1489"/>
      <c r="AC390" s="1489"/>
      <c r="AD390" s="1489"/>
      <c r="AE390" s="1489"/>
      <c r="AF390" s="1489"/>
      <c r="AG390" s="1489"/>
      <c r="AH390" s="1489"/>
      <c r="AI390" s="1489"/>
      <c r="AJ390" s="1489"/>
      <c r="AK390" s="1489"/>
      <c r="AL390" s="1489"/>
      <c r="AM390" s="1489"/>
      <c r="AN390" s="1489"/>
      <c r="AO390" s="1489"/>
      <c r="AP390" s="1489"/>
      <c r="AQ390" s="1489"/>
      <c r="AR390" s="1488"/>
      <c r="AS390" s="1488"/>
      <c r="AT390" s="1488"/>
      <c r="AU390" s="1488"/>
      <c r="AV390" s="1488"/>
      <c r="AW390" s="1488"/>
      <c r="AX390" s="1488"/>
      <c r="AY390" s="1488"/>
    </row>
    <row r="391" spans="3:51" s="1502" customFormat="1">
      <c r="C391" s="1498"/>
      <c r="D391" s="1501"/>
      <c r="E391" s="1500"/>
      <c r="F391" s="814"/>
      <c r="G391" s="1494"/>
      <c r="H391" s="1493"/>
      <c r="I391" s="1493"/>
      <c r="J391" s="813"/>
      <c r="K391" s="814"/>
      <c r="L391" s="1499"/>
      <c r="M391" s="1488"/>
      <c r="N391" s="1488"/>
      <c r="O391" s="1489"/>
      <c r="P391" s="1489"/>
      <c r="Q391" s="1489"/>
      <c r="R391" s="1489"/>
      <c r="S391" s="1489"/>
      <c r="T391" s="1489"/>
      <c r="U391" s="1489"/>
      <c r="V391" s="1489"/>
      <c r="W391" s="1489"/>
      <c r="X391" s="1489"/>
      <c r="Y391" s="1489"/>
      <c r="Z391" s="1489"/>
      <c r="AA391" s="1489"/>
      <c r="AB391" s="1489"/>
      <c r="AC391" s="1489"/>
      <c r="AD391" s="1489"/>
      <c r="AE391" s="1489"/>
      <c r="AF391" s="1489"/>
      <c r="AG391" s="1489"/>
      <c r="AH391" s="1489"/>
      <c r="AI391" s="1489"/>
      <c r="AJ391" s="1489"/>
      <c r="AK391" s="1489"/>
      <c r="AL391" s="1489"/>
      <c r="AM391" s="1489"/>
      <c r="AN391" s="1489"/>
      <c r="AO391" s="1489"/>
      <c r="AP391" s="1489"/>
      <c r="AQ391" s="1489"/>
      <c r="AR391" s="1488"/>
      <c r="AS391" s="1488"/>
      <c r="AT391" s="1488"/>
      <c r="AU391" s="1488"/>
      <c r="AV391" s="1488"/>
      <c r="AW391" s="1488"/>
      <c r="AX391" s="1488"/>
      <c r="AY391" s="1488"/>
    </row>
    <row r="392" spans="3:51" s="1502" customFormat="1">
      <c r="C392" s="1498"/>
      <c r="D392" s="1501"/>
      <c r="E392" s="1500"/>
      <c r="F392" s="814"/>
      <c r="G392" s="1494"/>
      <c r="H392" s="1493"/>
      <c r="I392" s="1493"/>
      <c r="J392" s="813"/>
      <c r="K392" s="814"/>
      <c r="L392" s="1499"/>
      <c r="M392" s="1488"/>
      <c r="N392" s="1488"/>
      <c r="O392" s="1489"/>
      <c r="P392" s="1489"/>
      <c r="Q392" s="1489"/>
      <c r="R392" s="1489"/>
      <c r="S392" s="1489"/>
      <c r="T392" s="1489"/>
      <c r="U392" s="1489"/>
      <c r="V392" s="1489"/>
      <c r="W392" s="1489"/>
      <c r="X392" s="1489"/>
      <c r="Y392" s="1489"/>
      <c r="Z392" s="1489"/>
      <c r="AA392" s="1489"/>
      <c r="AB392" s="1489"/>
      <c r="AC392" s="1489"/>
      <c r="AD392" s="1489"/>
      <c r="AE392" s="1489"/>
      <c r="AF392" s="1489"/>
      <c r="AG392" s="1489"/>
      <c r="AH392" s="1489"/>
      <c r="AI392" s="1489"/>
      <c r="AJ392" s="1489"/>
      <c r="AK392" s="1489"/>
      <c r="AL392" s="1489"/>
      <c r="AM392" s="1489"/>
      <c r="AN392" s="1489"/>
      <c r="AO392" s="1489"/>
      <c r="AP392" s="1489"/>
      <c r="AQ392" s="1489"/>
      <c r="AR392" s="1488"/>
      <c r="AS392" s="1488"/>
      <c r="AT392" s="1488"/>
      <c r="AU392" s="1488"/>
      <c r="AV392" s="1488"/>
      <c r="AW392" s="1488"/>
      <c r="AX392" s="1488"/>
      <c r="AY392" s="1488"/>
    </row>
    <row r="393" spans="3:51" s="1502" customFormat="1">
      <c r="C393" s="1498"/>
      <c r="D393" s="1501"/>
      <c r="E393" s="1500"/>
      <c r="F393" s="814"/>
      <c r="G393" s="1494"/>
      <c r="H393" s="1493"/>
      <c r="I393" s="1493"/>
      <c r="J393" s="813"/>
      <c r="K393" s="814"/>
      <c r="L393" s="1499"/>
      <c r="M393" s="1488"/>
      <c r="N393" s="1488"/>
      <c r="O393" s="1489"/>
      <c r="P393" s="1489"/>
      <c r="Q393" s="1489"/>
      <c r="R393" s="1489"/>
      <c r="S393" s="1489"/>
      <c r="T393" s="1489"/>
      <c r="U393" s="1489"/>
      <c r="V393" s="1489"/>
      <c r="W393" s="1489"/>
      <c r="X393" s="1489"/>
      <c r="Y393" s="1489"/>
      <c r="Z393" s="1489"/>
      <c r="AA393" s="1489"/>
      <c r="AB393" s="1489"/>
      <c r="AC393" s="1489"/>
      <c r="AD393" s="1489"/>
      <c r="AE393" s="1489"/>
      <c r="AF393" s="1489"/>
      <c r="AG393" s="1489"/>
      <c r="AH393" s="1489"/>
      <c r="AI393" s="1489"/>
      <c r="AJ393" s="1489"/>
      <c r="AK393" s="1489"/>
      <c r="AL393" s="1489"/>
      <c r="AM393" s="1489"/>
      <c r="AN393" s="1489"/>
      <c r="AO393" s="1489"/>
      <c r="AP393" s="1489"/>
      <c r="AQ393" s="1489"/>
      <c r="AR393" s="1488"/>
      <c r="AS393" s="1488"/>
      <c r="AT393" s="1488"/>
      <c r="AU393" s="1488"/>
      <c r="AV393" s="1488"/>
      <c r="AW393" s="1488"/>
      <c r="AX393" s="1488"/>
      <c r="AY393" s="1488"/>
    </row>
    <row r="394" spans="3:51" s="1502" customFormat="1">
      <c r="C394" s="1498"/>
      <c r="D394" s="1501"/>
      <c r="E394" s="1500"/>
      <c r="F394" s="814"/>
      <c r="G394" s="1494"/>
      <c r="H394" s="1493"/>
      <c r="I394" s="1493"/>
      <c r="J394" s="813"/>
      <c r="K394" s="814"/>
      <c r="L394" s="1499"/>
      <c r="M394" s="1488"/>
      <c r="N394" s="1488"/>
      <c r="O394" s="1489"/>
      <c r="P394" s="1489"/>
      <c r="Q394" s="1489"/>
      <c r="R394" s="1489"/>
      <c r="S394" s="1489"/>
      <c r="T394" s="1489"/>
      <c r="U394" s="1489"/>
      <c r="V394" s="1489"/>
      <c r="W394" s="1489"/>
      <c r="X394" s="1489"/>
      <c r="Y394" s="1489"/>
      <c r="Z394" s="1489"/>
      <c r="AA394" s="1489"/>
      <c r="AB394" s="1489"/>
      <c r="AC394" s="1489"/>
      <c r="AD394" s="1489"/>
      <c r="AE394" s="1489"/>
      <c r="AF394" s="1489"/>
      <c r="AG394" s="1489"/>
      <c r="AH394" s="1489"/>
      <c r="AI394" s="1489"/>
      <c r="AJ394" s="1489"/>
      <c r="AK394" s="1489"/>
      <c r="AL394" s="1489"/>
      <c r="AM394" s="1489"/>
      <c r="AN394" s="1489"/>
      <c r="AO394" s="1489"/>
      <c r="AP394" s="1489"/>
      <c r="AQ394" s="1489"/>
      <c r="AR394" s="1488"/>
      <c r="AS394" s="1488"/>
      <c r="AT394" s="1488"/>
      <c r="AU394" s="1488"/>
      <c r="AV394" s="1488"/>
      <c r="AW394" s="1488"/>
      <c r="AX394" s="1488"/>
      <c r="AY394" s="1488"/>
    </row>
    <row r="395" spans="3:51" s="1502" customFormat="1">
      <c r="C395" s="1498"/>
      <c r="D395" s="1501"/>
      <c r="E395" s="1500"/>
      <c r="F395" s="814"/>
      <c r="G395" s="1494"/>
      <c r="H395" s="1493"/>
      <c r="I395" s="1493"/>
      <c r="J395" s="813"/>
      <c r="K395" s="814"/>
      <c r="L395" s="1499"/>
      <c r="M395" s="1488"/>
      <c r="N395" s="1488"/>
      <c r="O395" s="1489"/>
      <c r="P395" s="1489"/>
      <c r="Q395" s="1489"/>
      <c r="R395" s="1489"/>
      <c r="S395" s="1489"/>
      <c r="T395" s="1489"/>
      <c r="U395" s="1489"/>
      <c r="V395" s="1489"/>
      <c r="W395" s="1489"/>
      <c r="X395" s="1489"/>
      <c r="Y395" s="1489"/>
      <c r="Z395" s="1489"/>
      <c r="AA395" s="1489"/>
      <c r="AB395" s="1489"/>
      <c r="AC395" s="1489"/>
      <c r="AD395" s="1489"/>
      <c r="AE395" s="1489"/>
      <c r="AF395" s="1489"/>
      <c r="AG395" s="1489"/>
      <c r="AH395" s="1489"/>
      <c r="AI395" s="1489"/>
      <c r="AJ395" s="1489"/>
      <c r="AK395" s="1489"/>
      <c r="AL395" s="1489"/>
      <c r="AM395" s="1489"/>
      <c r="AN395" s="1489"/>
      <c r="AO395" s="1489"/>
      <c r="AP395" s="1489"/>
      <c r="AQ395" s="1489"/>
      <c r="AR395" s="1488"/>
      <c r="AS395" s="1488"/>
      <c r="AT395" s="1488"/>
      <c r="AU395" s="1488"/>
      <c r="AV395" s="1488"/>
      <c r="AW395" s="1488"/>
      <c r="AX395" s="1488"/>
      <c r="AY395" s="1488"/>
    </row>
    <row r="396" spans="3:51" s="1502" customFormat="1">
      <c r="C396" s="1498"/>
      <c r="D396" s="1501"/>
      <c r="E396" s="1500"/>
      <c r="F396" s="814"/>
      <c r="G396" s="1494"/>
      <c r="H396" s="1493"/>
      <c r="I396" s="1493"/>
      <c r="J396" s="813"/>
      <c r="K396" s="814"/>
      <c r="L396" s="1499"/>
      <c r="M396" s="1488"/>
      <c r="N396" s="1488"/>
      <c r="O396" s="1489"/>
      <c r="P396" s="1489"/>
      <c r="Q396" s="1489"/>
      <c r="R396" s="1489"/>
      <c r="S396" s="1489"/>
      <c r="T396" s="1489"/>
      <c r="U396" s="1489"/>
      <c r="V396" s="1489"/>
      <c r="W396" s="1489"/>
      <c r="X396" s="1489"/>
      <c r="Y396" s="1489"/>
      <c r="Z396" s="1489"/>
      <c r="AA396" s="1489"/>
      <c r="AB396" s="1489"/>
      <c r="AC396" s="1489"/>
      <c r="AD396" s="1489"/>
      <c r="AE396" s="1489"/>
      <c r="AF396" s="1489"/>
      <c r="AG396" s="1489"/>
      <c r="AH396" s="1489"/>
      <c r="AI396" s="1489"/>
      <c r="AJ396" s="1489"/>
      <c r="AK396" s="1489"/>
      <c r="AL396" s="1489"/>
      <c r="AM396" s="1489"/>
      <c r="AN396" s="1489"/>
      <c r="AO396" s="1489"/>
      <c r="AP396" s="1489"/>
      <c r="AQ396" s="1489"/>
      <c r="AR396" s="1488"/>
      <c r="AS396" s="1488"/>
      <c r="AT396" s="1488"/>
      <c r="AU396" s="1488"/>
      <c r="AV396" s="1488"/>
      <c r="AW396" s="1488"/>
      <c r="AX396" s="1488"/>
      <c r="AY396" s="1488"/>
    </row>
    <row r="397" spans="3:51" s="1502" customFormat="1">
      <c r="C397" s="1498"/>
      <c r="D397" s="1501"/>
      <c r="E397" s="1500"/>
      <c r="F397" s="814"/>
      <c r="G397" s="1494"/>
      <c r="H397" s="1493"/>
      <c r="I397" s="1493"/>
      <c r="J397" s="813"/>
      <c r="K397" s="814"/>
      <c r="L397" s="1499"/>
      <c r="M397" s="1488"/>
      <c r="N397" s="1488"/>
      <c r="O397" s="1489"/>
      <c r="P397" s="1489"/>
      <c r="Q397" s="1489"/>
      <c r="R397" s="1489"/>
      <c r="S397" s="1489"/>
      <c r="T397" s="1489"/>
      <c r="U397" s="1489"/>
      <c r="V397" s="1489"/>
      <c r="W397" s="1489"/>
      <c r="X397" s="1489"/>
      <c r="Y397" s="1489"/>
      <c r="Z397" s="1489"/>
      <c r="AA397" s="1489"/>
      <c r="AB397" s="1489"/>
      <c r="AC397" s="1489"/>
      <c r="AD397" s="1489"/>
      <c r="AE397" s="1489"/>
      <c r="AF397" s="1489"/>
      <c r="AG397" s="1489"/>
      <c r="AH397" s="1489"/>
      <c r="AI397" s="1489"/>
      <c r="AJ397" s="1489"/>
      <c r="AK397" s="1489"/>
      <c r="AL397" s="1489"/>
      <c r="AM397" s="1489"/>
      <c r="AN397" s="1489"/>
      <c r="AO397" s="1489"/>
      <c r="AP397" s="1489"/>
      <c r="AQ397" s="1489"/>
      <c r="AR397" s="1488"/>
      <c r="AS397" s="1488"/>
      <c r="AT397" s="1488"/>
      <c r="AU397" s="1488"/>
      <c r="AV397" s="1488"/>
      <c r="AW397" s="1488"/>
      <c r="AX397" s="1488"/>
      <c r="AY397" s="1488"/>
    </row>
    <row r="398" spans="3:51" s="1502" customFormat="1">
      <c r="C398" s="1498"/>
      <c r="D398" s="1501"/>
      <c r="E398" s="1500"/>
      <c r="F398" s="814"/>
      <c r="G398" s="1494"/>
      <c r="H398" s="1493"/>
      <c r="I398" s="1493"/>
      <c r="J398" s="813"/>
      <c r="K398" s="814"/>
      <c r="L398" s="1499"/>
      <c r="M398" s="1488"/>
      <c r="N398" s="1488"/>
      <c r="O398" s="1489"/>
      <c r="P398" s="1489"/>
      <c r="Q398" s="1489"/>
      <c r="R398" s="1489"/>
      <c r="S398" s="1489"/>
      <c r="T398" s="1489"/>
      <c r="U398" s="1489"/>
      <c r="V398" s="1489"/>
      <c r="W398" s="1489"/>
      <c r="X398" s="1489"/>
      <c r="Y398" s="1489"/>
      <c r="Z398" s="1489"/>
      <c r="AA398" s="1489"/>
      <c r="AB398" s="1489"/>
      <c r="AC398" s="1489"/>
      <c r="AD398" s="1489"/>
      <c r="AE398" s="1489"/>
      <c r="AF398" s="1489"/>
      <c r="AG398" s="1489"/>
      <c r="AH398" s="1489"/>
      <c r="AI398" s="1489"/>
      <c r="AJ398" s="1489"/>
      <c r="AK398" s="1489"/>
      <c r="AL398" s="1489"/>
      <c r="AM398" s="1489"/>
      <c r="AN398" s="1489"/>
      <c r="AO398" s="1489"/>
      <c r="AP398" s="1489"/>
      <c r="AQ398" s="1489"/>
      <c r="AR398" s="1488"/>
      <c r="AS398" s="1488"/>
      <c r="AT398" s="1488"/>
      <c r="AU398" s="1488"/>
      <c r="AV398" s="1488"/>
      <c r="AW398" s="1488"/>
      <c r="AX398" s="1488"/>
      <c r="AY398" s="1488"/>
    </row>
    <row r="399" spans="3:51" s="1502" customFormat="1">
      <c r="C399" s="1498"/>
      <c r="D399" s="1501"/>
      <c r="E399" s="1500"/>
      <c r="F399" s="814"/>
      <c r="G399" s="1494"/>
      <c r="H399" s="1493"/>
      <c r="I399" s="1493"/>
      <c r="J399" s="813"/>
      <c r="K399" s="814"/>
      <c r="L399" s="1499"/>
      <c r="M399" s="1488"/>
      <c r="N399" s="1488"/>
      <c r="O399" s="1489"/>
      <c r="P399" s="1489"/>
      <c r="Q399" s="1489"/>
      <c r="R399" s="1489"/>
      <c r="S399" s="1489"/>
      <c r="T399" s="1489"/>
      <c r="U399" s="1489"/>
      <c r="V399" s="1489"/>
      <c r="W399" s="1489"/>
      <c r="X399" s="1489"/>
      <c r="Y399" s="1489"/>
      <c r="Z399" s="1489"/>
      <c r="AA399" s="1489"/>
      <c r="AB399" s="1489"/>
      <c r="AC399" s="1489"/>
      <c r="AD399" s="1489"/>
      <c r="AE399" s="1489"/>
      <c r="AF399" s="1489"/>
      <c r="AG399" s="1489"/>
      <c r="AH399" s="1489"/>
      <c r="AI399" s="1489"/>
      <c r="AJ399" s="1489"/>
      <c r="AK399" s="1489"/>
      <c r="AL399" s="1489"/>
      <c r="AM399" s="1489"/>
      <c r="AN399" s="1489"/>
      <c r="AO399" s="1489"/>
      <c r="AP399" s="1489"/>
      <c r="AQ399" s="1489"/>
      <c r="AR399" s="1488"/>
      <c r="AS399" s="1488"/>
      <c r="AT399" s="1488"/>
      <c r="AU399" s="1488"/>
      <c r="AV399" s="1488"/>
      <c r="AW399" s="1488"/>
      <c r="AX399" s="1488"/>
      <c r="AY399" s="1488"/>
    </row>
    <row r="400" spans="3:51" s="1502" customFormat="1">
      <c r="C400" s="1498"/>
      <c r="D400" s="1501"/>
      <c r="E400" s="1500"/>
      <c r="F400" s="814"/>
      <c r="G400" s="1494"/>
      <c r="H400" s="1493"/>
      <c r="I400" s="1493"/>
      <c r="J400" s="813"/>
      <c r="K400" s="814"/>
      <c r="L400" s="1499"/>
      <c r="M400" s="1488"/>
      <c r="N400" s="1488"/>
      <c r="O400" s="1489"/>
      <c r="P400" s="1489"/>
      <c r="Q400" s="1489"/>
      <c r="R400" s="1489"/>
      <c r="S400" s="1489"/>
      <c r="T400" s="1489"/>
      <c r="U400" s="1489"/>
      <c r="V400" s="1489"/>
      <c r="W400" s="1489"/>
      <c r="X400" s="1489"/>
      <c r="Y400" s="1489"/>
      <c r="Z400" s="1489"/>
      <c r="AA400" s="1489"/>
      <c r="AB400" s="1489"/>
      <c r="AC400" s="1489"/>
      <c r="AD400" s="1489"/>
      <c r="AE400" s="1489"/>
      <c r="AF400" s="1489"/>
      <c r="AG400" s="1489"/>
      <c r="AH400" s="1489"/>
      <c r="AI400" s="1489"/>
      <c r="AJ400" s="1489"/>
      <c r="AK400" s="1489"/>
      <c r="AL400" s="1489"/>
      <c r="AM400" s="1489"/>
      <c r="AN400" s="1489"/>
      <c r="AO400" s="1489"/>
      <c r="AP400" s="1489"/>
      <c r="AQ400" s="1489"/>
      <c r="AR400" s="1488"/>
      <c r="AS400" s="1488"/>
      <c r="AT400" s="1488"/>
      <c r="AU400" s="1488"/>
      <c r="AV400" s="1488"/>
      <c r="AW400" s="1488"/>
      <c r="AX400" s="1488"/>
      <c r="AY400" s="1488"/>
    </row>
    <row r="401" spans="3:51" s="1502" customFormat="1">
      <c r="C401" s="1498"/>
      <c r="D401" s="1501"/>
      <c r="E401" s="1500"/>
      <c r="F401" s="814"/>
      <c r="G401" s="1494"/>
      <c r="H401" s="1493"/>
      <c r="I401" s="1493"/>
      <c r="J401" s="813"/>
      <c r="K401" s="814"/>
      <c r="L401" s="1499"/>
      <c r="M401" s="1488"/>
      <c r="N401" s="1488"/>
      <c r="O401" s="1489"/>
      <c r="P401" s="1489"/>
      <c r="Q401" s="1489"/>
      <c r="R401" s="1489"/>
      <c r="S401" s="1489"/>
      <c r="T401" s="1489"/>
      <c r="U401" s="1489"/>
      <c r="V401" s="1489"/>
      <c r="W401" s="1489"/>
      <c r="X401" s="1489"/>
      <c r="Y401" s="1489"/>
      <c r="Z401" s="1489"/>
      <c r="AA401" s="1489"/>
      <c r="AB401" s="1489"/>
      <c r="AC401" s="1489"/>
      <c r="AD401" s="1489"/>
      <c r="AE401" s="1489"/>
      <c r="AF401" s="1489"/>
      <c r="AG401" s="1489"/>
      <c r="AH401" s="1489"/>
      <c r="AI401" s="1489"/>
      <c r="AJ401" s="1489"/>
      <c r="AK401" s="1489"/>
      <c r="AL401" s="1489"/>
      <c r="AM401" s="1489"/>
      <c r="AN401" s="1489"/>
      <c r="AO401" s="1489"/>
      <c r="AP401" s="1489"/>
      <c r="AQ401" s="1489"/>
      <c r="AR401" s="1488"/>
      <c r="AS401" s="1488"/>
      <c r="AT401" s="1488"/>
      <c r="AU401" s="1488"/>
      <c r="AV401" s="1488"/>
      <c r="AW401" s="1488"/>
      <c r="AX401" s="1488"/>
      <c r="AY401" s="1488"/>
    </row>
    <row r="402" spans="3:51" s="1502" customFormat="1">
      <c r="C402" s="1498"/>
      <c r="D402" s="1501"/>
      <c r="E402" s="1500"/>
      <c r="F402" s="814"/>
      <c r="G402" s="1494"/>
      <c r="H402" s="1493"/>
      <c r="I402" s="1493"/>
      <c r="J402" s="813"/>
      <c r="K402" s="814"/>
      <c r="L402" s="1499"/>
      <c r="M402" s="1488"/>
      <c r="N402" s="1488"/>
      <c r="O402" s="1489"/>
      <c r="P402" s="1489"/>
      <c r="Q402" s="1489"/>
      <c r="R402" s="1489"/>
      <c r="S402" s="1489"/>
      <c r="T402" s="1489"/>
      <c r="U402" s="1489"/>
      <c r="V402" s="1489"/>
      <c r="W402" s="1489"/>
      <c r="X402" s="1489"/>
      <c r="Y402" s="1489"/>
      <c r="Z402" s="1489"/>
      <c r="AA402" s="1489"/>
      <c r="AB402" s="1489"/>
      <c r="AC402" s="1489"/>
      <c r="AD402" s="1489"/>
      <c r="AE402" s="1489"/>
      <c r="AF402" s="1489"/>
      <c r="AG402" s="1489"/>
      <c r="AH402" s="1489"/>
      <c r="AI402" s="1489"/>
      <c r="AJ402" s="1489"/>
      <c r="AK402" s="1489"/>
      <c r="AL402" s="1489"/>
      <c r="AM402" s="1489"/>
      <c r="AN402" s="1489"/>
      <c r="AO402" s="1489"/>
      <c r="AP402" s="1489"/>
      <c r="AQ402" s="1489"/>
      <c r="AR402" s="1488"/>
      <c r="AS402" s="1488"/>
      <c r="AT402" s="1488"/>
      <c r="AU402" s="1488"/>
      <c r="AV402" s="1488"/>
      <c r="AW402" s="1488"/>
      <c r="AX402" s="1488"/>
      <c r="AY402" s="1488"/>
    </row>
    <row r="403" spans="3:51" s="1502" customFormat="1">
      <c r="C403" s="1498"/>
      <c r="D403" s="1501"/>
      <c r="E403" s="1500"/>
      <c r="F403" s="814"/>
      <c r="G403" s="1494"/>
      <c r="H403" s="1493"/>
      <c r="I403" s="1493"/>
      <c r="J403" s="813"/>
      <c r="K403" s="814"/>
      <c r="L403" s="1499"/>
      <c r="M403" s="1488"/>
      <c r="N403" s="1488"/>
      <c r="O403" s="1489"/>
      <c r="P403" s="1489"/>
      <c r="Q403" s="1489"/>
      <c r="R403" s="1489"/>
      <c r="S403" s="1489"/>
      <c r="T403" s="1489"/>
      <c r="U403" s="1489"/>
      <c r="V403" s="1489"/>
      <c r="W403" s="1489"/>
      <c r="X403" s="1489"/>
      <c r="Y403" s="1489"/>
      <c r="Z403" s="1489"/>
      <c r="AA403" s="1489"/>
      <c r="AB403" s="1489"/>
      <c r="AC403" s="1489"/>
      <c r="AD403" s="1489"/>
      <c r="AE403" s="1489"/>
      <c r="AF403" s="1489"/>
      <c r="AG403" s="1489"/>
      <c r="AH403" s="1489"/>
      <c r="AI403" s="1489"/>
      <c r="AJ403" s="1489"/>
      <c r="AK403" s="1489"/>
      <c r="AL403" s="1489"/>
      <c r="AM403" s="1489"/>
      <c r="AN403" s="1489"/>
      <c r="AO403" s="1489"/>
      <c r="AP403" s="1489"/>
      <c r="AQ403" s="1489"/>
      <c r="AR403" s="1488"/>
      <c r="AS403" s="1488"/>
      <c r="AT403" s="1488"/>
      <c r="AU403" s="1488"/>
      <c r="AV403" s="1488"/>
      <c r="AW403" s="1488"/>
      <c r="AX403" s="1488"/>
      <c r="AY403" s="1488"/>
    </row>
    <row r="404" spans="3:51" s="1502" customFormat="1">
      <c r="C404" s="1498"/>
      <c r="D404" s="1501"/>
      <c r="E404" s="1500"/>
      <c r="F404" s="814"/>
      <c r="G404" s="1494"/>
      <c r="H404" s="1493"/>
      <c r="I404" s="1493"/>
      <c r="J404" s="813"/>
      <c r="K404" s="814"/>
      <c r="L404" s="1499"/>
      <c r="M404" s="1488"/>
      <c r="N404" s="1488"/>
      <c r="O404" s="1489"/>
      <c r="P404" s="1489"/>
      <c r="Q404" s="1489"/>
      <c r="R404" s="1489"/>
      <c r="S404" s="1489"/>
      <c r="T404" s="1489"/>
      <c r="U404" s="1489"/>
      <c r="V404" s="1489"/>
      <c r="W404" s="1489"/>
      <c r="X404" s="1489"/>
      <c r="Y404" s="1489"/>
      <c r="Z404" s="1489"/>
      <c r="AA404" s="1489"/>
      <c r="AB404" s="1489"/>
      <c r="AC404" s="1489"/>
      <c r="AD404" s="1489"/>
      <c r="AE404" s="1489"/>
      <c r="AF404" s="1489"/>
      <c r="AG404" s="1489"/>
      <c r="AH404" s="1489"/>
      <c r="AI404" s="1489"/>
      <c r="AJ404" s="1489"/>
      <c r="AK404" s="1489"/>
      <c r="AL404" s="1489"/>
      <c r="AM404" s="1489"/>
      <c r="AN404" s="1489"/>
      <c r="AO404" s="1489"/>
      <c r="AP404" s="1489"/>
      <c r="AQ404" s="1489"/>
      <c r="AR404" s="1488"/>
      <c r="AS404" s="1488"/>
      <c r="AT404" s="1488"/>
      <c r="AU404" s="1488"/>
      <c r="AV404" s="1488"/>
      <c r="AW404" s="1488"/>
      <c r="AX404" s="1488"/>
      <c r="AY404" s="1488"/>
    </row>
    <row r="405" spans="3:51" s="1502" customFormat="1">
      <c r="C405" s="1498"/>
      <c r="D405" s="1501"/>
      <c r="E405" s="1500"/>
      <c r="F405" s="814"/>
      <c r="G405" s="1494"/>
      <c r="H405" s="1493"/>
      <c r="I405" s="1493"/>
      <c r="J405" s="813"/>
      <c r="K405" s="814"/>
      <c r="L405" s="1499"/>
      <c r="M405" s="1488"/>
      <c r="N405" s="1488"/>
      <c r="O405" s="1489"/>
      <c r="P405" s="1489"/>
      <c r="Q405" s="1489"/>
      <c r="R405" s="1489"/>
      <c r="S405" s="1489"/>
      <c r="T405" s="1489"/>
      <c r="U405" s="1489"/>
      <c r="V405" s="1489"/>
      <c r="W405" s="1489"/>
      <c r="X405" s="1489"/>
      <c r="Y405" s="1489"/>
      <c r="Z405" s="1489"/>
      <c r="AA405" s="1489"/>
      <c r="AB405" s="1489"/>
      <c r="AC405" s="1489"/>
      <c r="AD405" s="1489"/>
      <c r="AE405" s="1489"/>
      <c r="AF405" s="1489"/>
      <c r="AG405" s="1489"/>
      <c r="AH405" s="1489"/>
      <c r="AI405" s="1489"/>
      <c r="AJ405" s="1489"/>
      <c r="AK405" s="1489"/>
      <c r="AL405" s="1489"/>
      <c r="AM405" s="1489"/>
      <c r="AN405" s="1489"/>
      <c r="AO405" s="1489"/>
      <c r="AP405" s="1489"/>
      <c r="AQ405" s="1489"/>
      <c r="AR405" s="1488"/>
      <c r="AS405" s="1488"/>
      <c r="AT405" s="1488"/>
      <c r="AU405" s="1488"/>
      <c r="AV405" s="1488"/>
      <c r="AW405" s="1488"/>
      <c r="AX405" s="1488"/>
      <c r="AY405" s="1488"/>
    </row>
    <row r="406" spans="3:51" s="1502" customFormat="1">
      <c r="C406" s="1498"/>
      <c r="D406" s="1501"/>
      <c r="E406" s="1500"/>
      <c r="F406" s="814"/>
      <c r="G406" s="1494"/>
      <c r="H406" s="1493"/>
      <c r="I406" s="1493"/>
      <c r="J406" s="813"/>
      <c r="K406" s="814"/>
      <c r="L406" s="1499"/>
      <c r="M406" s="1488"/>
      <c r="N406" s="1488"/>
      <c r="O406" s="1489"/>
      <c r="P406" s="1489"/>
      <c r="Q406" s="1489"/>
      <c r="R406" s="1489"/>
      <c r="S406" s="1489"/>
      <c r="T406" s="1489"/>
      <c r="U406" s="1489"/>
      <c r="V406" s="1489"/>
      <c r="W406" s="1489"/>
      <c r="X406" s="1489"/>
      <c r="Y406" s="1489"/>
      <c r="Z406" s="1489"/>
      <c r="AA406" s="1489"/>
      <c r="AB406" s="1489"/>
      <c r="AC406" s="1489"/>
      <c r="AD406" s="1489"/>
      <c r="AE406" s="1489"/>
      <c r="AF406" s="1489"/>
      <c r="AG406" s="1489"/>
      <c r="AH406" s="1489"/>
      <c r="AI406" s="1489"/>
      <c r="AJ406" s="1489"/>
      <c r="AK406" s="1489"/>
      <c r="AL406" s="1489"/>
      <c r="AM406" s="1489"/>
      <c r="AN406" s="1489"/>
      <c r="AO406" s="1489"/>
      <c r="AP406" s="1489"/>
      <c r="AQ406" s="1489"/>
      <c r="AR406" s="1488"/>
      <c r="AS406" s="1488"/>
      <c r="AT406" s="1488"/>
      <c r="AU406" s="1488"/>
      <c r="AV406" s="1488"/>
      <c r="AW406" s="1488"/>
      <c r="AX406" s="1488"/>
      <c r="AY406" s="1488"/>
    </row>
    <row r="407" spans="3:51" s="1502" customFormat="1">
      <c r="C407" s="1498"/>
      <c r="D407" s="1501"/>
      <c r="E407" s="1500"/>
      <c r="F407" s="814"/>
      <c r="G407" s="1494"/>
      <c r="H407" s="1493"/>
      <c r="I407" s="1493"/>
      <c r="J407" s="813"/>
      <c r="K407" s="814"/>
      <c r="L407" s="1499"/>
      <c r="M407" s="1488"/>
      <c r="N407" s="1488"/>
      <c r="O407" s="1489"/>
      <c r="P407" s="1489"/>
      <c r="Q407" s="1489"/>
      <c r="R407" s="1489"/>
      <c r="S407" s="1489"/>
      <c r="T407" s="1489"/>
      <c r="U407" s="1489"/>
      <c r="V407" s="1489"/>
      <c r="W407" s="1489"/>
      <c r="X407" s="1489"/>
      <c r="Y407" s="1489"/>
      <c r="Z407" s="1489"/>
      <c r="AA407" s="1489"/>
      <c r="AB407" s="1489"/>
      <c r="AC407" s="1489"/>
      <c r="AD407" s="1489"/>
      <c r="AE407" s="1489"/>
      <c r="AF407" s="1489"/>
      <c r="AG407" s="1489"/>
      <c r="AH407" s="1489"/>
      <c r="AI407" s="1489"/>
      <c r="AJ407" s="1489"/>
      <c r="AK407" s="1489"/>
      <c r="AL407" s="1489"/>
      <c r="AM407" s="1489"/>
      <c r="AN407" s="1489"/>
      <c r="AO407" s="1489"/>
      <c r="AP407" s="1489"/>
      <c r="AQ407" s="1489"/>
      <c r="AR407" s="1488"/>
      <c r="AS407" s="1488"/>
      <c r="AT407" s="1488"/>
      <c r="AU407" s="1488"/>
      <c r="AV407" s="1488"/>
      <c r="AW407" s="1488"/>
      <c r="AX407" s="1488"/>
      <c r="AY407" s="1488"/>
    </row>
    <row r="408" spans="3:51" s="1502" customFormat="1">
      <c r="C408" s="1498"/>
      <c r="D408" s="1501"/>
      <c r="E408" s="1500"/>
      <c r="F408" s="814"/>
      <c r="G408" s="1494"/>
      <c r="H408" s="1493"/>
      <c r="I408" s="1493"/>
      <c r="J408" s="813"/>
      <c r="K408" s="814"/>
      <c r="L408" s="1499"/>
      <c r="M408" s="1488"/>
      <c r="N408" s="1488"/>
      <c r="O408" s="1489"/>
      <c r="P408" s="1489"/>
      <c r="Q408" s="1489"/>
      <c r="R408" s="1489"/>
      <c r="S408" s="1489"/>
      <c r="T408" s="1489"/>
      <c r="U408" s="1489"/>
      <c r="V408" s="1489"/>
      <c r="W408" s="1489"/>
      <c r="X408" s="1489"/>
      <c r="Y408" s="1489"/>
      <c r="Z408" s="1489"/>
      <c r="AA408" s="1489"/>
      <c r="AB408" s="1489"/>
      <c r="AC408" s="1489"/>
      <c r="AD408" s="1489"/>
      <c r="AE408" s="1489"/>
      <c r="AF408" s="1489"/>
      <c r="AG408" s="1489"/>
      <c r="AH408" s="1489"/>
      <c r="AI408" s="1489"/>
      <c r="AJ408" s="1489"/>
      <c r="AK408" s="1489"/>
      <c r="AL408" s="1489"/>
      <c r="AM408" s="1489"/>
      <c r="AN408" s="1489"/>
      <c r="AO408" s="1489"/>
      <c r="AP408" s="1489"/>
      <c r="AQ408" s="1489"/>
      <c r="AR408" s="1488"/>
      <c r="AS408" s="1488"/>
      <c r="AT408" s="1488"/>
      <c r="AU408" s="1488"/>
      <c r="AV408" s="1488"/>
      <c r="AW408" s="1488"/>
      <c r="AX408" s="1488"/>
      <c r="AY408" s="1488"/>
    </row>
    <row r="409" spans="3:51" s="1502" customFormat="1">
      <c r="C409" s="1498"/>
      <c r="D409" s="1501"/>
      <c r="E409" s="1500"/>
      <c r="F409" s="814"/>
      <c r="G409" s="1494"/>
      <c r="H409" s="1493"/>
      <c r="I409" s="1493"/>
      <c r="J409" s="813"/>
      <c r="K409" s="814"/>
      <c r="L409" s="1499"/>
      <c r="M409" s="1488"/>
      <c r="N409" s="1488"/>
      <c r="O409" s="1489"/>
      <c r="P409" s="1489"/>
      <c r="Q409" s="1489"/>
      <c r="R409" s="1489"/>
      <c r="S409" s="1489"/>
      <c r="T409" s="1489"/>
      <c r="U409" s="1489"/>
      <c r="V409" s="1489"/>
      <c r="W409" s="1489"/>
      <c r="X409" s="1489"/>
      <c r="Y409" s="1489"/>
      <c r="Z409" s="1489"/>
      <c r="AA409" s="1489"/>
      <c r="AB409" s="1489"/>
      <c r="AC409" s="1489"/>
      <c r="AD409" s="1489"/>
      <c r="AE409" s="1489"/>
      <c r="AF409" s="1489"/>
      <c r="AG409" s="1489"/>
      <c r="AH409" s="1489"/>
      <c r="AI409" s="1489"/>
      <c r="AJ409" s="1489"/>
      <c r="AK409" s="1489"/>
      <c r="AL409" s="1489"/>
      <c r="AM409" s="1489"/>
      <c r="AN409" s="1489"/>
      <c r="AO409" s="1489"/>
      <c r="AP409" s="1489"/>
      <c r="AQ409" s="1489"/>
      <c r="AR409" s="1488"/>
      <c r="AS409" s="1488"/>
      <c r="AT409" s="1488"/>
      <c r="AU409" s="1488"/>
      <c r="AV409" s="1488"/>
      <c r="AW409" s="1488"/>
      <c r="AX409" s="1488"/>
      <c r="AY409" s="1488"/>
    </row>
    <row r="410" spans="3:51" s="1502" customFormat="1">
      <c r="C410" s="1498"/>
      <c r="D410" s="1501"/>
      <c r="E410" s="1500"/>
      <c r="F410" s="814"/>
      <c r="G410" s="1494"/>
      <c r="H410" s="1493"/>
      <c r="I410" s="1493"/>
      <c r="J410" s="813"/>
      <c r="K410" s="814"/>
      <c r="L410" s="1499"/>
      <c r="M410" s="1488"/>
      <c r="N410" s="1488"/>
      <c r="O410" s="1489"/>
      <c r="P410" s="1489"/>
      <c r="Q410" s="1489"/>
      <c r="R410" s="1489"/>
      <c r="S410" s="1489"/>
      <c r="T410" s="1489"/>
      <c r="U410" s="1489"/>
      <c r="V410" s="1489"/>
      <c r="W410" s="1489"/>
      <c r="X410" s="1489"/>
      <c r="Y410" s="1489"/>
      <c r="Z410" s="1489"/>
      <c r="AA410" s="1489"/>
      <c r="AB410" s="1489"/>
      <c r="AC410" s="1489"/>
      <c r="AD410" s="1489"/>
      <c r="AE410" s="1489"/>
      <c r="AF410" s="1489"/>
      <c r="AG410" s="1489"/>
      <c r="AH410" s="1489"/>
      <c r="AI410" s="1489"/>
      <c r="AJ410" s="1489"/>
      <c r="AK410" s="1489"/>
      <c r="AL410" s="1489"/>
      <c r="AM410" s="1489"/>
      <c r="AN410" s="1489"/>
      <c r="AO410" s="1489"/>
      <c r="AP410" s="1489"/>
      <c r="AQ410" s="1489"/>
      <c r="AR410" s="1488"/>
      <c r="AS410" s="1488"/>
      <c r="AT410" s="1488"/>
      <c r="AU410" s="1488"/>
      <c r="AV410" s="1488"/>
      <c r="AW410" s="1488"/>
      <c r="AX410" s="1488"/>
      <c r="AY410" s="1488"/>
    </row>
    <row r="411" spans="3:51" s="1502" customFormat="1">
      <c r="C411" s="1498"/>
      <c r="D411" s="1501"/>
      <c r="E411" s="1500"/>
      <c r="F411" s="814"/>
      <c r="G411" s="1494"/>
      <c r="H411" s="1493"/>
      <c r="I411" s="1493"/>
      <c r="J411" s="813"/>
      <c r="K411" s="814"/>
      <c r="L411" s="1499"/>
      <c r="M411" s="1488"/>
      <c r="N411" s="1488"/>
      <c r="O411" s="1489"/>
      <c r="P411" s="1489"/>
      <c r="Q411" s="1489"/>
      <c r="R411" s="1489"/>
      <c r="S411" s="1489"/>
      <c r="T411" s="1489"/>
      <c r="U411" s="1489"/>
      <c r="V411" s="1489"/>
      <c r="W411" s="1489"/>
      <c r="X411" s="1489"/>
      <c r="Y411" s="1489"/>
      <c r="Z411" s="1489"/>
      <c r="AA411" s="1489"/>
      <c r="AB411" s="1489"/>
      <c r="AC411" s="1489"/>
      <c r="AD411" s="1489"/>
      <c r="AE411" s="1489"/>
      <c r="AF411" s="1489"/>
      <c r="AG411" s="1489"/>
      <c r="AH411" s="1489"/>
      <c r="AI411" s="1489"/>
      <c r="AJ411" s="1489"/>
      <c r="AK411" s="1489"/>
      <c r="AL411" s="1489"/>
      <c r="AM411" s="1489"/>
      <c r="AN411" s="1489"/>
      <c r="AO411" s="1489"/>
      <c r="AP411" s="1489"/>
      <c r="AQ411" s="1489"/>
      <c r="AR411" s="1488"/>
      <c r="AS411" s="1488"/>
      <c r="AT411" s="1488"/>
      <c r="AU411" s="1488"/>
      <c r="AV411" s="1488"/>
      <c r="AW411" s="1488"/>
      <c r="AX411" s="1488"/>
      <c r="AY411" s="1488"/>
    </row>
    <row r="412" spans="3:51" s="1502" customFormat="1">
      <c r="C412" s="1498"/>
      <c r="D412" s="1501"/>
      <c r="E412" s="1500"/>
      <c r="F412" s="814"/>
      <c r="G412" s="1494"/>
      <c r="H412" s="1493"/>
      <c r="I412" s="1493"/>
      <c r="J412" s="813"/>
      <c r="K412" s="814"/>
      <c r="L412" s="1499"/>
      <c r="M412" s="1488"/>
      <c r="N412" s="1488"/>
      <c r="O412" s="1489"/>
      <c r="P412" s="1489"/>
      <c r="Q412" s="1489"/>
      <c r="R412" s="1489"/>
      <c r="S412" s="1489"/>
      <c r="T412" s="1489"/>
      <c r="U412" s="1489"/>
      <c r="V412" s="1489"/>
      <c r="W412" s="1489"/>
      <c r="X412" s="1489"/>
      <c r="Y412" s="1489"/>
      <c r="Z412" s="1489"/>
      <c r="AA412" s="1489"/>
      <c r="AB412" s="1489"/>
      <c r="AC412" s="1489"/>
      <c r="AD412" s="1489"/>
      <c r="AE412" s="1489"/>
      <c r="AF412" s="1489"/>
      <c r="AG412" s="1489"/>
      <c r="AH412" s="1489"/>
      <c r="AI412" s="1489"/>
      <c r="AJ412" s="1489"/>
      <c r="AK412" s="1489"/>
      <c r="AL412" s="1489"/>
      <c r="AM412" s="1489"/>
      <c r="AN412" s="1489"/>
      <c r="AO412" s="1489"/>
      <c r="AP412" s="1489"/>
      <c r="AQ412" s="1489"/>
      <c r="AR412" s="1488"/>
      <c r="AS412" s="1488"/>
      <c r="AT412" s="1488"/>
      <c r="AU412" s="1488"/>
      <c r="AV412" s="1488"/>
      <c r="AW412" s="1488"/>
      <c r="AX412" s="1488"/>
      <c r="AY412" s="1488"/>
    </row>
    <row r="413" spans="3:51" s="1502" customFormat="1">
      <c r="C413" s="1498"/>
      <c r="D413" s="1501"/>
      <c r="E413" s="1500"/>
      <c r="F413" s="814"/>
      <c r="G413" s="1494"/>
      <c r="H413" s="1493"/>
      <c r="I413" s="1493"/>
      <c r="J413" s="813"/>
      <c r="K413" s="814"/>
      <c r="L413" s="1499"/>
      <c r="M413" s="1488"/>
      <c r="N413" s="1488"/>
      <c r="O413" s="1489"/>
      <c r="P413" s="1489"/>
      <c r="Q413" s="1489"/>
      <c r="R413" s="1489"/>
      <c r="S413" s="1489"/>
      <c r="T413" s="1489"/>
      <c r="U413" s="1489"/>
      <c r="V413" s="1489"/>
      <c r="W413" s="1489"/>
      <c r="X413" s="1489"/>
      <c r="Y413" s="1489"/>
      <c r="Z413" s="1489"/>
      <c r="AA413" s="1489"/>
      <c r="AB413" s="1489"/>
      <c r="AC413" s="1489"/>
      <c r="AD413" s="1489"/>
      <c r="AE413" s="1489"/>
      <c r="AF413" s="1489"/>
      <c r="AG413" s="1489"/>
      <c r="AH413" s="1489"/>
      <c r="AI413" s="1489"/>
      <c r="AJ413" s="1489"/>
      <c r="AK413" s="1489"/>
      <c r="AL413" s="1489"/>
      <c r="AM413" s="1489"/>
      <c r="AN413" s="1489"/>
      <c r="AO413" s="1489"/>
      <c r="AP413" s="1489"/>
      <c r="AQ413" s="1489"/>
      <c r="AR413" s="1488"/>
      <c r="AS413" s="1488"/>
      <c r="AT413" s="1488"/>
      <c r="AU413" s="1488"/>
      <c r="AV413" s="1488"/>
      <c r="AW413" s="1488"/>
      <c r="AX413" s="1488"/>
      <c r="AY413" s="1488"/>
    </row>
    <row r="414" spans="3:51" s="1502" customFormat="1">
      <c r="C414" s="1498"/>
      <c r="D414" s="1501"/>
      <c r="E414" s="1500"/>
      <c r="F414" s="814"/>
      <c r="G414" s="1494"/>
      <c r="H414" s="1493"/>
      <c r="I414" s="1493"/>
      <c r="J414" s="813"/>
      <c r="K414" s="814"/>
      <c r="L414" s="1499"/>
      <c r="M414" s="1488"/>
      <c r="N414" s="1488"/>
      <c r="O414" s="1489"/>
      <c r="P414" s="1489"/>
      <c r="Q414" s="1489"/>
      <c r="R414" s="1489"/>
      <c r="S414" s="1489"/>
      <c r="T414" s="1489"/>
      <c r="U414" s="1489"/>
      <c r="V414" s="1489"/>
      <c r="W414" s="1489"/>
      <c r="X414" s="1489"/>
      <c r="Y414" s="1489"/>
      <c r="Z414" s="1489"/>
      <c r="AA414" s="1489"/>
      <c r="AB414" s="1489"/>
      <c r="AC414" s="1489"/>
      <c r="AD414" s="1489"/>
      <c r="AE414" s="1489"/>
      <c r="AF414" s="1489"/>
      <c r="AG414" s="1489"/>
      <c r="AH414" s="1489"/>
      <c r="AI414" s="1489"/>
      <c r="AJ414" s="1489"/>
      <c r="AK414" s="1489"/>
      <c r="AL414" s="1489"/>
      <c r="AM414" s="1489"/>
      <c r="AN414" s="1489"/>
      <c r="AO414" s="1489"/>
      <c r="AP414" s="1489"/>
      <c r="AQ414" s="1489"/>
      <c r="AR414" s="1488"/>
      <c r="AS414" s="1488"/>
      <c r="AT414" s="1488"/>
      <c r="AU414" s="1488"/>
      <c r="AV414" s="1488"/>
      <c r="AW414" s="1488"/>
      <c r="AX414" s="1488"/>
      <c r="AY414" s="1488"/>
    </row>
    <row r="415" spans="3:51" s="1502" customFormat="1">
      <c r="C415" s="1498"/>
      <c r="D415" s="1501"/>
      <c r="E415" s="1500"/>
      <c r="F415" s="814"/>
      <c r="G415" s="1494"/>
      <c r="H415" s="1493"/>
      <c r="I415" s="1493"/>
      <c r="J415" s="813"/>
      <c r="K415" s="814"/>
      <c r="L415" s="1499"/>
      <c r="M415" s="1488"/>
      <c r="N415" s="1488"/>
      <c r="O415" s="1489"/>
      <c r="P415" s="1489"/>
      <c r="Q415" s="1489"/>
      <c r="R415" s="1489"/>
      <c r="S415" s="1489"/>
      <c r="T415" s="1489"/>
      <c r="U415" s="1489"/>
      <c r="V415" s="1489"/>
      <c r="W415" s="1489"/>
      <c r="X415" s="1489"/>
      <c r="Y415" s="1489"/>
      <c r="Z415" s="1489"/>
      <c r="AA415" s="1489"/>
      <c r="AB415" s="1489"/>
      <c r="AC415" s="1489"/>
      <c r="AD415" s="1489"/>
      <c r="AE415" s="1489"/>
      <c r="AF415" s="1489"/>
      <c r="AG415" s="1489"/>
      <c r="AH415" s="1489"/>
      <c r="AI415" s="1489"/>
      <c r="AJ415" s="1489"/>
      <c r="AK415" s="1489"/>
      <c r="AL415" s="1489"/>
      <c r="AM415" s="1489"/>
      <c r="AN415" s="1489"/>
      <c r="AO415" s="1489"/>
      <c r="AP415" s="1489"/>
      <c r="AQ415" s="1489"/>
      <c r="AR415" s="1488"/>
      <c r="AS415" s="1488"/>
      <c r="AT415" s="1488"/>
      <c r="AU415" s="1488"/>
      <c r="AV415" s="1488"/>
      <c r="AW415" s="1488"/>
      <c r="AX415" s="1488"/>
      <c r="AY415" s="1488"/>
    </row>
    <row r="416" spans="3:51" s="1502" customFormat="1">
      <c r="C416" s="1498"/>
      <c r="D416" s="1501"/>
      <c r="E416" s="1500"/>
      <c r="F416" s="814"/>
      <c r="G416" s="1494"/>
      <c r="H416" s="1493"/>
      <c r="I416" s="1493"/>
      <c r="J416" s="813"/>
      <c r="K416" s="814"/>
      <c r="L416" s="1499"/>
      <c r="M416" s="1488"/>
      <c r="N416" s="1488"/>
      <c r="O416" s="1489"/>
      <c r="P416" s="1489"/>
      <c r="Q416" s="1489"/>
      <c r="R416" s="1489"/>
      <c r="S416" s="1489"/>
      <c r="T416" s="1489"/>
      <c r="U416" s="1489"/>
      <c r="V416" s="1489"/>
      <c r="W416" s="1489"/>
      <c r="X416" s="1489"/>
      <c r="Y416" s="1489"/>
      <c r="Z416" s="1489"/>
      <c r="AA416" s="1489"/>
      <c r="AB416" s="1489"/>
      <c r="AC416" s="1489"/>
      <c r="AD416" s="1489"/>
      <c r="AE416" s="1489"/>
      <c r="AF416" s="1489"/>
      <c r="AG416" s="1489"/>
      <c r="AH416" s="1489"/>
      <c r="AI416" s="1489"/>
      <c r="AJ416" s="1489"/>
      <c r="AK416" s="1489"/>
      <c r="AL416" s="1489"/>
      <c r="AM416" s="1489"/>
      <c r="AN416" s="1489"/>
      <c r="AO416" s="1489"/>
      <c r="AP416" s="1489"/>
      <c r="AQ416" s="1489"/>
      <c r="AR416" s="1488"/>
      <c r="AS416" s="1488"/>
      <c r="AT416" s="1488"/>
      <c r="AU416" s="1488"/>
      <c r="AV416" s="1488"/>
      <c r="AW416" s="1488"/>
      <c r="AX416" s="1488"/>
      <c r="AY416" s="1488"/>
    </row>
    <row r="417" spans="3:51" s="1502" customFormat="1">
      <c r="C417" s="1498"/>
      <c r="D417" s="1501"/>
      <c r="E417" s="1500"/>
      <c r="F417" s="814"/>
      <c r="G417" s="1494"/>
      <c r="H417" s="1493"/>
      <c r="I417" s="1493"/>
      <c r="J417" s="813"/>
      <c r="K417" s="814"/>
      <c r="L417" s="1499"/>
      <c r="M417" s="1488"/>
      <c r="N417" s="1488"/>
      <c r="O417" s="1489"/>
      <c r="P417" s="1489"/>
      <c r="Q417" s="1489"/>
      <c r="R417" s="1489"/>
      <c r="S417" s="1489"/>
      <c r="T417" s="1489"/>
      <c r="U417" s="1489"/>
      <c r="V417" s="1489"/>
      <c r="W417" s="1489"/>
      <c r="X417" s="1489"/>
      <c r="Y417" s="1489"/>
      <c r="Z417" s="1489"/>
      <c r="AA417" s="1489"/>
      <c r="AB417" s="1489"/>
      <c r="AC417" s="1489"/>
      <c r="AD417" s="1489"/>
      <c r="AE417" s="1489"/>
      <c r="AF417" s="1489"/>
      <c r="AG417" s="1489"/>
      <c r="AH417" s="1489"/>
      <c r="AI417" s="1489"/>
      <c r="AJ417" s="1489"/>
      <c r="AK417" s="1489"/>
      <c r="AL417" s="1489"/>
      <c r="AM417" s="1489"/>
      <c r="AN417" s="1489"/>
      <c r="AO417" s="1489"/>
      <c r="AP417" s="1489"/>
      <c r="AQ417" s="1489"/>
      <c r="AR417" s="1488"/>
      <c r="AS417" s="1488"/>
      <c r="AT417" s="1488"/>
      <c r="AU417" s="1488"/>
      <c r="AV417" s="1488"/>
      <c r="AW417" s="1488"/>
      <c r="AX417" s="1488"/>
      <c r="AY417" s="1488"/>
    </row>
    <row r="418" spans="3:51" s="1502" customFormat="1">
      <c r="C418" s="1498"/>
      <c r="D418" s="1501"/>
      <c r="E418" s="1500"/>
      <c r="F418" s="814"/>
      <c r="G418" s="1494"/>
      <c r="H418" s="1493"/>
      <c r="I418" s="1493"/>
      <c r="J418" s="813"/>
      <c r="K418" s="814"/>
      <c r="L418" s="1499"/>
      <c r="M418" s="1488"/>
      <c r="N418" s="1488"/>
      <c r="O418" s="1489"/>
      <c r="P418" s="1489"/>
      <c r="Q418" s="1489"/>
      <c r="R418" s="1489"/>
      <c r="S418" s="1489"/>
      <c r="T418" s="1489"/>
      <c r="U418" s="1489"/>
      <c r="V418" s="1489"/>
      <c r="W418" s="1489"/>
      <c r="X418" s="1489"/>
      <c r="Y418" s="1489"/>
      <c r="Z418" s="1489"/>
      <c r="AA418" s="1489"/>
      <c r="AB418" s="1489"/>
      <c r="AC418" s="1489"/>
      <c r="AD418" s="1489"/>
      <c r="AE418" s="1489"/>
      <c r="AF418" s="1489"/>
      <c r="AG418" s="1489"/>
      <c r="AH418" s="1489"/>
      <c r="AI418" s="1489"/>
      <c r="AJ418" s="1489"/>
      <c r="AK418" s="1489"/>
      <c r="AL418" s="1489"/>
      <c r="AM418" s="1489"/>
      <c r="AN418" s="1489"/>
      <c r="AO418" s="1489"/>
      <c r="AP418" s="1489"/>
      <c r="AQ418" s="1489"/>
      <c r="AR418" s="1488"/>
      <c r="AS418" s="1488"/>
      <c r="AT418" s="1488"/>
      <c r="AU418" s="1488"/>
      <c r="AV418" s="1488"/>
      <c r="AW418" s="1488"/>
      <c r="AX418" s="1488"/>
      <c r="AY418" s="1488"/>
    </row>
    <row r="419" spans="3:51" s="1502" customFormat="1">
      <c r="C419" s="1498"/>
      <c r="D419" s="1501"/>
      <c r="E419" s="1500"/>
      <c r="F419" s="814"/>
      <c r="G419" s="1494"/>
      <c r="H419" s="1493"/>
      <c r="I419" s="1493"/>
      <c r="J419" s="813"/>
      <c r="K419" s="814"/>
      <c r="L419" s="1499"/>
      <c r="M419" s="1488"/>
      <c r="N419" s="1488"/>
      <c r="O419" s="1489"/>
      <c r="P419" s="1489"/>
      <c r="Q419" s="1489"/>
      <c r="R419" s="1489"/>
      <c r="S419" s="1489"/>
      <c r="T419" s="1489"/>
      <c r="U419" s="1489"/>
      <c r="V419" s="1489"/>
      <c r="W419" s="1489"/>
      <c r="X419" s="1489"/>
      <c r="Y419" s="1489"/>
      <c r="Z419" s="1489"/>
      <c r="AA419" s="1489"/>
      <c r="AB419" s="1489"/>
      <c r="AC419" s="1489"/>
      <c r="AD419" s="1489"/>
      <c r="AE419" s="1489"/>
      <c r="AF419" s="1489"/>
      <c r="AG419" s="1489"/>
      <c r="AH419" s="1489"/>
      <c r="AI419" s="1489"/>
      <c r="AJ419" s="1489"/>
      <c r="AK419" s="1489"/>
      <c r="AL419" s="1489"/>
      <c r="AM419" s="1489"/>
      <c r="AN419" s="1489"/>
      <c r="AO419" s="1489"/>
      <c r="AP419" s="1489"/>
      <c r="AQ419" s="1489"/>
      <c r="AR419" s="1488"/>
      <c r="AS419" s="1488"/>
      <c r="AT419" s="1488"/>
      <c r="AU419" s="1488"/>
      <c r="AV419" s="1488"/>
      <c r="AW419" s="1488"/>
      <c r="AX419" s="1488"/>
      <c r="AY419" s="1488"/>
    </row>
    <row r="420" spans="3:51" s="1502" customFormat="1">
      <c r="C420" s="1498"/>
      <c r="D420" s="1501"/>
      <c r="E420" s="1500"/>
      <c r="F420" s="814"/>
      <c r="G420" s="1494"/>
      <c r="H420" s="1493"/>
      <c r="I420" s="1493"/>
      <c r="J420" s="813"/>
      <c r="K420" s="814"/>
      <c r="L420" s="1499"/>
      <c r="M420" s="1488"/>
      <c r="N420" s="1488"/>
      <c r="O420" s="1489"/>
      <c r="P420" s="1489"/>
      <c r="Q420" s="1489"/>
      <c r="R420" s="1489"/>
      <c r="S420" s="1489"/>
      <c r="T420" s="1489"/>
      <c r="U420" s="1489"/>
      <c r="V420" s="1489"/>
      <c r="W420" s="1489"/>
      <c r="X420" s="1489"/>
      <c r="Y420" s="1489"/>
      <c r="Z420" s="1489"/>
      <c r="AA420" s="1489"/>
      <c r="AB420" s="1489"/>
      <c r="AC420" s="1489"/>
      <c r="AD420" s="1489"/>
      <c r="AE420" s="1489"/>
      <c r="AF420" s="1489"/>
      <c r="AG420" s="1489"/>
      <c r="AH420" s="1489"/>
      <c r="AI420" s="1489"/>
      <c r="AJ420" s="1489"/>
      <c r="AK420" s="1489"/>
      <c r="AL420" s="1489"/>
      <c r="AM420" s="1489"/>
      <c r="AN420" s="1489"/>
      <c r="AO420" s="1489"/>
      <c r="AP420" s="1489"/>
      <c r="AQ420" s="1489"/>
      <c r="AR420" s="1488"/>
      <c r="AS420" s="1488"/>
      <c r="AT420" s="1488"/>
      <c r="AU420" s="1488"/>
      <c r="AV420" s="1488"/>
      <c r="AW420" s="1488"/>
      <c r="AX420" s="1488"/>
      <c r="AY420" s="1488"/>
    </row>
    <row r="421" spans="3:51" s="1502" customFormat="1">
      <c r="C421" s="1498"/>
      <c r="D421" s="1501"/>
      <c r="E421" s="1500"/>
      <c r="F421" s="814"/>
      <c r="G421" s="1494"/>
      <c r="H421" s="1493"/>
      <c r="I421" s="1493"/>
      <c r="J421" s="813"/>
      <c r="K421" s="814"/>
      <c r="L421" s="1499"/>
      <c r="M421" s="1488"/>
      <c r="N421" s="1488"/>
      <c r="O421" s="1489"/>
      <c r="P421" s="1489"/>
      <c r="Q421" s="1489"/>
      <c r="R421" s="1489"/>
      <c r="S421" s="1489"/>
      <c r="T421" s="1489"/>
      <c r="U421" s="1489"/>
      <c r="V421" s="1489"/>
      <c r="W421" s="1489"/>
      <c r="X421" s="1489"/>
      <c r="Y421" s="1489"/>
      <c r="Z421" s="1489"/>
      <c r="AA421" s="1489"/>
      <c r="AB421" s="1489"/>
      <c r="AC421" s="1489"/>
      <c r="AD421" s="1489"/>
      <c r="AE421" s="1489"/>
      <c r="AF421" s="1489"/>
      <c r="AG421" s="1489"/>
      <c r="AH421" s="1489"/>
      <c r="AI421" s="1489"/>
      <c r="AJ421" s="1489"/>
      <c r="AK421" s="1489"/>
      <c r="AL421" s="1489"/>
      <c r="AM421" s="1489"/>
      <c r="AN421" s="1489"/>
      <c r="AO421" s="1489"/>
      <c r="AP421" s="1489"/>
      <c r="AQ421" s="1489"/>
      <c r="AR421" s="1488"/>
      <c r="AS421" s="1488"/>
      <c r="AT421" s="1488"/>
      <c r="AU421" s="1488"/>
      <c r="AV421" s="1488"/>
      <c r="AW421" s="1488"/>
      <c r="AX421" s="1488"/>
      <c r="AY421" s="1488"/>
    </row>
    <row r="422" spans="3:51" s="1502" customFormat="1">
      <c r="C422" s="1498"/>
      <c r="D422" s="1501"/>
      <c r="E422" s="1500"/>
      <c r="F422" s="814"/>
      <c r="G422" s="1494"/>
      <c r="H422" s="1493"/>
      <c r="I422" s="1493"/>
      <c r="J422" s="813"/>
      <c r="K422" s="814"/>
      <c r="L422" s="1499"/>
      <c r="M422" s="1488"/>
      <c r="N422" s="1488"/>
      <c r="O422" s="1489"/>
      <c r="P422" s="1489"/>
      <c r="Q422" s="1489"/>
      <c r="R422" s="1489"/>
      <c r="S422" s="1489"/>
      <c r="T422" s="1489"/>
      <c r="U422" s="1489"/>
      <c r="V422" s="1489"/>
      <c r="W422" s="1489"/>
      <c r="X422" s="1489"/>
      <c r="Y422" s="1489"/>
      <c r="Z422" s="1489"/>
      <c r="AA422" s="1489"/>
      <c r="AB422" s="1489"/>
      <c r="AC422" s="1489"/>
      <c r="AD422" s="1489"/>
      <c r="AE422" s="1489"/>
      <c r="AF422" s="1489"/>
      <c r="AG422" s="1489"/>
      <c r="AH422" s="1489"/>
      <c r="AI422" s="1489"/>
      <c r="AJ422" s="1489"/>
      <c r="AK422" s="1489"/>
      <c r="AL422" s="1489"/>
      <c r="AM422" s="1489"/>
      <c r="AN422" s="1489"/>
      <c r="AO422" s="1489"/>
      <c r="AP422" s="1489"/>
      <c r="AQ422" s="1489"/>
      <c r="AR422" s="1488"/>
      <c r="AS422" s="1488"/>
      <c r="AT422" s="1488"/>
      <c r="AU422" s="1488"/>
      <c r="AV422" s="1488"/>
      <c r="AW422" s="1488"/>
      <c r="AX422" s="1488"/>
      <c r="AY422" s="1488"/>
    </row>
    <row r="423" spans="3:51" s="1502" customFormat="1">
      <c r="C423" s="1498"/>
      <c r="D423" s="1501"/>
      <c r="E423" s="1500"/>
      <c r="F423" s="814"/>
      <c r="G423" s="1494"/>
      <c r="H423" s="1493"/>
      <c r="I423" s="1493"/>
      <c r="J423" s="813"/>
      <c r="K423" s="814"/>
      <c r="L423" s="1499"/>
      <c r="M423" s="1488"/>
      <c r="N423" s="1488"/>
      <c r="O423" s="1489"/>
      <c r="P423" s="1489"/>
      <c r="Q423" s="1489"/>
      <c r="R423" s="1489"/>
      <c r="S423" s="1489"/>
      <c r="T423" s="1489"/>
      <c r="U423" s="1489"/>
      <c r="V423" s="1489"/>
      <c r="W423" s="1489"/>
      <c r="X423" s="1489"/>
      <c r="Y423" s="1489"/>
      <c r="Z423" s="1489"/>
      <c r="AA423" s="1489"/>
      <c r="AB423" s="1489"/>
      <c r="AC423" s="1489"/>
      <c r="AD423" s="1489"/>
      <c r="AE423" s="1489"/>
      <c r="AF423" s="1489"/>
      <c r="AG423" s="1489"/>
      <c r="AH423" s="1489"/>
      <c r="AI423" s="1489"/>
      <c r="AJ423" s="1489"/>
      <c r="AK423" s="1489"/>
      <c r="AL423" s="1489"/>
      <c r="AM423" s="1489"/>
      <c r="AN423" s="1489"/>
      <c r="AO423" s="1489"/>
      <c r="AP423" s="1489"/>
      <c r="AQ423" s="1489"/>
      <c r="AR423" s="1488"/>
      <c r="AS423" s="1488"/>
      <c r="AT423" s="1488"/>
      <c r="AU423" s="1488"/>
      <c r="AV423" s="1488"/>
      <c r="AW423" s="1488"/>
      <c r="AX423" s="1488"/>
      <c r="AY423" s="1488"/>
    </row>
    <row r="424" spans="3:51" s="1502" customFormat="1">
      <c r="C424" s="1498"/>
      <c r="D424" s="1501"/>
      <c r="E424" s="1500"/>
      <c r="F424" s="814"/>
      <c r="G424" s="1494"/>
      <c r="H424" s="1493"/>
      <c r="I424" s="1493"/>
      <c r="J424" s="813"/>
      <c r="K424" s="814"/>
      <c r="L424" s="1499"/>
      <c r="M424" s="1488"/>
      <c r="N424" s="1488"/>
      <c r="O424" s="1489"/>
      <c r="P424" s="1489"/>
      <c r="Q424" s="1489"/>
      <c r="R424" s="1489"/>
      <c r="S424" s="1489"/>
      <c r="T424" s="1489"/>
      <c r="U424" s="1489"/>
      <c r="V424" s="1489"/>
      <c r="W424" s="1489"/>
      <c r="X424" s="1489"/>
      <c r="Y424" s="1489"/>
      <c r="Z424" s="1489"/>
      <c r="AA424" s="1489"/>
      <c r="AB424" s="1489"/>
      <c r="AC424" s="1489"/>
      <c r="AD424" s="1489"/>
      <c r="AE424" s="1489"/>
      <c r="AF424" s="1489"/>
      <c r="AG424" s="1489"/>
      <c r="AH424" s="1489"/>
      <c r="AI424" s="1489"/>
      <c r="AJ424" s="1489"/>
      <c r="AK424" s="1489"/>
      <c r="AL424" s="1489"/>
      <c r="AM424" s="1489"/>
      <c r="AN424" s="1489"/>
      <c r="AO424" s="1489"/>
      <c r="AP424" s="1489"/>
      <c r="AQ424" s="1489"/>
      <c r="AR424" s="1488"/>
      <c r="AS424" s="1488"/>
      <c r="AT424" s="1488"/>
      <c r="AU424" s="1488"/>
      <c r="AV424" s="1488"/>
      <c r="AW424" s="1488"/>
      <c r="AX424" s="1488"/>
      <c r="AY424" s="1488"/>
    </row>
    <row r="425" spans="3:51" s="1502" customFormat="1">
      <c r="C425" s="1498"/>
      <c r="D425" s="1501"/>
      <c r="E425" s="1500"/>
      <c r="F425" s="814"/>
      <c r="G425" s="1494"/>
      <c r="H425" s="1493"/>
      <c r="I425" s="1493"/>
      <c r="J425" s="813"/>
      <c r="K425" s="814"/>
      <c r="L425" s="1499"/>
      <c r="M425" s="1488"/>
      <c r="N425" s="1488"/>
      <c r="O425" s="1489"/>
      <c r="P425" s="1489"/>
      <c r="Q425" s="1489"/>
      <c r="R425" s="1489"/>
      <c r="S425" s="1489"/>
      <c r="T425" s="1489"/>
      <c r="U425" s="1489"/>
      <c r="V425" s="1489"/>
      <c r="W425" s="1489"/>
      <c r="X425" s="1489"/>
      <c r="Y425" s="1489"/>
      <c r="Z425" s="1489"/>
      <c r="AA425" s="1489"/>
      <c r="AB425" s="1489"/>
      <c r="AC425" s="1489"/>
      <c r="AD425" s="1489"/>
      <c r="AE425" s="1489"/>
      <c r="AF425" s="1489"/>
      <c r="AG425" s="1489"/>
      <c r="AH425" s="1489"/>
      <c r="AI425" s="1489"/>
      <c r="AJ425" s="1489"/>
      <c r="AK425" s="1489"/>
      <c r="AL425" s="1489"/>
      <c r="AM425" s="1489"/>
      <c r="AN425" s="1489"/>
      <c r="AO425" s="1489"/>
      <c r="AP425" s="1489"/>
      <c r="AQ425" s="1489"/>
      <c r="AR425" s="1488"/>
      <c r="AS425" s="1488"/>
      <c r="AT425" s="1488"/>
      <c r="AU425" s="1488"/>
      <c r="AV425" s="1488"/>
      <c r="AW425" s="1488"/>
      <c r="AX425" s="1488"/>
      <c r="AY425" s="1488"/>
    </row>
    <row r="426" spans="3:51" s="1502" customFormat="1">
      <c r="C426" s="1498"/>
      <c r="D426" s="1501"/>
      <c r="E426" s="1500"/>
      <c r="F426" s="814"/>
      <c r="G426" s="1494"/>
      <c r="H426" s="1493"/>
      <c r="I426" s="1493"/>
      <c r="J426" s="813"/>
      <c r="K426" s="814"/>
      <c r="L426" s="1499"/>
      <c r="M426" s="1488"/>
      <c r="N426" s="1488"/>
      <c r="O426" s="1489"/>
      <c r="P426" s="1489"/>
      <c r="Q426" s="1489"/>
      <c r="R426" s="1489"/>
      <c r="S426" s="1489"/>
      <c r="T426" s="1489"/>
      <c r="U426" s="1489"/>
      <c r="V426" s="1489"/>
      <c r="W426" s="1489"/>
      <c r="X426" s="1489"/>
      <c r="Y426" s="1489"/>
      <c r="Z426" s="1489"/>
      <c r="AA426" s="1489"/>
      <c r="AB426" s="1489"/>
      <c r="AC426" s="1489"/>
      <c r="AD426" s="1489"/>
      <c r="AE426" s="1489"/>
      <c r="AF426" s="1489"/>
      <c r="AG426" s="1489"/>
      <c r="AH426" s="1489"/>
      <c r="AI426" s="1489"/>
      <c r="AJ426" s="1489"/>
      <c r="AK426" s="1489"/>
      <c r="AL426" s="1489"/>
      <c r="AM426" s="1489"/>
      <c r="AN426" s="1489"/>
      <c r="AO426" s="1489"/>
      <c r="AP426" s="1489"/>
      <c r="AQ426" s="1489"/>
      <c r="AR426" s="1488"/>
      <c r="AS426" s="1488"/>
      <c r="AT426" s="1488"/>
      <c r="AU426" s="1488"/>
      <c r="AV426" s="1488"/>
      <c r="AW426" s="1488"/>
      <c r="AX426" s="1488"/>
      <c r="AY426" s="1488"/>
    </row>
    <row r="427" spans="3:51" s="1502" customFormat="1">
      <c r="C427" s="1498"/>
      <c r="D427" s="1501"/>
      <c r="E427" s="1500"/>
      <c r="F427" s="814"/>
      <c r="G427" s="1494"/>
      <c r="H427" s="1493"/>
      <c r="I427" s="1493"/>
      <c r="J427" s="813"/>
      <c r="K427" s="814"/>
      <c r="L427" s="1499"/>
      <c r="M427" s="1488"/>
      <c r="N427" s="1488"/>
      <c r="O427" s="1489"/>
      <c r="P427" s="1489"/>
      <c r="Q427" s="1489"/>
      <c r="R427" s="1489"/>
      <c r="S427" s="1489"/>
      <c r="T427" s="1489"/>
      <c r="U427" s="1489"/>
      <c r="V427" s="1489"/>
      <c r="W427" s="1489"/>
      <c r="X427" s="1489"/>
      <c r="Y427" s="1489"/>
      <c r="Z427" s="1489"/>
      <c r="AA427" s="1489"/>
      <c r="AB427" s="1489"/>
      <c r="AC427" s="1489"/>
      <c r="AD427" s="1489"/>
      <c r="AE427" s="1489"/>
      <c r="AF427" s="1489"/>
      <c r="AG427" s="1489"/>
      <c r="AH427" s="1489"/>
      <c r="AI427" s="1489"/>
      <c r="AJ427" s="1489"/>
      <c r="AK427" s="1489"/>
      <c r="AL427" s="1489"/>
      <c r="AM427" s="1489"/>
      <c r="AN427" s="1489"/>
      <c r="AO427" s="1489"/>
      <c r="AP427" s="1489"/>
      <c r="AQ427" s="1489"/>
      <c r="AR427" s="1488"/>
      <c r="AS427" s="1488"/>
      <c r="AT427" s="1488"/>
      <c r="AU427" s="1488"/>
      <c r="AV427" s="1488"/>
      <c r="AW427" s="1488"/>
      <c r="AX427" s="1488"/>
      <c r="AY427" s="1488"/>
    </row>
    <row r="428" spans="3:51" s="1502" customFormat="1">
      <c r="C428" s="1498"/>
      <c r="D428" s="1501"/>
      <c r="E428" s="1500"/>
      <c r="F428" s="814"/>
      <c r="G428" s="1494"/>
      <c r="H428" s="1493"/>
      <c r="I428" s="1493"/>
      <c r="J428" s="813"/>
      <c r="K428" s="814"/>
      <c r="L428" s="1499"/>
      <c r="M428" s="1488"/>
      <c r="N428" s="1488"/>
      <c r="O428" s="1489"/>
      <c r="P428" s="1489"/>
      <c r="Q428" s="1489"/>
      <c r="R428" s="1489"/>
      <c r="S428" s="1489"/>
      <c r="T428" s="1489"/>
      <c r="U428" s="1489"/>
      <c r="V428" s="1489"/>
      <c r="W428" s="1489"/>
      <c r="X428" s="1489"/>
      <c r="Y428" s="1489"/>
      <c r="Z428" s="1489"/>
      <c r="AA428" s="1489"/>
      <c r="AB428" s="1489"/>
      <c r="AC428" s="1489"/>
      <c r="AD428" s="1489"/>
      <c r="AE428" s="1489"/>
      <c r="AF428" s="1489"/>
      <c r="AG428" s="1489"/>
      <c r="AH428" s="1489"/>
      <c r="AI428" s="1489"/>
      <c r="AJ428" s="1489"/>
      <c r="AK428" s="1489"/>
      <c r="AL428" s="1489"/>
      <c r="AM428" s="1489"/>
      <c r="AN428" s="1489"/>
      <c r="AO428" s="1489"/>
      <c r="AP428" s="1489"/>
      <c r="AQ428" s="1489"/>
      <c r="AR428" s="1488"/>
      <c r="AS428" s="1488"/>
      <c r="AT428" s="1488"/>
      <c r="AU428" s="1488"/>
      <c r="AV428" s="1488"/>
      <c r="AW428" s="1488"/>
      <c r="AX428" s="1488"/>
      <c r="AY428" s="1488"/>
    </row>
    <row r="429" spans="3:51" s="1502" customFormat="1">
      <c r="C429" s="1498"/>
      <c r="D429" s="1501"/>
      <c r="E429" s="1500"/>
      <c r="F429" s="814"/>
      <c r="G429" s="1494"/>
      <c r="H429" s="1493"/>
      <c r="I429" s="1493"/>
      <c r="J429" s="813"/>
      <c r="K429" s="814"/>
      <c r="L429" s="1499"/>
      <c r="M429" s="1488"/>
      <c r="N429" s="1488"/>
      <c r="O429" s="1489"/>
      <c r="P429" s="1489"/>
      <c r="Q429" s="1489"/>
      <c r="R429" s="1489"/>
      <c r="S429" s="1489"/>
      <c r="T429" s="1489"/>
      <c r="U429" s="1489"/>
      <c r="V429" s="1489"/>
      <c r="W429" s="1489"/>
      <c r="X429" s="1489"/>
      <c r="Y429" s="1489"/>
      <c r="Z429" s="1489"/>
      <c r="AA429" s="1489"/>
      <c r="AB429" s="1489"/>
      <c r="AC429" s="1489"/>
      <c r="AD429" s="1489"/>
      <c r="AE429" s="1489"/>
      <c r="AF429" s="1489"/>
      <c r="AG429" s="1489"/>
      <c r="AH429" s="1489"/>
      <c r="AI429" s="1489"/>
      <c r="AJ429" s="1489"/>
      <c r="AK429" s="1489"/>
      <c r="AL429" s="1489"/>
      <c r="AM429" s="1489"/>
      <c r="AN429" s="1489"/>
      <c r="AO429" s="1489"/>
      <c r="AP429" s="1489"/>
      <c r="AQ429" s="1489"/>
      <c r="AR429" s="1488"/>
      <c r="AS429" s="1488"/>
      <c r="AT429" s="1488"/>
      <c r="AU429" s="1488"/>
      <c r="AV429" s="1488"/>
      <c r="AW429" s="1488"/>
      <c r="AX429" s="1488"/>
      <c r="AY429" s="1488"/>
    </row>
    <row r="430" spans="3:51" s="1502" customFormat="1">
      <c r="C430" s="1498"/>
      <c r="D430" s="1501"/>
      <c r="E430" s="1500"/>
      <c r="F430" s="814"/>
      <c r="G430" s="1494"/>
      <c r="H430" s="1493"/>
      <c r="I430" s="1493"/>
      <c r="J430" s="813"/>
      <c r="K430" s="814"/>
      <c r="L430" s="1499"/>
      <c r="M430" s="1488"/>
      <c r="N430" s="1488"/>
      <c r="O430" s="1489"/>
      <c r="P430" s="1489"/>
      <c r="Q430" s="1489"/>
      <c r="R430" s="1489"/>
      <c r="S430" s="1489"/>
      <c r="T430" s="1489"/>
      <c r="U430" s="1489"/>
      <c r="V430" s="1489"/>
      <c r="W430" s="1489"/>
      <c r="X430" s="1489"/>
      <c r="Y430" s="1489"/>
      <c r="Z430" s="1489"/>
      <c r="AA430" s="1489"/>
      <c r="AB430" s="1489"/>
      <c r="AC430" s="1489"/>
      <c r="AD430" s="1489"/>
      <c r="AE430" s="1489"/>
      <c r="AF430" s="1489"/>
      <c r="AG430" s="1489"/>
      <c r="AH430" s="1489"/>
      <c r="AI430" s="1489"/>
      <c r="AJ430" s="1489"/>
      <c r="AK430" s="1489"/>
      <c r="AL430" s="1489"/>
      <c r="AM430" s="1489"/>
      <c r="AN430" s="1489"/>
      <c r="AO430" s="1489"/>
      <c r="AP430" s="1489"/>
      <c r="AQ430" s="1489"/>
      <c r="AR430" s="1488"/>
      <c r="AS430" s="1488"/>
      <c r="AT430" s="1488"/>
      <c r="AU430" s="1488"/>
      <c r="AV430" s="1488"/>
      <c r="AW430" s="1488"/>
      <c r="AX430" s="1488"/>
      <c r="AY430" s="1488"/>
    </row>
    <row r="431" spans="3:51" s="1502" customFormat="1">
      <c r="C431" s="1498"/>
      <c r="D431" s="1501"/>
      <c r="E431" s="1500"/>
      <c r="F431" s="814"/>
      <c r="G431" s="1494"/>
      <c r="H431" s="1493"/>
      <c r="I431" s="1493"/>
      <c r="J431" s="813"/>
      <c r="K431" s="814"/>
      <c r="L431" s="1499"/>
      <c r="M431" s="1488"/>
      <c r="N431" s="1488"/>
      <c r="O431" s="1489"/>
      <c r="P431" s="1489"/>
      <c r="Q431" s="1489"/>
      <c r="R431" s="1489"/>
      <c r="S431" s="1489"/>
      <c r="T431" s="1489"/>
      <c r="U431" s="1489"/>
      <c r="V431" s="1489"/>
      <c r="W431" s="1489"/>
      <c r="X431" s="1489"/>
      <c r="Y431" s="1489"/>
      <c r="Z431" s="1489"/>
      <c r="AA431" s="1489"/>
      <c r="AB431" s="1489"/>
      <c r="AC431" s="1489"/>
      <c r="AD431" s="1489"/>
      <c r="AE431" s="1489"/>
      <c r="AF431" s="1489"/>
      <c r="AG431" s="1489"/>
      <c r="AH431" s="1489"/>
      <c r="AI431" s="1489"/>
      <c r="AJ431" s="1489"/>
      <c r="AK431" s="1489"/>
      <c r="AL431" s="1489"/>
      <c r="AM431" s="1489"/>
      <c r="AN431" s="1489"/>
      <c r="AO431" s="1489"/>
      <c r="AP431" s="1489"/>
      <c r="AQ431" s="1489"/>
      <c r="AR431" s="1488"/>
      <c r="AS431" s="1488"/>
      <c r="AT431" s="1488"/>
      <c r="AU431" s="1488"/>
      <c r="AV431" s="1488"/>
      <c r="AW431" s="1488"/>
      <c r="AX431" s="1488"/>
      <c r="AY431" s="1488"/>
    </row>
    <row r="432" spans="3:51" s="1502" customFormat="1">
      <c r="C432" s="1498"/>
      <c r="D432" s="1501"/>
      <c r="E432" s="1500"/>
      <c r="F432" s="814"/>
      <c r="G432" s="1494"/>
      <c r="H432" s="1493"/>
      <c r="I432" s="1493"/>
      <c r="J432" s="813"/>
      <c r="K432" s="814"/>
      <c r="L432" s="1499"/>
      <c r="M432" s="1488"/>
      <c r="N432" s="1488"/>
      <c r="O432" s="1489"/>
      <c r="P432" s="1489"/>
      <c r="Q432" s="1489"/>
      <c r="R432" s="1489"/>
      <c r="S432" s="1489"/>
      <c r="T432" s="1489"/>
      <c r="U432" s="1489"/>
      <c r="V432" s="1489"/>
      <c r="W432" s="1489"/>
      <c r="X432" s="1489"/>
      <c r="Y432" s="1489"/>
      <c r="Z432" s="1489"/>
      <c r="AA432" s="1489"/>
      <c r="AB432" s="1489"/>
      <c r="AC432" s="1489"/>
      <c r="AD432" s="1489"/>
      <c r="AE432" s="1489"/>
      <c r="AF432" s="1489"/>
      <c r="AG432" s="1489"/>
      <c r="AH432" s="1489"/>
      <c r="AI432" s="1489"/>
      <c r="AJ432" s="1489"/>
      <c r="AK432" s="1489"/>
      <c r="AL432" s="1489"/>
      <c r="AM432" s="1489"/>
      <c r="AN432" s="1489"/>
      <c r="AO432" s="1489"/>
      <c r="AP432" s="1489"/>
      <c r="AQ432" s="1489"/>
      <c r="AR432" s="1488"/>
      <c r="AS432" s="1488"/>
      <c r="AT432" s="1488"/>
      <c r="AU432" s="1488"/>
      <c r="AV432" s="1488"/>
      <c r="AW432" s="1488"/>
      <c r="AX432" s="1488"/>
      <c r="AY432" s="1488"/>
    </row>
    <row r="433" spans="3:51" s="1502" customFormat="1">
      <c r="C433" s="1498"/>
      <c r="D433" s="1501"/>
      <c r="E433" s="1500"/>
      <c r="F433" s="814"/>
      <c r="G433" s="1494"/>
      <c r="H433" s="1493"/>
      <c r="I433" s="1493"/>
      <c r="J433" s="813"/>
      <c r="K433" s="814"/>
      <c r="L433" s="1499"/>
      <c r="M433" s="1488"/>
      <c r="N433" s="1488"/>
      <c r="O433" s="1489"/>
      <c r="P433" s="1489"/>
      <c r="Q433" s="1489"/>
      <c r="R433" s="1489"/>
      <c r="S433" s="1489"/>
      <c r="T433" s="1489"/>
      <c r="U433" s="1489"/>
      <c r="V433" s="1489"/>
      <c r="W433" s="1489"/>
      <c r="X433" s="1489"/>
      <c r="Y433" s="1489"/>
      <c r="Z433" s="1489"/>
      <c r="AA433" s="1489"/>
      <c r="AB433" s="1489"/>
      <c r="AC433" s="1489"/>
      <c r="AD433" s="1489"/>
      <c r="AE433" s="1489"/>
      <c r="AF433" s="1489"/>
      <c r="AG433" s="1489"/>
      <c r="AH433" s="1489"/>
      <c r="AI433" s="1489"/>
      <c r="AJ433" s="1489"/>
      <c r="AK433" s="1489"/>
      <c r="AL433" s="1489"/>
      <c r="AM433" s="1489"/>
      <c r="AN433" s="1489"/>
      <c r="AO433" s="1489"/>
      <c r="AP433" s="1489"/>
      <c r="AQ433" s="1489"/>
      <c r="AR433" s="1488"/>
      <c r="AS433" s="1488"/>
      <c r="AT433" s="1488"/>
      <c r="AU433" s="1488"/>
      <c r="AV433" s="1488"/>
      <c r="AW433" s="1488"/>
      <c r="AX433" s="1488"/>
      <c r="AY433" s="1488"/>
    </row>
    <row r="434" spans="3:51" s="1502" customFormat="1">
      <c r="C434" s="1498"/>
      <c r="D434" s="1501"/>
      <c r="E434" s="1500"/>
      <c r="F434" s="814"/>
      <c r="G434" s="1494"/>
      <c r="H434" s="1493"/>
      <c r="I434" s="1493"/>
      <c r="J434" s="813"/>
      <c r="K434" s="814"/>
      <c r="L434" s="1499"/>
      <c r="M434" s="1488"/>
      <c r="N434" s="1488"/>
      <c r="O434" s="1489"/>
      <c r="P434" s="1489"/>
      <c r="Q434" s="1489"/>
      <c r="R434" s="1489"/>
      <c r="S434" s="1489"/>
      <c r="T434" s="1489"/>
      <c r="U434" s="1489"/>
      <c r="V434" s="1489"/>
      <c r="W434" s="1489"/>
      <c r="X434" s="1489"/>
      <c r="Y434" s="1489"/>
      <c r="Z434" s="1489"/>
      <c r="AA434" s="1489"/>
      <c r="AB434" s="1489"/>
      <c r="AC434" s="1489"/>
      <c r="AD434" s="1489"/>
      <c r="AE434" s="1489"/>
      <c r="AF434" s="1489"/>
      <c r="AG434" s="1489"/>
      <c r="AH434" s="1489"/>
      <c r="AI434" s="1489"/>
      <c r="AJ434" s="1489"/>
      <c r="AK434" s="1489"/>
      <c r="AL434" s="1489"/>
      <c r="AM434" s="1489"/>
      <c r="AN434" s="1489"/>
      <c r="AO434" s="1489"/>
      <c r="AP434" s="1489"/>
      <c r="AQ434" s="1489"/>
      <c r="AR434" s="1488"/>
      <c r="AS434" s="1488"/>
      <c r="AT434" s="1488"/>
      <c r="AU434" s="1488"/>
      <c r="AV434" s="1488"/>
      <c r="AW434" s="1488"/>
      <c r="AX434" s="1488"/>
      <c r="AY434" s="1488"/>
    </row>
    <row r="435" spans="3:51" s="1502" customFormat="1">
      <c r="C435" s="1498"/>
      <c r="D435" s="1501"/>
      <c r="E435" s="1500"/>
      <c r="F435" s="814"/>
      <c r="G435" s="1494"/>
      <c r="H435" s="1493"/>
      <c r="I435" s="1493"/>
      <c r="J435" s="813"/>
      <c r="K435" s="814"/>
      <c r="L435" s="1499"/>
      <c r="M435" s="1488"/>
      <c r="N435" s="1488"/>
      <c r="O435" s="1489"/>
      <c r="P435" s="1489"/>
      <c r="Q435" s="1489"/>
      <c r="R435" s="1489"/>
      <c r="S435" s="1489"/>
      <c r="T435" s="1489"/>
      <c r="U435" s="1489"/>
      <c r="V435" s="1489"/>
      <c r="W435" s="1489"/>
      <c r="X435" s="1489"/>
      <c r="Y435" s="1489"/>
      <c r="Z435" s="1489"/>
      <c r="AA435" s="1489"/>
      <c r="AB435" s="1489"/>
      <c r="AC435" s="1489"/>
      <c r="AD435" s="1489"/>
      <c r="AE435" s="1489"/>
      <c r="AF435" s="1489"/>
      <c r="AG435" s="1489"/>
      <c r="AH435" s="1489"/>
      <c r="AI435" s="1489"/>
      <c r="AJ435" s="1489"/>
      <c r="AK435" s="1489"/>
      <c r="AL435" s="1489"/>
      <c r="AM435" s="1489"/>
      <c r="AN435" s="1489"/>
      <c r="AO435" s="1489"/>
      <c r="AP435" s="1489"/>
      <c r="AQ435" s="1489"/>
      <c r="AR435" s="1488"/>
      <c r="AS435" s="1488"/>
      <c r="AT435" s="1488"/>
      <c r="AU435" s="1488"/>
      <c r="AV435" s="1488"/>
      <c r="AW435" s="1488"/>
      <c r="AX435" s="1488"/>
      <c r="AY435" s="1488"/>
    </row>
    <row r="436" spans="3:51" s="1502" customFormat="1">
      <c r="C436" s="1498"/>
      <c r="D436" s="1501"/>
      <c r="E436" s="1500"/>
      <c r="F436" s="814"/>
      <c r="G436" s="1494"/>
      <c r="H436" s="1493"/>
      <c r="I436" s="1493"/>
      <c r="J436" s="813"/>
      <c r="K436" s="814"/>
      <c r="L436" s="1499"/>
      <c r="M436" s="1488"/>
      <c r="N436" s="1488"/>
      <c r="O436" s="1489"/>
      <c r="P436" s="1489"/>
      <c r="Q436" s="1489"/>
      <c r="R436" s="1489"/>
      <c r="S436" s="1489"/>
      <c r="T436" s="1489"/>
      <c r="U436" s="1489"/>
      <c r="V436" s="1489"/>
      <c r="W436" s="1489"/>
      <c r="X436" s="1489"/>
      <c r="Y436" s="1489"/>
      <c r="Z436" s="1489"/>
      <c r="AA436" s="1489"/>
      <c r="AB436" s="1489"/>
      <c r="AC436" s="1489"/>
      <c r="AD436" s="1489"/>
      <c r="AE436" s="1489"/>
      <c r="AF436" s="1489"/>
      <c r="AG436" s="1489"/>
      <c r="AH436" s="1489"/>
      <c r="AI436" s="1489"/>
      <c r="AJ436" s="1489"/>
      <c r="AK436" s="1489"/>
      <c r="AL436" s="1489"/>
      <c r="AM436" s="1489"/>
      <c r="AN436" s="1489"/>
      <c r="AO436" s="1489"/>
      <c r="AP436" s="1489"/>
      <c r="AQ436" s="1489"/>
      <c r="AR436" s="1488"/>
      <c r="AS436" s="1488"/>
      <c r="AT436" s="1488"/>
      <c r="AU436" s="1488"/>
      <c r="AV436" s="1488"/>
      <c r="AW436" s="1488"/>
      <c r="AX436" s="1488"/>
      <c r="AY436" s="1488"/>
    </row>
    <row r="437" spans="3:51" s="1502" customFormat="1">
      <c r="C437" s="1498"/>
      <c r="D437" s="1501"/>
      <c r="E437" s="1500"/>
      <c r="F437" s="814"/>
      <c r="G437" s="1494"/>
      <c r="H437" s="1493"/>
      <c r="I437" s="1493"/>
      <c r="J437" s="813"/>
      <c r="K437" s="814"/>
      <c r="L437" s="1499"/>
      <c r="M437" s="1488"/>
      <c r="N437" s="1488"/>
      <c r="O437" s="1489"/>
      <c r="P437" s="1489"/>
      <c r="Q437" s="1489"/>
      <c r="R437" s="1489"/>
      <c r="S437" s="1489"/>
      <c r="T437" s="1489"/>
      <c r="U437" s="1489"/>
      <c r="V437" s="1489"/>
      <c r="W437" s="1489"/>
      <c r="X437" s="1489"/>
      <c r="Y437" s="1489"/>
      <c r="Z437" s="1489"/>
      <c r="AA437" s="1489"/>
      <c r="AB437" s="1489"/>
      <c r="AC437" s="1489"/>
      <c r="AD437" s="1489"/>
      <c r="AE437" s="1489"/>
      <c r="AF437" s="1489"/>
      <c r="AG437" s="1489"/>
      <c r="AH437" s="1489"/>
      <c r="AI437" s="1489"/>
      <c r="AJ437" s="1489"/>
      <c r="AK437" s="1489"/>
      <c r="AL437" s="1489"/>
      <c r="AM437" s="1489"/>
      <c r="AN437" s="1489"/>
      <c r="AO437" s="1489"/>
      <c r="AP437" s="1489"/>
      <c r="AQ437" s="1489"/>
      <c r="AR437" s="1488"/>
      <c r="AS437" s="1488"/>
      <c r="AT437" s="1488"/>
      <c r="AU437" s="1488"/>
      <c r="AV437" s="1488"/>
      <c r="AW437" s="1488"/>
      <c r="AX437" s="1488"/>
      <c r="AY437" s="1488"/>
    </row>
    <row r="438" spans="3:51" s="1502" customFormat="1">
      <c r="C438" s="1498"/>
      <c r="D438" s="1501"/>
      <c r="E438" s="1500"/>
      <c r="F438" s="814"/>
      <c r="G438" s="1494"/>
      <c r="H438" s="1493"/>
      <c r="I438" s="1493"/>
      <c r="J438" s="813"/>
      <c r="K438" s="814"/>
      <c r="L438" s="1499"/>
      <c r="M438" s="1488"/>
      <c r="N438" s="1488"/>
      <c r="O438" s="1489"/>
      <c r="P438" s="1489"/>
      <c r="Q438" s="1489"/>
      <c r="R438" s="1489"/>
      <c r="S438" s="1489"/>
      <c r="T438" s="1489"/>
      <c r="U438" s="1489"/>
      <c r="V438" s="1489"/>
      <c r="W438" s="1489"/>
      <c r="X438" s="1489"/>
      <c r="Y438" s="1489"/>
      <c r="Z438" s="1489"/>
      <c r="AA438" s="1489"/>
      <c r="AB438" s="1489"/>
      <c r="AC438" s="1489"/>
      <c r="AD438" s="1489"/>
      <c r="AE438" s="1489"/>
      <c r="AF438" s="1489"/>
      <c r="AG438" s="1489"/>
      <c r="AH438" s="1489"/>
      <c r="AI438" s="1489"/>
      <c r="AJ438" s="1489"/>
      <c r="AK438" s="1489"/>
      <c r="AL438" s="1489"/>
      <c r="AM438" s="1489"/>
      <c r="AN438" s="1489"/>
      <c r="AO438" s="1489"/>
      <c r="AP438" s="1489"/>
      <c r="AQ438" s="1489"/>
      <c r="AR438" s="1488"/>
      <c r="AS438" s="1488"/>
      <c r="AT438" s="1488"/>
      <c r="AU438" s="1488"/>
      <c r="AV438" s="1488"/>
      <c r="AW438" s="1488"/>
      <c r="AX438" s="1488"/>
      <c r="AY438" s="1488"/>
    </row>
    <row r="439" spans="3:51" s="1502" customFormat="1">
      <c r="C439" s="1498"/>
      <c r="D439" s="1501"/>
      <c r="E439" s="1500"/>
      <c r="F439" s="814"/>
      <c r="G439" s="1494"/>
      <c r="H439" s="1493"/>
      <c r="I439" s="1493"/>
      <c r="J439" s="813"/>
      <c r="K439" s="814"/>
      <c r="L439" s="1499"/>
      <c r="M439" s="1488"/>
      <c r="N439" s="1488"/>
      <c r="O439" s="1489"/>
      <c r="P439" s="1489"/>
      <c r="Q439" s="1489"/>
      <c r="R439" s="1489"/>
      <c r="S439" s="1489"/>
      <c r="T439" s="1489"/>
      <c r="U439" s="1489"/>
      <c r="V439" s="1489"/>
      <c r="W439" s="1489"/>
      <c r="X439" s="1489"/>
      <c r="Y439" s="1489"/>
      <c r="Z439" s="1489"/>
      <c r="AA439" s="1489"/>
      <c r="AB439" s="1489"/>
      <c r="AC439" s="1489"/>
      <c r="AD439" s="1489"/>
      <c r="AE439" s="1489"/>
      <c r="AF439" s="1489"/>
      <c r="AG439" s="1489"/>
      <c r="AH439" s="1489"/>
      <c r="AI439" s="1489"/>
      <c r="AJ439" s="1489"/>
      <c r="AK439" s="1489"/>
      <c r="AL439" s="1489"/>
      <c r="AM439" s="1489"/>
      <c r="AN439" s="1489"/>
      <c r="AO439" s="1489"/>
      <c r="AP439" s="1489"/>
      <c r="AQ439" s="1489"/>
      <c r="AR439" s="1488"/>
      <c r="AS439" s="1488"/>
      <c r="AT439" s="1488"/>
      <c r="AU439" s="1488"/>
      <c r="AV439" s="1488"/>
      <c r="AW439" s="1488"/>
      <c r="AX439" s="1488"/>
      <c r="AY439" s="1488"/>
    </row>
    <row r="440" spans="3:51" s="1502" customFormat="1">
      <c r="C440" s="1498"/>
      <c r="D440" s="1501"/>
      <c r="E440" s="1500"/>
      <c r="F440" s="814"/>
      <c r="G440" s="1494"/>
      <c r="H440" s="1493"/>
      <c r="I440" s="1493"/>
      <c r="J440" s="813"/>
      <c r="K440" s="814"/>
      <c r="L440" s="1499"/>
      <c r="M440" s="1488"/>
      <c r="N440" s="1488"/>
      <c r="O440" s="1489"/>
      <c r="P440" s="1489"/>
      <c r="Q440" s="1489"/>
      <c r="R440" s="1489"/>
      <c r="S440" s="1489"/>
      <c r="T440" s="1489"/>
      <c r="U440" s="1489"/>
      <c r="V440" s="1489"/>
      <c r="W440" s="1489"/>
      <c r="X440" s="1489"/>
      <c r="Y440" s="1489"/>
      <c r="Z440" s="1489"/>
      <c r="AA440" s="1489"/>
      <c r="AB440" s="1489"/>
      <c r="AC440" s="1489"/>
      <c r="AD440" s="1489"/>
      <c r="AE440" s="1489"/>
      <c r="AF440" s="1489"/>
      <c r="AG440" s="1489"/>
      <c r="AH440" s="1489"/>
      <c r="AI440" s="1489"/>
      <c r="AJ440" s="1489"/>
      <c r="AK440" s="1489"/>
      <c r="AL440" s="1489"/>
      <c r="AM440" s="1489"/>
      <c r="AN440" s="1489"/>
      <c r="AO440" s="1489"/>
      <c r="AP440" s="1489"/>
      <c r="AQ440" s="1489"/>
      <c r="AR440" s="1488"/>
      <c r="AS440" s="1488"/>
      <c r="AT440" s="1488"/>
      <c r="AU440" s="1488"/>
      <c r="AV440" s="1488"/>
      <c r="AW440" s="1488"/>
      <c r="AX440" s="1488"/>
      <c r="AY440" s="1488"/>
    </row>
    <row r="441" spans="3:51" s="1502" customFormat="1">
      <c r="C441" s="1498"/>
      <c r="D441" s="1501"/>
      <c r="E441" s="1500"/>
      <c r="F441" s="814"/>
      <c r="G441" s="1494"/>
      <c r="H441" s="1493"/>
      <c r="I441" s="1493"/>
      <c r="J441" s="813"/>
      <c r="K441" s="814"/>
      <c r="L441" s="1499"/>
      <c r="M441" s="1488"/>
      <c r="N441" s="1488"/>
      <c r="O441" s="1489"/>
      <c r="P441" s="1489"/>
      <c r="Q441" s="1489"/>
      <c r="R441" s="1489"/>
      <c r="S441" s="1489"/>
      <c r="T441" s="1489"/>
      <c r="U441" s="1489"/>
      <c r="V441" s="1489"/>
      <c r="W441" s="1489"/>
      <c r="X441" s="1489"/>
      <c r="Y441" s="1489"/>
      <c r="Z441" s="1489"/>
      <c r="AA441" s="1489"/>
      <c r="AB441" s="1489"/>
      <c r="AC441" s="1489"/>
      <c r="AD441" s="1489"/>
      <c r="AE441" s="1489"/>
      <c r="AF441" s="1489"/>
      <c r="AG441" s="1489"/>
      <c r="AH441" s="1489"/>
      <c r="AI441" s="1489"/>
      <c r="AJ441" s="1489"/>
      <c r="AK441" s="1489"/>
      <c r="AL441" s="1489"/>
      <c r="AM441" s="1489"/>
      <c r="AN441" s="1489"/>
      <c r="AO441" s="1489"/>
      <c r="AP441" s="1489"/>
      <c r="AQ441" s="1489"/>
      <c r="AR441" s="1488"/>
      <c r="AS441" s="1488"/>
      <c r="AT441" s="1488"/>
      <c r="AU441" s="1488"/>
      <c r="AV441" s="1488"/>
      <c r="AW441" s="1488"/>
      <c r="AX441" s="1488"/>
      <c r="AY441" s="1488"/>
    </row>
    <row r="442" spans="3:51" s="1502" customFormat="1">
      <c r="C442" s="1498"/>
      <c r="D442" s="1501"/>
      <c r="E442" s="1500"/>
      <c r="F442" s="814"/>
      <c r="G442" s="1494"/>
      <c r="H442" s="1493"/>
      <c r="I442" s="1493"/>
      <c r="J442" s="813"/>
      <c r="K442" s="814"/>
      <c r="L442" s="1499"/>
      <c r="M442" s="1488"/>
      <c r="N442" s="1488"/>
      <c r="O442" s="1489"/>
      <c r="P442" s="1489"/>
      <c r="Q442" s="1489"/>
      <c r="R442" s="1489"/>
      <c r="S442" s="1489"/>
      <c r="T442" s="1489"/>
      <c r="U442" s="1489"/>
      <c r="V442" s="1489"/>
      <c r="W442" s="1489"/>
      <c r="X442" s="1489"/>
      <c r="Y442" s="1489"/>
      <c r="Z442" s="1489"/>
      <c r="AA442" s="1489"/>
      <c r="AB442" s="1489"/>
      <c r="AC442" s="1489"/>
      <c r="AD442" s="1489"/>
      <c r="AE442" s="1489"/>
      <c r="AF442" s="1489"/>
      <c r="AG442" s="1489"/>
      <c r="AH442" s="1489"/>
      <c r="AI442" s="1489"/>
      <c r="AJ442" s="1489"/>
      <c r="AK442" s="1489"/>
      <c r="AL442" s="1489"/>
      <c r="AM442" s="1489"/>
      <c r="AN442" s="1489"/>
      <c r="AO442" s="1489"/>
      <c r="AP442" s="1489"/>
      <c r="AQ442" s="1489"/>
      <c r="AR442" s="1488"/>
      <c r="AS442" s="1488"/>
      <c r="AT442" s="1488"/>
      <c r="AU442" s="1488"/>
      <c r="AV442" s="1488"/>
      <c r="AW442" s="1488"/>
      <c r="AX442" s="1488"/>
      <c r="AY442" s="1488"/>
    </row>
    <row r="443" spans="3:51" s="1502" customFormat="1">
      <c r="C443" s="1498"/>
      <c r="D443" s="1501"/>
      <c r="E443" s="1500"/>
      <c r="F443" s="814"/>
      <c r="G443" s="1494"/>
      <c r="H443" s="1493"/>
      <c r="I443" s="1493"/>
      <c r="J443" s="813"/>
      <c r="K443" s="814"/>
      <c r="L443" s="1499"/>
      <c r="M443" s="1488"/>
      <c r="N443" s="1488"/>
      <c r="O443" s="1489"/>
      <c r="P443" s="1489"/>
      <c r="Q443" s="1489"/>
      <c r="R443" s="1489"/>
      <c r="S443" s="1489"/>
      <c r="T443" s="1489"/>
      <c r="U443" s="1489"/>
      <c r="V443" s="1489"/>
      <c r="W443" s="1489"/>
      <c r="X443" s="1489"/>
      <c r="Y443" s="1489"/>
      <c r="Z443" s="1489"/>
      <c r="AA443" s="1489"/>
      <c r="AB443" s="1489"/>
      <c r="AC443" s="1489"/>
      <c r="AD443" s="1489"/>
      <c r="AE443" s="1489"/>
      <c r="AF443" s="1489"/>
      <c r="AG443" s="1489"/>
      <c r="AH443" s="1489"/>
      <c r="AI443" s="1489"/>
      <c r="AJ443" s="1489"/>
      <c r="AK443" s="1489"/>
      <c r="AL443" s="1489"/>
      <c r="AM443" s="1489"/>
      <c r="AN443" s="1489"/>
      <c r="AO443" s="1489"/>
      <c r="AP443" s="1489"/>
      <c r="AQ443" s="1489"/>
      <c r="AR443" s="1488"/>
      <c r="AS443" s="1488"/>
      <c r="AT443" s="1488"/>
      <c r="AU443" s="1488"/>
      <c r="AV443" s="1488"/>
      <c r="AW443" s="1488"/>
      <c r="AX443" s="1488"/>
      <c r="AY443" s="1488"/>
    </row>
    <row r="444" spans="3:51" s="1502" customFormat="1">
      <c r="C444" s="1498"/>
      <c r="D444" s="1501"/>
      <c r="E444" s="1500"/>
      <c r="F444" s="814"/>
      <c r="G444" s="1494"/>
      <c r="H444" s="1493"/>
      <c r="I444" s="1493"/>
      <c r="J444" s="813"/>
      <c r="K444" s="814"/>
      <c r="L444" s="1499"/>
      <c r="M444" s="1488"/>
      <c r="N444" s="1488"/>
      <c r="O444" s="1489"/>
      <c r="P444" s="1489"/>
      <c r="Q444" s="1489"/>
      <c r="R444" s="1489"/>
      <c r="S444" s="1489"/>
      <c r="T444" s="1489"/>
      <c r="U444" s="1489"/>
      <c r="V444" s="1489"/>
      <c r="W444" s="1489"/>
      <c r="X444" s="1489"/>
      <c r="Y444" s="1489"/>
      <c r="Z444" s="1489"/>
      <c r="AA444" s="1489"/>
      <c r="AB444" s="1489"/>
      <c r="AC444" s="1489"/>
      <c r="AD444" s="1489"/>
      <c r="AE444" s="1489"/>
      <c r="AF444" s="1489"/>
      <c r="AG444" s="1489"/>
      <c r="AH444" s="1489"/>
      <c r="AI444" s="1489"/>
      <c r="AJ444" s="1489"/>
      <c r="AK444" s="1489"/>
      <c r="AL444" s="1489"/>
      <c r="AM444" s="1489"/>
      <c r="AN444" s="1489"/>
      <c r="AO444" s="1489"/>
      <c r="AP444" s="1489"/>
      <c r="AQ444" s="1489"/>
      <c r="AR444" s="1488"/>
      <c r="AS444" s="1488"/>
      <c r="AT444" s="1488"/>
      <c r="AU444" s="1488"/>
      <c r="AV444" s="1488"/>
      <c r="AW444" s="1488"/>
      <c r="AX444" s="1488"/>
      <c r="AY444" s="1488"/>
    </row>
    <row r="445" spans="3:51" s="1502" customFormat="1">
      <c r="C445" s="1498"/>
      <c r="D445" s="1501"/>
      <c r="E445" s="1500"/>
      <c r="F445" s="814"/>
      <c r="G445" s="1494"/>
      <c r="H445" s="1493"/>
      <c r="I445" s="1493"/>
      <c r="J445" s="813"/>
      <c r="K445" s="814"/>
      <c r="L445" s="1499"/>
      <c r="M445" s="1488"/>
      <c r="N445" s="1488"/>
      <c r="O445" s="1489"/>
      <c r="P445" s="1489"/>
      <c r="Q445" s="1489"/>
      <c r="R445" s="1489"/>
      <c r="S445" s="1489"/>
      <c r="T445" s="1489"/>
      <c r="U445" s="1489"/>
      <c r="V445" s="1489"/>
      <c r="W445" s="1489"/>
      <c r="X445" s="1489"/>
      <c r="Y445" s="1489"/>
      <c r="Z445" s="1489"/>
      <c r="AA445" s="1489"/>
      <c r="AB445" s="1489"/>
      <c r="AC445" s="1489"/>
      <c r="AD445" s="1489"/>
      <c r="AE445" s="1489"/>
      <c r="AF445" s="1489"/>
      <c r="AG445" s="1489"/>
      <c r="AH445" s="1489"/>
      <c r="AI445" s="1489"/>
      <c r="AJ445" s="1489"/>
      <c r="AK445" s="1489"/>
      <c r="AL445" s="1489"/>
      <c r="AM445" s="1489"/>
      <c r="AN445" s="1489"/>
      <c r="AO445" s="1489"/>
      <c r="AP445" s="1489"/>
      <c r="AQ445" s="1489"/>
      <c r="AR445" s="1488"/>
      <c r="AS445" s="1488"/>
      <c r="AT445" s="1488"/>
      <c r="AU445" s="1488"/>
      <c r="AV445" s="1488"/>
      <c r="AW445" s="1488"/>
      <c r="AX445" s="1488"/>
      <c r="AY445" s="1488"/>
    </row>
    <row r="446" spans="3:51" s="1502" customFormat="1">
      <c r="C446" s="1498"/>
      <c r="D446" s="1501"/>
      <c r="E446" s="1500"/>
      <c r="F446" s="814"/>
      <c r="G446" s="1494"/>
      <c r="H446" s="1493"/>
      <c r="I446" s="1493"/>
      <c r="J446" s="813"/>
      <c r="K446" s="814"/>
      <c r="L446" s="1499"/>
      <c r="M446" s="1488"/>
      <c r="N446" s="1488"/>
      <c r="O446" s="1489"/>
      <c r="P446" s="1489"/>
      <c r="Q446" s="1489"/>
      <c r="R446" s="1489"/>
      <c r="S446" s="1489"/>
      <c r="T446" s="1489"/>
      <c r="U446" s="1489"/>
      <c r="V446" s="1489"/>
      <c r="W446" s="1489"/>
      <c r="X446" s="1489"/>
      <c r="Y446" s="1489"/>
      <c r="Z446" s="1489"/>
      <c r="AA446" s="1489"/>
      <c r="AB446" s="1489"/>
      <c r="AC446" s="1489"/>
      <c r="AD446" s="1489"/>
      <c r="AE446" s="1489"/>
      <c r="AF446" s="1489"/>
      <c r="AG446" s="1489"/>
      <c r="AH446" s="1489"/>
      <c r="AI446" s="1489"/>
      <c r="AJ446" s="1489"/>
      <c r="AK446" s="1489"/>
      <c r="AL446" s="1489"/>
      <c r="AM446" s="1489"/>
      <c r="AN446" s="1489"/>
      <c r="AO446" s="1489"/>
      <c r="AP446" s="1489"/>
      <c r="AQ446" s="1489"/>
      <c r="AR446" s="1488"/>
      <c r="AS446" s="1488"/>
      <c r="AT446" s="1488"/>
      <c r="AU446" s="1488"/>
      <c r="AV446" s="1488"/>
      <c r="AW446" s="1488"/>
      <c r="AX446" s="1488"/>
      <c r="AY446" s="1488"/>
    </row>
    <row r="447" spans="3:51" s="1502" customFormat="1">
      <c r="C447" s="1498"/>
      <c r="D447" s="1501"/>
      <c r="E447" s="1500"/>
      <c r="F447" s="814"/>
      <c r="G447" s="1494"/>
      <c r="H447" s="1493"/>
      <c r="I447" s="1493"/>
      <c r="J447" s="813"/>
      <c r="K447" s="814"/>
      <c r="L447" s="1499"/>
      <c r="M447" s="1488"/>
      <c r="N447" s="1488"/>
      <c r="O447" s="1489"/>
      <c r="P447" s="1489"/>
      <c r="Q447" s="1489"/>
      <c r="R447" s="1489"/>
      <c r="S447" s="1489"/>
      <c r="T447" s="1489"/>
      <c r="U447" s="1489"/>
      <c r="V447" s="1489"/>
      <c r="W447" s="1489"/>
      <c r="X447" s="1489"/>
      <c r="Y447" s="1489"/>
      <c r="Z447" s="1489"/>
      <c r="AA447" s="1489"/>
      <c r="AB447" s="1489"/>
      <c r="AC447" s="1489"/>
      <c r="AD447" s="1489"/>
      <c r="AE447" s="1489"/>
      <c r="AF447" s="1489"/>
      <c r="AG447" s="1489"/>
      <c r="AH447" s="1489"/>
      <c r="AI447" s="1489"/>
      <c r="AJ447" s="1489"/>
      <c r="AK447" s="1489"/>
      <c r="AL447" s="1489"/>
      <c r="AM447" s="1489"/>
      <c r="AN447" s="1489"/>
      <c r="AO447" s="1489"/>
      <c r="AP447" s="1489"/>
      <c r="AQ447" s="1489"/>
      <c r="AR447" s="1488"/>
      <c r="AS447" s="1488"/>
      <c r="AT447" s="1488"/>
      <c r="AU447" s="1488"/>
      <c r="AV447" s="1488"/>
      <c r="AW447" s="1488"/>
      <c r="AX447" s="1488"/>
      <c r="AY447" s="1488"/>
    </row>
    <row r="448" spans="3:51" s="1502" customFormat="1">
      <c r="C448" s="1498"/>
      <c r="D448" s="1501"/>
      <c r="E448" s="1500"/>
      <c r="F448" s="814"/>
      <c r="G448" s="1494"/>
      <c r="H448" s="1493"/>
      <c r="I448" s="1493"/>
      <c r="J448" s="813"/>
      <c r="K448" s="814"/>
      <c r="L448" s="1499"/>
      <c r="M448" s="1488"/>
      <c r="N448" s="1488"/>
      <c r="O448" s="1489"/>
      <c r="P448" s="1489"/>
      <c r="Q448" s="1489"/>
      <c r="R448" s="1489"/>
      <c r="S448" s="1489"/>
      <c r="T448" s="1489"/>
      <c r="U448" s="1489"/>
      <c r="V448" s="1489"/>
      <c r="W448" s="1489"/>
      <c r="X448" s="1489"/>
      <c r="Y448" s="1489"/>
      <c r="Z448" s="1489"/>
      <c r="AA448" s="1489"/>
      <c r="AB448" s="1489"/>
      <c r="AC448" s="1489"/>
      <c r="AD448" s="1489"/>
      <c r="AE448" s="1489"/>
      <c r="AF448" s="1489"/>
      <c r="AG448" s="1489"/>
      <c r="AH448" s="1489"/>
      <c r="AI448" s="1489"/>
      <c r="AJ448" s="1489"/>
      <c r="AK448" s="1489"/>
      <c r="AL448" s="1489"/>
      <c r="AM448" s="1489"/>
      <c r="AN448" s="1489"/>
      <c r="AO448" s="1489"/>
      <c r="AP448" s="1489"/>
      <c r="AQ448" s="1489"/>
      <c r="AR448" s="1488"/>
      <c r="AS448" s="1488"/>
      <c r="AT448" s="1488"/>
      <c r="AU448" s="1488"/>
      <c r="AV448" s="1488"/>
      <c r="AW448" s="1488"/>
      <c r="AX448" s="1488"/>
      <c r="AY448" s="1488"/>
    </row>
    <row r="449" spans="3:51" s="1502" customFormat="1">
      <c r="C449" s="1498"/>
      <c r="D449" s="1501"/>
      <c r="E449" s="1500"/>
      <c r="F449" s="814"/>
      <c r="G449" s="1494"/>
      <c r="H449" s="1493"/>
      <c r="I449" s="1493"/>
      <c r="J449" s="813"/>
      <c r="K449" s="814"/>
      <c r="L449" s="1499"/>
      <c r="M449" s="1488"/>
      <c r="N449" s="1488"/>
      <c r="O449" s="1489"/>
      <c r="P449" s="1489"/>
      <c r="Q449" s="1489"/>
      <c r="R449" s="1489"/>
      <c r="S449" s="1489"/>
      <c r="T449" s="1489"/>
      <c r="U449" s="1489"/>
      <c r="V449" s="1489"/>
      <c r="W449" s="1489"/>
      <c r="X449" s="1489"/>
      <c r="Y449" s="1489"/>
      <c r="Z449" s="1489"/>
      <c r="AA449" s="1489"/>
      <c r="AB449" s="1489"/>
      <c r="AC449" s="1489"/>
      <c r="AD449" s="1489"/>
      <c r="AE449" s="1489"/>
      <c r="AF449" s="1489"/>
      <c r="AG449" s="1489"/>
      <c r="AH449" s="1489"/>
      <c r="AI449" s="1489"/>
      <c r="AJ449" s="1489"/>
      <c r="AK449" s="1489"/>
      <c r="AL449" s="1489"/>
      <c r="AM449" s="1489"/>
      <c r="AN449" s="1489"/>
      <c r="AO449" s="1489"/>
      <c r="AP449" s="1489"/>
      <c r="AQ449" s="1489"/>
      <c r="AR449" s="1488"/>
      <c r="AS449" s="1488"/>
      <c r="AT449" s="1488"/>
      <c r="AU449" s="1488"/>
      <c r="AV449" s="1488"/>
      <c r="AW449" s="1488"/>
      <c r="AX449" s="1488"/>
      <c r="AY449" s="1488"/>
    </row>
    <row r="450" spans="3:51" s="1502" customFormat="1">
      <c r="C450" s="1498"/>
      <c r="D450" s="1501"/>
      <c r="E450" s="1500"/>
      <c r="F450" s="814"/>
      <c r="G450" s="1494"/>
      <c r="H450" s="1493"/>
      <c r="I450" s="1493"/>
      <c r="J450" s="813"/>
      <c r="K450" s="814"/>
      <c r="L450" s="1499"/>
      <c r="M450" s="1488"/>
      <c r="N450" s="1488"/>
      <c r="O450" s="1489"/>
      <c r="P450" s="1489"/>
      <c r="Q450" s="1489"/>
      <c r="R450" s="1489"/>
      <c r="S450" s="1489"/>
      <c r="T450" s="1489"/>
      <c r="U450" s="1489"/>
      <c r="V450" s="1489"/>
      <c r="W450" s="1489"/>
      <c r="X450" s="1489"/>
      <c r="Y450" s="1489"/>
      <c r="Z450" s="1489"/>
      <c r="AA450" s="1489"/>
      <c r="AB450" s="1489"/>
      <c r="AC450" s="1489"/>
      <c r="AD450" s="1489"/>
      <c r="AE450" s="1489"/>
      <c r="AF450" s="1489"/>
      <c r="AG450" s="1489"/>
      <c r="AH450" s="1489"/>
      <c r="AI450" s="1489"/>
      <c r="AJ450" s="1489"/>
      <c r="AK450" s="1489"/>
      <c r="AL450" s="1489"/>
      <c r="AM450" s="1489"/>
      <c r="AN450" s="1489"/>
      <c r="AO450" s="1489"/>
      <c r="AP450" s="1489"/>
      <c r="AQ450" s="1489"/>
      <c r="AR450" s="1488"/>
      <c r="AS450" s="1488"/>
      <c r="AT450" s="1488"/>
      <c r="AU450" s="1488"/>
      <c r="AV450" s="1488"/>
      <c r="AW450" s="1488"/>
      <c r="AX450" s="1488"/>
      <c r="AY450" s="1488"/>
    </row>
    <row r="451" spans="3:51" s="1502" customFormat="1">
      <c r="C451" s="1498"/>
      <c r="D451" s="1501"/>
      <c r="E451" s="1500"/>
      <c r="F451" s="814"/>
      <c r="G451" s="1494"/>
      <c r="H451" s="1493"/>
      <c r="I451" s="1493"/>
      <c r="J451" s="813"/>
      <c r="K451" s="814"/>
      <c r="L451" s="1499"/>
      <c r="M451" s="1488"/>
      <c r="N451" s="1488"/>
      <c r="O451" s="1489"/>
      <c r="P451" s="1489"/>
      <c r="Q451" s="1489"/>
      <c r="R451" s="1489"/>
      <c r="S451" s="1489"/>
      <c r="T451" s="1489"/>
      <c r="U451" s="1489"/>
      <c r="V451" s="1489"/>
      <c r="W451" s="1489"/>
      <c r="X451" s="1489"/>
      <c r="Y451" s="1489"/>
      <c r="Z451" s="1489"/>
      <c r="AA451" s="1489"/>
      <c r="AB451" s="1489"/>
      <c r="AC451" s="1489"/>
      <c r="AD451" s="1489"/>
      <c r="AE451" s="1489"/>
      <c r="AF451" s="1489"/>
      <c r="AG451" s="1489"/>
      <c r="AH451" s="1489"/>
      <c r="AI451" s="1489"/>
      <c r="AJ451" s="1489"/>
      <c r="AK451" s="1489"/>
      <c r="AL451" s="1489"/>
      <c r="AM451" s="1489"/>
      <c r="AN451" s="1489"/>
      <c r="AO451" s="1489"/>
      <c r="AP451" s="1489"/>
      <c r="AQ451" s="1489"/>
      <c r="AR451" s="1488"/>
      <c r="AS451" s="1488"/>
      <c r="AT451" s="1488"/>
      <c r="AU451" s="1488"/>
      <c r="AV451" s="1488"/>
      <c r="AW451" s="1488"/>
      <c r="AX451" s="1488"/>
      <c r="AY451" s="1488"/>
    </row>
    <row r="452" spans="3:51" s="1502" customFormat="1">
      <c r="C452" s="1498"/>
      <c r="D452" s="1501"/>
      <c r="E452" s="1500"/>
      <c r="F452" s="814"/>
      <c r="G452" s="1494"/>
      <c r="H452" s="1493"/>
      <c r="I452" s="1493"/>
      <c r="J452" s="813"/>
      <c r="K452" s="814"/>
      <c r="L452" s="1499"/>
      <c r="M452" s="1488"/>
      <c r="N452" s="1488"/>
      <c r="O452" s="1489"/>
      <c r="P452" s="1489"/>
      <c r="Q452" s="1489"/>
      <c r="R452" s="1489"/>
      <c r="S452" s="1489"/>
      <c r="T452" s="1489"/>
      <c r="U452" s="1489"/>
      <c r="V452" s="1489"/>
      <c r="W452" s="1489"/>
      <c r="X452" s="1489"/>
      <c r="Y452" s="1489"/>
      <c r="Z452" s="1489"/>
      <c r="AA452" s="1489"/>
      <c r="AB452" s="1489"/>
      <c r="AC452" s="1489"/>
      <c r="AD452" s="1489"/>
      <c r="AE452" s="1489"/>
      <c r="AF452" s="1489"/>
      <c r="AG452" s="1489"/>
      <c r="AH452" s="1489"/>
      <c r="AI452" s="1489"/>
      <c r="AJ452" s="1489"/>
      <c r="AK452" s="1489"/>
      <c r="AL452" s="1489"/>
      <c r="AM452" s="1489"/>
      <c r="AN452" s="1489"/>
      <c r="AO452" s="1489"/>
      <c r="AP452" s="1489"/>
      <c r="AQ452" s="1489"/>
      <c r="AR452" s="1488"/>
      <c r="AS452" s="1488"/>
      <c r="AT452" s="1488"/>
      <c r="AU452" s="1488"/>
      <c r="AV452" s="1488"/>
      <c r="AW452" s="1488"/>
      <c r="AX452" s="1488"/>
      <c r="AY452" s="1488"/>
    </row>
    <row r="453" spans="3:51" s="1502" customFormat="1">
      <c r="C453" s="1498"/>
      <c r="D453" s="1501"/>
      <c r="E453" s="1500"/>
      <c r="F453" s="814"/>
      <c r="G453" s="1494"/>
      <c r="H453" s="1493"/>
      <c r="I453" s="1493"/>
      <c r="J453" s="813"/>
      <c r="K453" s="814"/>
      <c r="L453" s="1499"/>
      <c r="M453" s="1488"/>
      <c r="N453" s="1488"/>
      <c r="O453" s="1489"/>
      <c r="P453" s="1489"/>
      <c r="Q453" s="1489"/>
      <c r="R453" s="1489"/>
      <c r="S453" s="1489"/>
      <c r="T453" s="1489"/>
      <c r="U453" s="1489"/>
      <c r="V453" s="1489"/>
      <c r="W453" s="1489"/>
      <c r="X453" s="1489"/>
      <c r="Y453" s="1489"/>
      <c r="Z453" s="1489"/>
      <c r="AA453" s="1489"/>
      <c r="AB453" s="1489"/>
      <c r="AC453" s="1489"/>
      <c r="AD453" s="1489"/>
      <c r="AE453" s="1489"/>
      <c r="AF453" s="1489"/>
      <c r="AG453" s="1489"/>
      <c r="AH453" s="1489"/>
      <c r="AI453" s="1489"/>
      <c r="AJ453" s="1489"/>
      <c r="AK453" s="1489"/>
      <c r="AL453" s="1489"/>
      <c r="AM453" s="1489"/>
      <c r="AN453" s="1489"/>
      <c r="AO453" s="1489"/>
      <c r="AP453" s="1489"/>
      <c r="AQ453" s="1489"/>
      <c r="AR453" s="1488"/>
      <c r="AS453" s="1488"/>
      <c r="AT453" s="1488"/>
      <c r="AU453" s="1488"/>
      <c r="AV453" s="1488"/>
      <c r="AW453" s="1488"/>
      <c r="AX453" s="1488"/>
      <c r="AY453" s="1488"/>
    </row>
    <row r="454" spans="3:51" s="1502" customFormat="1">
      <c r="C454" s="1498"/>
      <c r="D454" s="1501"/>
      <c r="E454" s="1500"/>
      <c r="F454" s="814"/>
      <c r="G454" s="1494"/>
      <c r="H454" s="1493"/>
      <c r="I454" s="1493"/>
      <c r="J454" s="813"/>
      <c r="K454" s="814"/>
      <c r="L454" s="1499"/>
      <c r="M454" s="1488"/>
      <c r="N454" s="1488"/>
      <c r="O454" s="1489"/>
      <c r="P454" s="1489"/>
      <c r="Q454" s="1489"/>
      <c r="R454" s="1489"/>
      <c r="S454" s="1489"/>
      <c r="T454" s="1489"/>
      <c r="U454" s="1489"/>
      <c r="V454" s="1489"/>
      <c r="W454" s="1489"/>
      <c r="X454" s="1489"/>
      <c r="Y454" s="1489"/>
      <c r="Z454" s="1489"/>
      <c r="AA454" s="1489"/>
      <c r="AB454" s="1489"/>
      <c r="AC454" s="1489"/>
      <c r="AD454" s="1489"/>
      <c r="AE454" s="1489"/>
      <c r="AF454" s="1489"/>
      <c r="AG454" s="1489"/>
      <c r="AH454" s="1489"/>
      <c r="AI454" s="1489"/>
      <c r="AJ454" s="1489"/>
      <c r="AK454" s="1489"/>
      <c r="AL454" s="1489"/>
      <c r="AM454" s="1489"/>
      <c r="AN454" s="1489"/>
      <c r="AO454" s="1489"/>
      <c r="AP454" s="1489"/>
      <c r="AQ454" s="1489"/>
      <c r="AR454" s="1488"/>
      <c r="AS454" s="1488"/>
      <c r="AT454" s="1488"/>
      <c r="AU454" s="1488"/>
      <c r="AV454" s="1488"/>
      <c r="AW454" s="1488"/>
      <c r="AX454" s="1488"/>
      <c r="AY454" s="1488"/>
    </row>
    <row r="455" spans="3:51" s="1502" customFormat="1">
      <c r="C455" s="1498"/>
      <c r="D455" s="1501"/>
      <c r="E455" s="1500"/>
      <c r="F455" s="814"/>
      <c r="G455" s="1494"/>
      <c r="H455" s="1493"/>
      <c r="I455" s="1493"/>
      <c r="J455" s="813"/>
      <c r="K455" s="814"/>
      <c r="L455" s="1499"/>
      <c r="M455" s="1488"/>
      <c r="N455" s="1488"/>
      <c r="O455" s="1489"/>
      <c r="P455" s="1489"/>
      <c r="Q455" s="1489"/>
      <c r="R455" s="1489"/>
      <c r="S455" s="1489"/>
      <c r="T455" s="1489"/>
      <c r="U455" s="1489"/>
      <c r="V455" s="1489"/>
      <c r="W455" s="1489"/>
      <c r="X455" s="1489"/>
      <c r="Y455" s="1489"/>
      <c r="Z455" s="1489"/>
      <c r="AA455" s="1489"/>
      <c r="AB455" s="1489"/>
      <c r="AC455" s="1489"/>
      <c r="AD455" s="1489"/>
      <c r="AE455" s="1489"/>
      <c r="AF455" s="1489"/>
      <c r="AG455" s="1489"/>
      <c r="AH455" s="1489"/>
      <c r="AI455" s="1489"/>
      <c r="AJ455" s="1489"/>
      <c r="AK455" s="1489"/>
      <c r="AL455" s="1489"/>
      <c r="AM455" s="1489"/>
      <c r="AN455" s="1489"/>
      <c r="AO455" s="1489"/>
      <c r="AP455" s="1489"/>
      <c r="AQ455" s="1489"/>
      <c r="AR455" s="1488"/>
      <c r="AS455" s="1488"/>
      <c r="AT455" s="1488"/>
      <c r="AU455" s="1488"/>
      <c r="AV455" s="1488"/>
      <c r="AW455" s="1488"/>
      <c r="AX455" s="1488"/>
      <c r="AY455" s="1488"/>
    </row>
    <row r="456" spans="3:51" s="1502" customFormat="1">
      <c r="C456" s="1498"/>
      <c r="D456" s="1501"/>
      <c r="E456" s="1500"/>
      <c r="F456" s="814"/>
      <c r="G456" s="1494"/>
      <c r="H456" s="1493"/>
      <c r="I456" s="1493"/>
      <c r="J456" s="813"/>
      <c r="K456" s="814"/>
      <c r="L456" s="1499"/>
      <c r="M456" s="1488"/>
      <c r="N456" s="1488"/>
      <c r="O456" s="1489"/>
      <c r="P456" s="1489"/>
      <c r="Q456" s="1489"/>
      <c r="R456" s="1489"/>
      <c r="S456" s="1489"/>
      <c r="T456" s="1489"/>
      <c r="U456" s="1489"/>
      <c r="V456" s="1489"/>
      <c r="W456" s="1489"/>
      <c r="X456" s="1489"/>
      <c r="Y456" s="1489"/>
      <c r="Z456" s="1489"/>
      <c r="AA456" s="1489"/>
      <c r="AB456" s="1489"/>
      <c r="AC456" s="1489"/>
      <c r="AD456" s="1489"/>
      <c r="AE456" s="1489"/>
      <c r="AF456" s="1489"/>
      <c r="AG456" s="1489"/>
      <c r="AH456" s="1489"/>
      <c r="AI456" s="1489"/>
      <c r="AJ456" s="1489"/>
      <c r="AK456" s="1489"/>
      <c r="AL456" s="1489"/>
      <c r="AM456" s="1489"/>
      <c r="AN456" s="1489"/>
      <c r="AO456" s="1489"/>
      <c r="AP456" s="1489"/>
      <c r="AQ456" s="1489"/>
      <c r="AR456" s="1488"/>
      <c r="AS456" s="1488"/>
      <c r="AT456" s="1488"/>
      <c r="AU456" s="1488"/>
      <c r="AV456" s="1488"/>
      <c r="AW456" s="1488"/>
      <c r="AX456" s="1488"/>
      <c r="AY456" s="1488"/>
    </row>
    <row r="457" spans="3:51" s="1502" customFormat="1">
      <c r="C457" s="1498"/>
      <c r="D457" s="1501"/>
      <c r="E457" s="1500"/>
      <c r="F457" s="814"/>
      <c r="G457" s="1494"/>
      <c r="H457" s="1493"/>
      <c r="I457" s="1493"/>
      <c r="J457" s="813"/>
      <c r="K457" s="814"/>
      <c r="L457" s="1499"/>
      <c r="M457" s="1488"/>
      <c r="N457" s="1488"/>
      <c r="O457" s="1489"/>
      <c r="P457" s="1489"/>
      <c r="Q457" s="1489"/>
      <c r="R457" s="1489"/>
      <c r="S457" s="1489"/>
      <c r="T457" s="1489"/>
      <c r="U457" s="1489"/>
      <c r="V457" s="1489"/>
      <c r="W457" s="1489"/>
      <c r="X457" s="1489"/>
      <c r="Y457" s="1489"/>
      <c r="Z457" s="1489"/>
      <c r="AA457" s="1489"/>
      <c r="AB457" s="1489"/>
      <c r="AC457" s="1489"/>
      <c r="AD457" s="1489"/>
      <c r="AE457" s="1489"/>
      <c r="AF457" s="1489"/>
      <c r="AG457" s="1489"/>
      <c r="AH457" s="1489"/>
      <c r="AI457" s="1489"/>
      <c r="AJ457" s="1489"/>
      <c r="AK457" s="1489"/>
      <c r="AL457" s="1489"/>
      <c r="AM457" s="1489"/>
      <c r="AN457" s="1489"/>
      <c r="AO457" s="1489"/>
      <c r="AP457" s="1489"/>
      <c r="AQ457" s="1489"/>
      <c r="AR457" s="1488"/>
      <c r="AS457" s="1488"/>
      <c r="AT457" s="1488"/>
      <c r="AU457" s="1488"/>
      <c r="AV457" s="1488"/>
      <c r="AW457" s="1488"/>
      <c r="AX457" s="1488"/>
      <c r="AY457" s="1488"/>
    </row>
    <row r="458" spans="3:51" s="1502" customFormat="1">
      <c r="C458" s="1498"/>
      <c r="D458" s="1501"/>
      <c r="E458" s="1500"/>
      <c r="F458" s="814"/>
      <c r="G458" s="1494"/>
      <c r="H458" s="1493"/>
      <c r="I458" s="1493"/>
      <c r="J458" s="813"/>
      <c r="K458" s="814"/>
      <c r="L458" s="1499"/>
      <c r="M458" s="1488"/>
      <c r="N458" s="1488"/>
      <c r="O458" s="1489"/>
      <c r="P458" s="1489"/>
      <c r="Q458" s="1489"/>
      <c r="R458" s="1489"/>
      <c r="S458" s="1489"/>
      <c r="T458" s="1489"/>
      <c r="U458" s="1489"/>
      <c r="V458" s="1489"/>
      <c r="W458" s="1489"/>
      <c r="X458" s="1489"/>
      <c r="Y458" s="1489"/>
      <c r="Z458" s="1489"/>
      <c r="AA458" s="1489"/>
      <c r="AB458" s="1489"/>
      <c r="AC458" s="1489"/>
      <c r="AD458" s="1489"/>
      <c r="AE458" s="1489"/>
      <c r="AF458" s="1489"/>
      <c r="AG458" s="1489"/>
      <c r="AH458" s="1489"/>
      <c r="AI458" s="1489"/>
      <c r="AJ458" s="1489"/>
      <c r="AK458" s="1489"/>
      <c r="AL458" s="1489"/>
      <c r="AM458" s="1489"/>
      <c r="AN458" s="1489"/>
      <c r="AO458" s="1489"/>
      <c r="AP458" s="1489"/>
      <c r="AQ458" s="1489"/>
      <c r="AR458" s="1488"/>
      <c r="AS458" s="1488"/>
      <c r="AT458" s="1488"/>
      <c r="AU458" s="1488"/>
      <c r="AV458" s="1488"/>
      <c r="AW458" s="1488"/>
      <c r="AX458" s="1488"/>
      <c r="AY458" s="1488"/>
    </row>
    <row r="459" spans="3:51" s="1502" customFormat="1">
      <c r="C459" s="1498"/>
      <c r="D459" s="1501"/>
      <c r="E459" s="1500"/>
      <c r="F459" s="814"/>
      <c r="G459" s="1494"/>
      <c r="H459" s="1493"/>
      <c r="I459" s="1493"/>
      <c r="J459" s="813"/>
      <c r="K459" s="814"/>
      <c r="L459" s="1499"/>
      <c r="M459" s="1488"/>
      <c r="N459" s="1488"/>
      <c r="O459" s="1489"/>
      <c r="P459" s="1489"/>
      <c r="Q459" s="1489"/>
      <c r="R459" s="1489"/>
      <c r="S459" s="1489"/>
      <c r="T459" s="1489"/>
      <c r="U459" s="1489"/>
      <c r="V459" s="1489"/>
      <c r="W459" s="1489"/>
      <c r="X459" s="1489"/>
      <c r="Y459" s="1489"/>
      <c r="Z459" s="1489"/>
      <c r="AA459" s="1489"/>
      <c r="AB459" s="1489"/>
      <c r="AC459" s="1489"/>
      <c r="AD459" s="1489"/>
      <c r="AE459" s="1489"/>
      <c r="AF459" s="1489"/>
      <c r="AG459" s="1489"/>
      <c r="AH459" s="1489"/>
      <c r="AI459" s="1489"/>
      <c r="AJ459" s="1489"/>
      <c r="AK459" s="1489"/>
      <c r="AL459" s="1489"/>
      <c r="AM459" s="1489"/>
      <c r="AN459" s="1489"/>
      <c r="AO459" s="1489"/>
      <c r="AP459" s="1489"/>
      <c r="AQ459" s="1489"/>
      <c r="AR459" s="1488"/>
      <c r="AS459" s="1488"/>
      <c r="AT459" s="1488"/>
      <c r="AU459" s="1488"/>
      <c r="AV459" s="1488"/>
      <c r="AW459" s="1488"/>
      <c r="AX459" s="1488"/>
      <c r="AY459" s="1488"/>
    </row>
    <row r="460" spans="3:51" s="1502" customFormat="1">
      <c r="C460" s="1498"/>
      <c r="D460" s="1501"/>
      <c r="E460" s="1500"/>
      <c r="F460" s="814"/>
      <c r="G460" s="1494"/>
      <c r="H460" s="1493"/>
      <c r="I460" s="1493"/>
      <c r="J460" s="813"/>
      <c r="K460" s="814"/>
      <c r="L460" s="1499"/>
      <c r="M460" s="1488"/>
      <c r="N460" s="1488"/>
      <c r="O460" s="1489"/>
      <c r="P460" s="1489"/>
      <c r="Q460" s="1489"/>
      <c r="R460" s="1489"/>
      <c r="S460" s="1489"/>
      <c r="T460" s="1489"/>
      <c r="U460" s="1489"/>
      <c r="V460" s="1489"/>
      <c r="W460" s="1489"/>
      <c r="X460" s="1489"/>
      <c r="Y460" s="1489"/>
      <c r="Z460" s="1489"/>
      <c r="AA460" s="1489"/>
      <c r="AB460" s="1489"/>
      <c r="AC460" s="1489"/>
      <c r="AD460" s="1489"/>
      <c r="AE460" s="1489"/>
      <c r="AF460" s="1489"/>
      <c r="AG460" s="1489"/>
      <c r="AH460" s="1489"/>
      <c r="AI460" s="1489"/>
      <c r="AJ460" s="1489"/>
      <c r="AK460" s="1489"/>
      <c r="AL460" s="1489"/>
      <c r="AM460" s="1489"/>
      <c r="AN460" s="1489"/>
      <c r="AO460" s="1489"/>
      <c r="AP460" s="1489"/>
      <c r="AQ460" s="1489"/>
      <c r="AR460" s="1488"/>
      <c r="AS460" s="1488"/>
      <c r="AT460" s="1488"/>
      <c r="AU460" s="1488"/>
      <c r="AV460" s="1488"/>
      <c r="AW460" s="1488"/>
      <c r="AX460" s="1488"/>
      <c r="AY460" s="1488"/>
    </row>
    <row r="461" spans="3:51" s="1502" customFormat="1">
      <c r="C461" s="1498"/>
      <c r="D461" s="1501"/>
      <c r="E461" s="1500"/>
      <c r="F461" s="814"/>
      <c r="G461" s="1494"/>
      <c r="H461" s="1493"/>
      <c r="I461" s="1493"/>
      <c r="J461" s="813"/>
      <c r="K461" s="814"/>
      <c r="L461" s="1499"/>
      <c r="M461" s="1488"/>
      <c r="N461" s="1488"/>
      <c r="O461" s="1489"/>
      <c r="P461" s="1489"/>
      <c r="Q461" s="1489"/>
      <c r="R461" s="1489"/>
      <c r="S461" s="1489"/>
      <c r="T461" s="1489"/>
      <c r="U461" s="1489"/>
      <c r="V461" s="1489"/>
      <c r="W461" s="1489"/>
      <c r="X461" s="1489"/>
      <c r="Y461" s="1489"/>
      <c r="Z461" s="1489"/>
      <c r="AA461" s="1489"/>
      <c r="AB461" s="1489"/>
      <c r="AC461" s="1489"/>
      <c r="AD461" s="1489"/>
      <c r="AE461" s="1489"/>
      <c r="AF461" s="1489"/>
      <c r="AG461" s="1489"/>
      <c r="AH461" s="1489"/>
      <c r="AI461" s="1489"/>
      <c r="AJ461" s="1489"/>
      <c r="AK461" s="1489"/>
      <c r="AL461" s="1489"/>
      <c r="AM461" s="1489"/>
      <c r="AN461" s="1489"/>
      <c r="AO461" s="1489"/>
      <c r="AP461" s="1489"/>
      <c r="AQ461" s="1489"/>
      <c r="AR461" s="1488"/>
      <c r="AS461" s="1488"/>
      <c r="AT461" s="1488"/>
      <c r="AU461" s="1488"/>
      <c r="AV461" s="1488"/>
      <c r="AW461" s="1488"/>
      <c r="AX461" s="1488"/>
      <c r="AY461" s="1488"/>
    </row>
    <row r="462" spans="3:51" s="1502" customFormat="1">
      <c r="C462" s="1498"/>
      <c r="D462" s="1501"/>
      <c r="E462" s="1500"/>
      <c r="F462" s="814"/>
      <c r="G462" s="1494"/>
      <c r="H462" s="1493"/>
      <c r="I462" s="1493"/>
      <c r="J462" s="813"/>
      <c r="K462" s="814"/>
      <c r="L462" s="1499"/>
      <c r="M462" s="1488"/>
      <c r="N462" s="1488"/>
      <c r="O462" s="1489"/>
      <c r="P462" s="1489"/>
      <c r="Q462" s="1489"/>
      <c r="R462" s="1489"/>
      <c r="S462" s="1489"/>
      <c r="T462" s="1489"/>
      <c r="U462" s="1489"/>
      <c r="V462" s="1489"/>
      <c r="W462" s="1489"/>
      <c r="X462" s="1489"/>
      <c r="Y462" s="1489"/>
      <c r="Z462" s="1489"/>
      <c r="AA462" s="1489"/>
      <c r="AB462" s="1489"/>
      <c r="AC462" s="1489"/>
      <c r="AD462" s="1489"/>
      <c r="AE462" s="1489"/>
      <c r="AF462" s="1489"/>
      <c r="AG462" s="1489"/>
      <c r="AH462" s="1489"/>
      <c r="AI462" s="1489"/>
      <c r="AJ462" s="1489"/>
      <c r="AK462" s="1489"/>
      <c r="AL462" s="1489"/>
      <c r="AM462" s="1489"/>
      <c r="AN462" s="1489"/>
      <c r="AO462" s="1489"/>
      <c r="AP462" s="1489"/>
      <c r="AQ462" s="1489"/>
      <c r="AR462" s="1488"/>
      <c r="AS462" s="1488"/>
      <c r="AT462" s="1488"/>
      <c r="AU462" s="1488"/>
      <c r="AV462" s="1488"/>
      <c r="AW462" s="1488"/>
      <c r="AX462" s="1488"/>
      <c r="AY462" s="1488"/>
    </row>
    <row r="463" spans="3:51" s="1502" customFormat="1">
      <c r="C463" s="1498"/>
      <c r="D463" s="1501"/>
      <c r="E463" s="1500"/>
      <c r="F463" s="814"/>
      <c r="G463" s="1494"/>
      <c r="H463" s="1493"/>
      <c r="I463" s="1493"/>
      <c r="J463" s="813"/>
      <c r="K463" s="814"/>
      <c r="L463" s="1499"/>
      <c r="M463" s="1488"/>
      <c r="N463" s="1488"/>
      <c r="O463" s="1489"/>
      <c r="P463" s="1489"/>
      <c r="Q463" s="1489"/>
      <c r="R463" s="1489"/>
      <c r="S463" s="1489"/>
      <c r="T463" s="1489"/>
      <c r="U463" s="1489"/>
      <c r="V463" s="1489"/>
      <c r="W463" s="1489"/>
      <c r="X463" s="1489"/>
      <c r="Y463" s="1489"/>
      <c r="Z463" s="1489"/>
      <c r="AA463" s="1489"/>
      <c r="AB463" s="1489"/>
      <c r="AC463" s="1489"/>
      <c r="AD463" s="1489"/>
      <c r="AE463" s="1489"/>
      <c r="AF463" s="1489"/>
      <c r="AG463" s="1489"/>
      <c r="AH463" s="1489"/>
      <c r="AI463" s="1489"/>
      <c r="AJ463" s="1489"/>
      <c r="AK463" s="1489"/>
      <c r="AL463" s="1489"/>
      <c r="AM463" s="1489"/>
      <c r="AN463" s="1489"/>
      <c r="AO463" s="1489"/>
      <c r="AP463" s="1489"/>
      <c r="AQ463" s="1489"/>
      <c r="AR463" s="1488"/>
      <c r="AS463" s="1488"/>
      <c r="AT463" s="1488"/>
      <c r="AU463" s="1488"/>
      <c r="AV463" s="1488"/>
      <c r="AW463" s="1488"/>
      <c r="AX463" s="1488"/>
      <c r="AY463" s="1488"/>
    </row>
    <row r="464" spans="3:51" s="1502" customFormat="1">
      <c r="C464" s="1498"/>
      <c r="D464" s="1501"/>
      <c r="E464" s="1500"/>
      <c r="F464" s="814"/>
      <c r="G464" s="1494"/>
      <c r="H464" s="1493"/>
      <c r="I464" s="1493"/>
      <c r="J464" s="813"/>
      <c r="K464" s="814"/>
      <c r="L464" s="1499"/>
      <c r="M464" s="1488"/>
      <c r="N464" s="1488"/>
      <c r="O464" s="1489"/>
      <c r="P464" s="1489"/>
      <c r="Q464" s="1489"/>
      <c r="R464" s="1489"/>
      <c r="S464" s="1489"/>
      <c r="T464" s="1489"/>
      <c r="U464" s="1489"/>
      <c r="V464" s="1489"/>
      <c r="W464" s="1489"/>
      <c r="X464" s="1489"/>
      <c r="Y464" s="1489"/>
      <c r="Z464" s="1489"/>
      <c r="AA464" s="1489"/>
      <c r="AB464" s="1489"/>
      <c r="AC464" s="1489"/>
      <c r="AD464" s="1489"/>
      <c r="AE464" s="1489"/>
      <c r="AF464" s="1489"/>
      <c r="AG464" s="1489"/>
      <c r="AH464" s="1489"/>
      <c r="AI464" s="1489"/>
      <c r="AJ464" s="1489"/>
      <c r="AK464" s="1489"/>
      <c r="AL464" s="1489"/>
      <c r="AM464" s="1489"/>
      <c r="AN464" s="1489"/>
      <c r="AO464" s="1489"/>
      <c r="AP464" s="1489"/>
      <c r="AQ464" s="1489"/>
      <c r="AR464" s="1488"/>
      <c r="AS464" s="1488"/>
      <c r="AT464" s="1488"/>
      <c r="AU464" s="1488"/>
      <c r="AV464" s="1488"/>
      <c r="AW464" s="1488"/>
      <c r="AX464" s="1488"/>
      <c r="AY464" s="1488"/>
    </row>
    <row r="465" spans="3:51" s="1502" customFormat="1">
      <c r="C465" s="1498"/>
      <c r="D465" s="1501"/>
      <c r="E465" s="1500"/>
      <c r="F465" s="814"/>
      <c r="G465" s="1494"/>
      <c r="H465" s="1493"/>
      <c r="I465" s="1493"/>
      <c r="J465" s="813"/>
      <c r="K465" s="814"/>
      <c r="L465" s="1499"/>
      <c r="M465" s="1488"/>
      <c r="N465" s="1488"/>
      <c r="O465" s="1489"/>
      <c r="P465" s="1489"/>
      <c r="Q465" s="1489"/>
      <c r="R465" s="1489"/>
      <c r="S465" s="1489"/>
      <c r="T465" s="1489"/>
      <c r="U465" s="1489"/>
      <c r="V465" s="1489"/>
      <c r="W465" s="1489"/>
      <c r="X465" s="1489"/>
      <c r="Y465" s="1489"/>
      <c r="Z465" s="1489"/>
      <c r="AA465" s="1489"/>
      <c r="AB465" s="1489"/>
      <c r="AC465" s="1489"/>
      <c r="AD465" s="1489"/>
      <c r="AE465" s="1489"/>
      <c r="AF465" s="1489"/>
      <c r="AG465" s="1489"/>
      <c r="AH465" s="1489"/>
      <c r="AI465" s="1489"/>
      <c r="AJ465" s="1489"/>
      <c r="AK465" s="1489"/>
      <c r="AL465" s="1489"/>
      <c r="AM465" s="1489"/>
      <c r="AN465" s="1489"/>
      <c r="AO465" s="1489"/>
      <c r="AP465" s="1489"/>
      <c r="AQ465" s="1489"/>
      <c r="AR465" s="1488"/>
      <c r="AS465" s="1488"/>
      <c r="AT465" s="1488"/>
      <c r="AU465" s="1488"/>
      <c r="AV465" s="1488"/>
      <c r="AW465" s="1488"/>
      <c r="AX465" s="1488"/>
      <c r="AY465" s="1488"/>
    </row>
    <row r="466" spans="3:51" s="1502" customFormat="1">
      <c r="C466" s="1498"/>
      <c r="D466" s="1501"/>
      <c r="E466" s="1500"/>
      <c r="F466" s="814"/>
      <c r="G466" s="1494"/>
      <c r="H466" s="1493"/>
      <c r="I466" s="1493"/>
      <c r="J466" s="813"/>
      <c r="K466" s="814"/>
      <c r="L466" s="1499"/>
      <c r="M466" s="1488"/>
      <c r="N466" s="1488"/>
      <c r="O466" s="1489"/>
      <c r="P466" s="1489"/>
      <c r="Q466" s="1489"/>
      <c r="R466" s="1489"/>
      <c r="S466" s="1489"/>
      <c r="T466" s="1489"/>
      <c r="U466" s="1489"/>
      <c r="V466" s="1489"/>
      <c r="W466" s="1489"/>
      <c r="X466" s="1489"/>
      <c r="Y466" s="1489"/>
      <c r="Z466" s="1489"/>
      <c r="AA466" s="1489"/>
      <c r="AB466" s="1489"/>
      <c r="AC466" s="1489"/>
      <c r="AD466" s="1489"/>
      <c r="AE466" s="1489"/>
      <c r="AF466" s="1489"/>
      <c r="AG466" s="1489"/>
      <c r="AH466" s="1489"/>
      <c r="AI466" s="1489"/>
      <c r="AJ466" s="1489"/>
      <c r="AK466" s="1489"/>
      <c r="AL466" s="1489"/>
      <c r="AM466" s="1489"/>
      <c r="AN466" s="1489"/>
      <c r="AO466" s="1489"/>
      <c r="AP466" s="1489"/>
      <c r="AQ466" s="1489"/>
      <c r="AR466" s="1488"/>
      <c r="AS466" s="1488"/>
      <c r="AT466" s="1488"/>
      <c r="AU466" s="1488"/>
      <c r="AV466" s="1488"/>
      <c r="AW466" s="1488"/>
      <c r="AX466" s="1488"/>
      <c r="AY466" s="1488"/>
    </row>
    <row r="467" spans="3:51" s="1502" customFormat="1">
      <c r="C467" s="1498"/>
      <c r="D467" s="1501"/>
      <c r="E467" s="1500"/>
      <c r="F467" s="814"/>
      <c r="G467" s="1494"/>
      <c r="H467" s="1493"/>
      <c r="I467" s="1493"/>
      <c r="J467" s="813"/>
      <c r="K467" s="814"/>
      <c r="L467" s="1499"/>
      <c r="M467" s="1488"/>
      <c r="N467" s="1488"/>
      <c r="O467" s="1489"/>
      <c r="P467" s="1489"/>
      <c r="Q467" s="1489"/>
      <c r="R467" s="1489"/>
      <c r="S467" s="1489"/>
      <c r="T467" s="1489"/>
      <c r="U467" s="1489"/>
      <c r="V467" s="1489"/>
      <c r="W467" s="1489"/>
      <c r="X467" s="1489"/>
      <c r="Y467" s="1489"/>
      <c r="Z467" s="1489"/>
      <c r="AA467" s="1489"/>
      <c r="AB467" s="1489"/>
      <c r="AC467" s="1489"/>
      <c r="AD467" s="1489"/>
      <c r="AE467" s="1489"/>
      <c r="AF467" s="1489"/>
      <c r="AG467" s="1489"/>
      <c r="AH467" s="1489"/>
      <c r="AI467" s="1489"/>
      <c r="AJ467" s="1489"/>
      <c r="AK467" s="1489"/>
      <c r="AL467" s="1489"/>
      <c r="AM467" s="1489"/>
      <c r="AN467" s="1489"/>
      <c r="AO467" s="1489"/>
      <c r="AP467" s="1489"/>
      <c r="AQ467" s="1489"/>
      <c r="AR467" s="1488"/>
      <c r="AS467" s="1488"/>
      <c r="AT467" s="1488"/>
      <c r="AU467" s="1488"/>
      <c r="AV467" s="1488"/>
      <c r="AW467" s="1488"/>
      <c r="AX467" s="1488"/>
      <c r="AY467" s="1488"/>
    </row>
    <row r="468" spans="3:51" s="1502" customFormat="1">
      <c r="C468" s="1498"/>
      <c r="D468" s="1501"/>
      <c r="E468" s="1500"/>
      <c r="F468" s="814"/>
      <c r="G468" s="1494"/>
      <c r="H468" s="1493"/>
      <c r="I468" s="1493"/>
      <c r="J468" s="813"/>
      <c r="K468" s="814"/>
      <c r="L468" s="1499"/>
      <c r="M468" s="1488"/>
      <c r="N468" s="1488"/>
      <c r="O468" s="1489"/>
      <c r="P468" s="1489"/>
      <c r="Q468" s="1489"/>
      <c r="R468" s="1489"/>
      <c r="S468" s="1489"/>
      <c r="T468" s="1489"/>
      <c r="U468" s="1489"/>
      <c r="V468" s="1489"/>
      <c r="W468" s="1489"/>
      <c r="X468" s="1489"/>
      <c r="Y468" s="1489"/>
      <c r="Z468" s="1489"/>
      <c r="AA468" s="1489"/>
      <c r="AB468" s="1489"/>
      <c r="AC468" s="1489"/>
      <c r="AD468" s="1489"/>
      <c r="AE468" s="1489"/>
      <c r="AF468" s="1489"/>
      <c r="AG468" s="1489"/>
      <c r="AH468" s="1489"/>
      <c r="AI468" s="1489"/>
      <c r="AJ468" s="1489"/>
      <c r="AK468" s="1489"/>
      <c r="AL468" s="1489"/>
      <c r="AM468" s="1489"/>
      <c r="AN468" s="1489"/>
      <c r="AO468" s="1489"/>
      <c r="AP468" s="1489"/>
      <c r="AQ468" s="1489"/>
      <c r="AR468" s="1488"/>
      <c r="AS468" s="1488"/>
      <c r="AT468" s="1488"/>
      <c r="AU468" s="1488"/>
      <c r="AV468" s="1488"/>
      <c r="AW468" s="1488"/>
      <c r="AX468" s="1488"/>
      <c r="AY468" s="1488"/>
    </row>
    <row r="469" spans="3:51" s="1502" customFormat="1">
      <c r="C469" s="1498"/>
      <c r="D469" s="1501"/>
      <c r="E469" s="1500"/>
      <c r="F469" s="814"/>
      <c r="G469" s="1494"/>
      <c r="H469" s="1493"/>
      <c r="I469" s="1493"/>
      <c r="J469" s="813"/>
      <c r="K469" s="814"/>
      <c r="L469" s="1499"/>
      <c r="M469" s="1488"/>
      <c r="N469" s="1488"/>
      <c r="O469" s="1489"/>
      <c r="P469" s="1489"/>
      <c r="Q469" s="1489"/>
      <c r="R469" s="1489"/>
      <c r="S469" s="1489"/>
      <c r="T469" s="1489"/>
      <c r="U469" s="1489"/>
      <c r="V469" s="1489"/>
      <c r="W469" s="1489"/>
      <c r="X469" s="1489"/>
      <c r="Y469" s="1489"/>
      <c r="Z469" s="1489"/>
      <c r="AA469" s="1489"/>
      <c r="AB469" s="1489"/>
      <c r="AC469" s="1489"/>
      <c r="AD469" s="1489"/>
      <c r="AE469" s="1489"/>
      <c r="AF469" s="1489"/>
      <c r="AG469" s="1489"/>
      <c r="AH469" s="1489"/>
      <c r="AI469" s="1489"/>
      <c r="AJ469" s="1489"/>
      <c r="AK469" s="1489"/>
      <c r="AL469" s="1489"/>
      <c r="AM469" s="1489"/>
      <c r="AN469" s="1489"/>
      <c r="AO469" s="1489"/>
      <c r="AP469" s="1489"/>
      <c r="AQ469" s="1489"/>
      <c r="AR469" s="1488"/>
      <c r="AS469" s="1488"/>
      <c r="AT469" s="1488"/>
      <c r="AU469" s="1488"/>
      <c r="AV469" s="1488"/>
      <c r="AW469" s="1488"/>
      <c r="AX469" s="1488"/>
      <c r="AY469" s="1488"/>
    </row>
    <row r="470" spans="3:51" s="1502" customFormat="1">
      <c r="C470" s="1498"/>
      <c r="D470" s="1501"/>
      <c r="E470" s="1500"/>
      <c r="F470" s="814"/>
      <c r="G470" s="1494"/>
      <c r="H470" s="1493"/>
      <c r="I470" s="1493"/>
      <c r="J470" s="813"/>
      <c r="K470" s="814"/>
      <c r="L470" s="1499"/>
      <c r="M470" s="1488"/>
      <c r="N470" s="1488"/>
      <c r="O470" s="1489"/>
      <c r="P470" s="1489"/>
      <c r="Q470" s="1489"/>
      <c r="R470" s="1489"/>
      <c r="S470" s="1489"/>
      <c r="T470" s="1489"/>
      <c r="U470" s="1489"/>
      <c r="V470" s="1489"/>
      <c r="W470" s="1489"/>
      <c r="X470" s="1489"/>
      <c r="Y470" s="1489"/>
      <c r="Z470" s="1489"/>
      <c r="AA470" s="1489"/>
      <c r="AB470" s="1489"/>
      <c r="AC470" s="1489"/>
      <c r="AD470" s="1489"/>
      <c r="AE470" s="1489"/>
      <c r="AF470" s="1489"/>
      <c r="AG470" s="1489"/>
      <c r="AH470" s="1489"/>
      <c r="AI470" s="1489"/>
      <c r="AJ470" s="1489"/>
      <c r="AK470" s="1489"/>
      <c r="AL470" s="1489"/>
      <c r="AM470" s="1489"/>
      <c r="AN470" s="1489"/>
      <c r="AO470" s="1489"/>
      <c r="AP470" s="1489"/>
      <c r="AQ470" s="1489"/>
      <c r="AR470" s="1488"/>
      <c r="AS470" s="1488"/>
      <c r="AT470" s="1488"/>
      <c r="AU470" s="1488"/>
      <c r="AV470" s="1488"/>
      <c r="AW470" s="1488"/>
      <c r="AX470" s="1488"/>
      <c r="AY470" s="1488"/>
    </row>
    <row r="471" spans="3:51" s="1502" customFormat="1">
      <c r="C471" s="1498"/>
      <c r="D471" s="1501"/>
      <c r="E471" s="1500"/>
      <c r="F471" s="814"/>
      <c r="G471" s="1494"/>
      <c r="H471" s="1493"/>
      <c r="I471" s="1493"/>
      <c r="J471" s="813"/>
      <c r="K471" s="814"/>
      <c r="L471" s="1499"/>
      <c r="M471" s="1488"/>
      <c r="N471" s="1488"/>
      <c r="O471" s="1489"/>
      <c r="P471" s="1489"/>
      <c r="Q471" s="1489"/>
      <c r="R471" s="1489"/>
      <c r="S471" s="1489"/>
      <c r="T471" s="1489"/>
      <c r="U471" s="1489"/>
      <c r="V471" s="1489"/>
      <c r="W471" s="1489"/>
      <c r="X471" s="1489"/>
      <c r="Y471" s="1489"/>
      <c r="Z471" s="1489"/>
      <c r="AA471" s="1489"/>
      <c r="AB471" s="1489"/>
      <c r="AC471" s="1489"/>
      <c r="AD471" s="1489"/>
      <c r="AE471" s="1489"/>
      <c r="AF471" s="1489"/>
      <c r="AG471" s="1489"/>
      <c r="AH471" s="1489"/>
      <c r="AI471" s="1489"/>
      <c r="AJ471" s="1489"/>
      <c r="AK471" s="1489"/>
      <c r="AL471" s="1489"/>
      <c r="AM471" s="1489"/>
      <c r="AN471" s="1489"/>
      <c r="AO471" s="1489"/>
      <c r="AP471" s="1489"/>
      <c r="AQ471" s="1489"/>
      <c r="AR471" s="1488"/>
      <c r="AS471" s="1488"/>
      <c r="AT471" s="1488"/>
      <c r="AU471" s="1488"/>
      <c r="AV471" s="1488"/>
      <c r="AW471" s="1488"/>
      <c r="AX471" s="1488"/>
      <c r="AY471" s="1488"/>
    </row>
    <row r="472" spans="3:51" s="1502" customFormat="1">
      <c r="C472" s="1498"/>
      <c r="D472" s="1501"/>
      <c r="E472" s="1500"/>
      <c r="F472" s="814"/>
      <c r="G472" s="1494"/>
      <c r="H472" s="1493"/>
      <c r="I472" s="1493"/>
      <c r="J472" s="813"/>
      <c r="K472" s="814"/>
      <c r="L472" s="1499"/>
      <c r="M472" s="1488"/>
      <c r="N472" s="1488"/>
      <c r="O472" s="1489"/>
      <c r="P472" s="1489"/>
      <c r="Q472" s="1489"/>
      <c r="R472" s="1489"/>
      <c r="S472" s="1489"/>
      <c r="T472" s="1489"/>
      <c r="U472" s="1489"/>
      <c r="V472" s="1489"/>
      <c r="W472" s="1489"/>
      <c r="X472" s="1489"/>
      <c r="Y472" s="1489"/>
      <c r="Z472" s="1489"/>
      <c r="AA472" s="1489"/>
      <c r="AB472" s="1489"/>
      <c r="AC472" s="1489"/>
      <c r="AD472" s="1489"/>
      <c r="AE472" s="1489"/>
      <c r="AF472" s="1489"/>
      <c r="AG472" s="1489"/>
      <c r="AH472" s="1489"/>
      <c r="AI472" s="1489"/>
      <c r="AJ472" s="1489"/>
      <c r="AK472" s="1489"/>
      <c r="AL472" s="1489"/>
      <c r="AM472" s="1489"/>
      <c r="AN472" s="1489"/>
      <c r="AO472" s="1489"/>
      <c r="AP472" s="1489"/>
      <c r="AQ472" s="1489"/>
      <c r="AR472" s="1488"/>
      <c r="AS472" s="1488"/>
      <c r="AT472" s="1488"/>
      <c r="AU472" s="1488"/>
      <c r="AV472" s="1488"/>
      <c r="AW472" s="1488"/>
      <c r="AX472" s="1488"/>
      <c r="AY472" s="1488"/>
    </row>
    <row r="473" spans="3:51" s="1502" customFormat="1">
      <c r="C473" s="1498"/>
      <c r="D473" s="1501"/>
      <c r="E473" s="1500"/>
      <c r="F473" s="814"/>
      <c r="G473" s="1494"/>
      <c r="H473" s="1493"/>
      <c r="I473" s="1493"/>
      <c r="J473" s="813"/>
      <c r="K473" s="814"/>
      <c r="L473" s="1499"/>
      <c r="M473" s="1488"/>
      <c r="N473" s="1488"/>
      <c r="O473" s="1489"/>
      <c r="P473" s="1489"/>
      <c r="Q473" s="1489"/>
      <c r="R473" s="1489"/>
      <c r="S473" s="1489"/>
      <c r="T473" s="1489"/>
      <c r="U473" s="1489"/>
      <c r="V473" s="1489"/>
      <c r="W473" s="1489"/>
      <c r="X473" s="1489"/>
      <c r="Y473" s="1489"/>
      <c r="Z473" s="1489"/>
      <c r="AA473" s="1489"/>
      <c r="AB473" s="1489"/>
      <c r="AC473" s="1489"/>
      <c r="AD473" s="1489"/>
      <c r="AE473" s="1489"/>
      <c r="AF473" s="1489"/>
      <c r="AG473" s="1489"/>
      <c r="AH473" s="1489"/>
      <c r="AI473" s="1489"/>
      <c r="AJ473" s="1489"/>
      <c r="AK473" s="1489"/>
      <c r="AL473" s="1489"/>
      <c r="AM473" s="1489"/>
      <c r="AN473" s="1489"/>
      <c r="AO473" s="1489"/>
      <c r="AP473" s="1489"/>
      <c r="AQ473" s="1489"/>
      <c r="AR473" s="1488"/>
      <c r="AS473" s="1488"/>
      <c r="AT473" s="1488"/>
      <c r="AU473" s="1488"/>
      <c r="AV473" s="1488"/>
      <c r="AW473" s="1488"/>
      <c r="AX473" s="1488"/>
      <c r="AY473" s="1488"/>
    </row>
    <row r="474" spans="3:51" s="1502" customFormat="1">
      <c r="C474" s="1498"/>
      <c r="D474" s="1501"/>
      <c r="E474" s="1500"/>
      <c r="F474" s="814"/>
      <c r="G474" s="1494"/>
      <c r="H474" s="1493"/>
      <c r="I474" s="1493"/>
      <c r="J474" s="813"/>
      <c r="K474" s="814"/>
      <c r="L474" s="1499"/>
      <c r="M474" s="1488"/>
      <c r="N474" s="1488"/>
      <c r="O474" s="1489"/>
      <c r="P474" s="1489"/>
      <c r="Q474" s="1489"/>
      <c r="R474" s="1489"/>
      <c r="S474" s="1489"/>
      <c r="T474" s="1489"/>
      <c r="U474" s="1489"/>
      <c r="V474" s="1489"/>
      <c r="W474" s="1489"/>
      <c r="X474" s="1489"/>
      <c r="Y474" s="1489"/>
      <c r="Z474" s="1489"/>
      <c r="AA474" s="1489"/>
      <c r="AB474" s="1489"/>
      <c r="AC474" s="1489"/>
      <c r="AD474" s="1489"/>
      <c r="AE474" s="1489"/>
      <c r="AF474" s="1489"/>
      <c r="AG474" s="1489"/>
      <c r="AH474" s="1489"/>
      <c r="AI474" s="1489"/>
      <c r="AJ474" s="1489"/>
      <c r="AK474" s="1489"/>
      <c r="AL474" s="1489"/>
      <c r="AM474" s="1489"/>
      <c r="AN474" s="1489"/>
      <c r="AO474" s="1489"/>
      <c r="AP474" s="1489"/>
      <c r="AQ474" s="1489"/>
      <c r="AR474" s="1488"/>
      <c r="AS474" s="1488"/>
      <c r="AT474" s="1488"/>
      <c r="AU474" s="1488"/>
      <c r="AV474" s="1488"/>
      <c r="AW474" s="1488"/>
      <c r="AX474" s="1488"/>
      <c r="AY474" s="1488"/>
    </row>
    <row r="475" spans="3:51" s="1502" customFormat="1">
      <c r="C475" s="1498"/>
      <c r="D475" s="1501"/>
      <c r="E475" s="1500"/>
      <c r="F475" s="814"/>
      <c r="G475" s="1494"/>
      <c r="H475" s="1493"/>
      <c r="I475" s="1493"/>
      <c r="J475" s="813"/>
      <c r="K475" s="814"/>
      <c r="L475" s="1499"/>
      <c r="M475" s="1488"/>
      <c r="N475" s="1488"/>
      <c r="O475" s="1489"/>
      <c r="P475" s="1489"/>
      <c r="Q475" s="1489"/>
      <c r="R475" s="1489"/>
      <c r="S475" s="1489"/>
      <c r="T475" s="1489"/>
      <c r="U475" s="1489"/>
      <c r="V475" s="1489"/>
      <c r="W475" s="1489"/>
      <c r="X475" s="1489"/>
      <c r="Y475" s="1489"/>
      <c r="Z475" s="1489"/>
      <c r="AA475" s="1489"/>
      <c r="AB475" s="1489"/>
      <c r="AC475" s="1489"/>
      <c r="AD475" s="1489"/>
      <c r="AE475" s="1489"/>
      <c r="AF475" s="1489"/>
      <c r="AG475" s="1489"/>
      <c r="AH475" s="1489"/>
      <c r="AI475" s="1489"/>
      <c r="AJ475" s="1489"/>
      <c r="AK475" s="1489"/>
      <c r="AL475" s="1489"/>
      <c r="AM475" s="1489"/>
      <c r="AN475" s="1489"/>
      <c r="AO475" s="1489"/>
      <c r="AP475" s="1489"/>
      <c r="AQ475" s="1489"/>
      <c r="AR475" s="1488"/>
      <c r="AS475" s="1488"/>
      <c r="AT475" s="1488"/>
      <c r="AU475" s="1488"/>
      <c r="AV475" s="1488"/>
      <c r="AW475" s="1488"/>
      <c r="AX475" s="1488"/>
      <c r="AY475" s="1488"/>
    </row>
    <row r="476" spans="3:51" s="1502" customFormat="1">
      <c r="C476" s="1498"/>
      <c r="D476" s="1501"/>
      <c r="E476" s="1500"/>
      <c r="F476" s="814"/>
      <c r="G476" s="1494"/>
      <c r="H476" s="1493"/>
      <c r="I476" s="1493"/>
      <c r="J476" s="813"/>
      <c r="K476" s="814"/>
      <c r="L476" s="1499"/>
      <c r="M476" s="1488"/>
      <c r="N476" s="1488"/>
      <c r="O476" s="1489"/>
      <c r="P476" s="1489"/>
      <c r="Q476" s="1489"/>
      <c r="R476" s="1489"/>
      <c r="S476" s="1489"/>
      <c r="T476" s="1489"/>
      <c r="U476" s="1489"/>
      <c r="V476" s="1489"/>
      <c r="W476" s="1489"/>
      <c r="X476" s="1489"/>
      <c r="Y476" s="1489"/>
      <c r="Z476" s="1489"/>
      <c r="AA476" s="1489"/>
      <c r="AB476" s="1489"/>
      <c r="AC476" s="1489"/>
      <c r="AD476" s="1489"/>
      <c r="AE476" s="1489"/>
      <c r="AF476" s="1489"/>
      <c r="AG476" s="1489"/>
      <c r="AH476" s="1489"/>
      <c r="AI476" s="1489"/>
      <c r="AJ476" s="1489"/>
      <c r="AK476" s="1489"/>
      <c r="AL476" s="1489"/>
      <c r="AM476" s="1489"/>
      <c r="AN476" s="1489"/>
      <c r="AO476" s="1489"/>
      <c r="AP476" s="1489"/>
      <c r="AQ476" s="1489"/>
      <c r="AR476" s="1488"/>
      <c r="AS476" s="1488"/>
      <c r="AT476" s="1488"/>
      <c r="AU476" s="1488"/>
      <c r="AV476" s="1488"/>
      <c r="AW476" s="1488"/>
      <c r="AX476" s="1488"/>
      <c r="AY476" s="1488"/>
    </row>
    <row r="477" spans="3:51" s="1502" customFormat="1">
      <c r="C477" s="1498"/>
      <c r="D477" s="1501"/>
      <c r="E477" s="1500"/>
      <c r="F477" s="814"/>
      <c r="G477" s="1494"/>
      <c r="H477" s="1493"/>
      <c r="I477" s="1493"/>
      <c r="J477" s="813"/>
      <c r="K477" s="814"/>
      <c r="L477" s="1499"/>
      <c r="M477" s="1488"/>
      <c r="N477" s="1488"/>
      <c r="O477" s="1489"/>
      <c r="P477" s="1489"/>
      <c r="Q477" s="1489"/>
      <c r="R477" s="1489"/>
      <c r="S477" s="1489"/>
      <c r="T477" s="1489"/>
      <c r="U477" s="1489"/>
      <c r="V477" s="1489"/>
      <c r="W477" s="1489"/>
      <c r="X477" s="1489"/>
      <c r="Y477" s="1489"/>
      <c r="Z477" s="1489"/>
      <c r="AA477" s="1489"/>
      <c r="AB477" s="1489"/>
      <c r="AC477" s="1489"/>
      <c r="AD477" s="1489"/>
      <c r="AE477" s="1489"/>
      <c r="AF477" s="1489"/>
      <c r="AG477" s="1489"/>
      <c r="AH477" s="1489"/>
      <c r="AI477" s="1489"/>
      <c r="AJ477" s="1489"/>
      <c r="AK477" s="1489"/>
      <c r="AL477" s="1489"/>
      <c r="AM477" s="1489"/>
      <c r="AN477" s="1489"/>
      <c r="AO477" s="1489"/>
      <c r="AP477" s="1489"/>
      <c r="AQ477" s="1489"/>
      <c r="AR477" s="1488"/>
      <c r="AS477" s="1488"/>
      <c r="AT477" s="1488"/>
      <c r="AU477" s="1488"/>
      <c r="AV477" s="1488"/>
      <c r="AW477" s="1488"/>
      <c r="AX477" s="1488"/>
      <c r="AY477" s="1488"/>
    </row>
    <row r="478" spans="3:51" s="1502" customFormat="1">
      <c r="C478" s="1498"/>
      <c r="D478" s="1501"/>
      <c r="E478" s="1500"/>
      <c r="F478" s="814"/>
      <c r="G478" s="1494"/>
      <c r="H478" s="1493"/>
      <c r="I478" s="1493"/>
      <c r="J478" s="813"/>
      <c r="K478" s="814"/>
      <c r="L478" s="1499"/>
      <c r="M478" s="1488"/>
      <c r="N478" s="1488"/>
      <c r="O478" s="1489"/>
      <c r="P478" s="1489"/>
      <c r="Q478" s="1489"/>
      <c r="R478" s="1489"/>
      <c r="S478" s="1489"/>
      <c r="T478" s="1489"/>
      <c r="U478" s="1489"/>
      <c r="V478" s="1489"/>
      <c r="W478" s="1489"/>
      <c r="X478" s="1489"/>
      <c r="Y478" s="1489"/>
      <c r="Z478" s="1489"/>
      <c r="AA478" s="1489"/>
      <c r="AB478" s="1489"/>
      <c r="AC478" s="1489"/>
      <c r="AD478" s="1489"/>
      <c r="AE478" s="1489"/>
      <c r="AF478" s="1489"/>
      <c r="AG478" s="1489"/>
      <c r="AH478" s="1489"/>
      <c r="AI478" s="1489"/>
      <c r="AJ478" s="1489"/>
      <c r="AK478" s="1489"/>
      <c r="AL478" s="1489"/>
      <c r="AM478" s="1489"/>
      <c r="AN478" s="1489"/>
      <c r="AO478" s="1489"/>
      <c r="AP478" s="1489"/>
      <c r="AQ478" s="1489"/>
      <c r="AR478" s="1488"/>
      <c r="AS478" s="1488"/>
      <c r="AT478" s="1488"/>
      <c r="AU478" s="1488"/>
      <c r="AV478" s="1488"/>
      <c r="AW478" s="1488"/>
      <c r="AX478" s="1488"/>
      <c r="AY478" s="1488"/>
    </row>
    <row r="479" spans="3:51" s="1502" customFormat="1">
      <c r="C479" s="1498"/>
      <c r="D479" s="1501"/>
      <c r="E479" s="1500"/>
      <c r="F479" s="814"/>
      <c r="G479" s="1494"/>
      <c r="H479" s="1493"/>
      <c r="I479" s="1493"/>
      <c r="J479" s="813"/>
      <c r="K479" s="814"/>
      <c r="L479" s="1499"/>
      <c r="M479" s="1488"/>
      <c r="N479" s="1488"/>
      <c r="O479" s="1489"/>
      <c r="P479" s="1489"/>
      <c r="Q479" s="1489"/>
      <c r="R479" s="1489"/>
      <c r="S479" s="1489"/>
      <c r="T479" s="1489"/>
      <c r="U479" s="1489"/>
      <c r="V479" s="1489"/>
      <c r="W479" s="1489"/>
      <c r="X479" s="1489"/>
      <c r="Y479" s="1489"/>
      <c r="Z479" s="1489"/>
      <c r="AA479" s="1489"/>
      <c r="AB479" s="1489"/>
      <c r="AC479" s="1489"/>
      <c r="AD479" s="1489"/>
      <c r="AE479" s="1489"/>
      <c r="AF479" s="1489"/>
      <c r="AG479" s="1489"/>
      <c r="AH479" s="1489"/>
      <c r="AI479" s="1489"/>
      <c r="AJ479" s="1489"/>
      <c r="AK479" s="1489"/>
      <c r="AL479" s="1489"/>
      <c r="AM479" s="1489"/>
      <c r="AN479" s="1489"/>
      <c r="AO479" s="1489"/>
      <c r="AP479" s="1489"/>
      <c r="AQ479" s="1489"/>
      <c r="AR479" s="1488"/>
      <c r="AS479" s="1488"/>
      <c r="AT479" s="1488"/>
      <c r="AU479" s="1488"/>
      <c r="AV479" s="1488"/>
      <c r="AW479" s="1488"/>
      <c r="AX479" s="1488"/>
      <c r="AY479" s="1488"/>
    </row>
    <row r="480" spans="3:51" s="1502" customFormat="1">
      <c r="C480" s="1498"/>
      <c r="D480" s="1501"/>
      <c r="E480" s="1500"/>
      <c r="F480" s="814"/>
      <c r="G480" s="1494"/>
      <c r="H480" s="1493"/>
      <c r="I480" s="1493"/>
      <c r="J480" s="813"/>
      <c r="K480" s="814"/>
      <c r="L480" s="1499"/>
      <c r="M480" s="1488"/>
      <c r="N480" s="1488"/>
      <c r="O480" s="1489"/>
      <c r="P480" s="1489"/>
      <c r="Q480" s="1489"/>
      <c r="R480" s="1489"/>
      <c r="S480" s="1489"/>
      <c r="T480" s="1489"/>
      <c r="U480" s="1489"/>
      <c r="V480" s="1489"/>
      <c r="W480" s="1489"/>
      <c r="X480" s="1489"/>
      <c r="Y480" s="1489"/>
      <c r="Z480" s="1489"/>
      <c r="AA480" s="1489"/>
      <c r="AB480" s="1489"/>
      <c r="AC480" s="1489"/>
      <c r="AD480" s="1489"/>
      <c r="AE480" s="1489"/>
      <c r="AF480" s="1489"/>
      <c r="AG480" s="1489"/>
      <c r="AH480" s="1489"/>
      <c r="AI480" s="1489"/>
      <c r="AJ480" s="1489"/>
      <c r="AK480" s="1489"/>
      <c r="AL480" s="1489"/>
      <c r="AM480" s="1489"/>
      <c r="AN480" s="1489"/>
      <c r="AO480" s="1489"/>
      <c r="AP480" s="1489"/>
      <c r="AQ480" s="1489"/>
      <c r="AR480" s="1488"/>
      <c r="AS480" s="1488"/>
      <c r="AT480" s="1488"/>
      <c r="AU480" s="1488"/>
      <c r="AV480" s="1488"/>
      <c r="AW480" s="1488"/>
      <c r="AX480" s="1488"/>
      <c r="AY480" s="1488"/>
    </row>
    <row r="481" spans="3:51" s="1502" customFormat="1">
      <c r="C481" s="1498"/>
      <c r="D481" s="1501"/>
      <c r="E481" s="1500"/>
      <c r="F481" s="814"/>
      <c r="G481" s="1494"/>
      <c r="H481" s="1493"/>
      <c r="I481" s="1493"/>
      <c r="J481" s="813"/>
      <c r="K481" s="814"/>
      <c r="L481" s="1499"/>
      <c r="M481" s="1488"/>
      <c r="N481" s="1488"/>
      <c r="O481" s="1489"/>
      <c r="P481" s="1489"/>
      <c r="Q481" s="1489"/>
      <c r="R481" s="1489"/>
      <c r="S481" s="1489"/>
      <c r="T481" s="1489"/>
      <c r="U481" s="1489"/>
      <c r="V481" s="1489"/>
      <c r="W481" s="1489"/>
      <c r="X481" s="1489"/>
      <c r="Y481" s="1489"/>
      <c r="Z481" s="1489"/>
      <c r="AA481" s="1489"/>
      <c r="AB481" s="1489"/>
      <c r="AC481" s="1489"/>
      <c r="AD481" s="1489"/>
      <c r="AE481" s="1489"/>
      <c r="AF481" s="1489"/>
      <c r="AG481" s="1489"/>
      <c r="AH481" s="1489"/>
      <c r="AI481" s="1489"/>
      <c r="AJ481" s="1489"/>
      <c r="AK481" s="1489"/>
      <c r="AL481" s="1489"/>
      <c r="AM481" s="1489"/>
      <c r="AN481" s="1489"/>
      <c r="AO481" s="1489"/>
      <c r="AP481" s="1489"/>
      <c r="AQ481" s="1489"/>
      <c r="AR481" s="1488"/>
      <c r="AS481" s="1488"/>
      <c r="AT481" s="1488"/>
      <c r="AU481" s="1488"/>
      <c r="AV481" s="1488"/>
      <c r="AW481" s="1488"/>
      <c r="AX481" s="1488"/>
      <c r="AY481" s="1488"/>
    </row>
    <row r="482" spans="3:51" s="1502" customFormat="1">
      <c r="C482" s="1498"/>
      <c r="D482" s="1501"/>
      <c r="E482" s="1500"/>
      <c r="F482" s="814"/>
      <c r="G482" s="1494"/>
      <c r="H482" s="1493"/>
      <c r="I482" s="1493"/>
      <c r="J482" s="813"/>
      <c r="K482" s="814"/>
      <c r="L482" s="1499"/>
      <c r="M482" s="1488"/>
      <c r="N482" s="1488"/>
      <c r="O482" s="1489"/>
      <c r="P482" s="1489"/>
      <c r="Q482" s="1489"/>
      <c r="R482" s="1489"/>
      <c r="S482" s="1489"/>
      <c r="T482" s="1489"/>
      <c r="U482" s="1489"/>
      <c r="V482" s="1489"/>
      <c r="W482" s="1489"/>
      <c r="X482" s="1489"/>
      <c r="Y482" s="1489"/>
      <c r="Z482" s="1489"/>
      <c r="AA482" s="1489"/>
      <c r="AB482" s="1489"/>
      <c r="AC482" s="1489"/>
      <c r="AD482" s="1489"/>
      <c r="AE482" s="1489"/>
      <c r="AF482" s="1489"/>
      <c r="AG482" s="1489"/>
      <c r="AH482" s="1489"/>
      <c r="AI482" s="1489"/>
      <c r="AJ482" s="1489"/>
      <c r="AK482" s="1489"/>
      <c r="AL482" s="1489"/>
      <c r="AM482" s="1489"/>
      <c r="AN482" s="1489"/>
      <c r="AO482" s="1489"/>
      <c r="AP482" s="1489"/>
      <c r="AQ482" s="1489"/>
      <c r="AR482" s="1488"/>
      <c r="AS482" s="1488"/>
      <c r="AT482" s="1488"/>
      <c r="AU482" s="1488"/>
      <c r="AV482" s="1488"/>
      <c r="AW482" s="1488"/>
      <c r="AX482" s="1488"/>
      <c r="AY482" s="1488"/>
    </row>
    <row r="483" spans="3:51" s="1502" customFormat="1">
      <c r="C483" s="1498"/>
      <c r="D483" s="1501"/>
      <c r="E483" s="1500"/>
      <c r="F483" s="814"/>
      <c r="G483" s="1494"/>
      <c r="H483" s="1493"/>
      <c r="I483" s="1493"/>
      <c r="J483" s="813"/>
      <c r="K483" s="814"/>
      <c r="L483" s="1499"/>
      <c r="M483" s="1488"/>
      <c r="N483" s="1488"/>
      <c r="O483" s="1489"/>
      <c r="P483" s="1489"/>
      <c r="Q483" s="1489"/>
      <c r="R483" s="1489"/>
      <c r="S483" s="1489"/>
      <c r="T483" s="1489"/>
      <c r="U483" s="1489"/>
      <c r="V483" s="1489"/>
      <c r="W483" s="1489"/>
      <c r="X483" s="1489"/>
      <c r="Y483" s="1489"/>
      <c r="Z483" s="1489"/>
      <c r="AA483" s="1489"/>
      <c r="AB483" s="1489"/>
      <c r="AC483" s="1489"/>
      <c r="AD483" s="1489"/>
      <c r="AE483" s="1489"/>
      <c r="AF483" s="1489"/>
      <c r="AG483" s="1489"/>
      <c r="AH483" s="1489"/>
      <c r="AI483" s="1489"/>
      <c r="AJ483" s="1489"/>
      <c r="AK483" s="1489"/>
      <c r="AL483" s="1489"/>
      <c r="AM483" s="1489"/>
      <c r="AN483" s="1489"/>
      <c r="AO483" s="1489"/>
      <c r="AP483" s="1489"/>
      <c r="AQ483" s="1489"/>
      <c r="AR483" s="1488"/>
      <c r="AS483" s="1488"/>
      <c r="AT483" s="1488"/>
      <c r="AU483" s="1488"/>
      <c r="AV483" s="1488"/>
      <c r="AW483" s="1488"/>
      <c r="AX483" s="1488"/>
      <c r="AY483" s="1488"/>
    </row>
    <row r="484" spans="3:51" s="1502" customFormat="1">
      <c r="C484" s="1498"/>
      <c r="D484" s="1501"/>
      <c r="E484" s="1500"/>
      <c r="F484" s="814"/>
      <c r="G484" s="1494"/>
      <c r="H484" s="1493"/>
      <c r="I484" s="1493"/>
      <c r="J484" s="813"/>
      <c r="K484" s="814"/>
      <c r="L484" s="1499"/>
      <c r="M484" s="1488"/>
      <c r="N484" s="1488"/>
      <c r="O484" s="1489"/>
      <c r="P484" s="1489"/>
      <c r="Q484" s="1489"/>
      <c r="R484" s="1489"/>
      <c r="S484" s="1489"/>
      <c r="T484" s="1489"/>
      <c r="U484" s="1489"/>
      <c r="V484" s="1489"/>
      <c r="W484" s="1489"/>
      <c r="X484" s="1489"/>
      <c r="Y484" s="1489"/>
      <c r="Z484" s="1489"/>
      <c r="AA484" s="1489"/>
      <c r="AB484" s="1489"/>
      <c r="AC484" s="1489"/>
      <c r="AD484" s="1489"/>
      <c r="AE484" s="1489"/>
      <c r="AF484" s="1489"/>
      <c r="AG484" s="1489"/>
      <c r="AH484" s="1489"/>
      <c r="AI484" s="1489"/>
      <c r="AJ484" s="1489"/>
      <c r="AK484" s="1489"/>
      <c r="AL484" s="1489"/>
      <c r="AM484" s="1489"/>
      <c r="AN484" s="1489"/>
      <c r="AO484" s="1489"/>
      <c r="AP484" s="1489"/>
      <c r="AQ484" s="1489"/>
      <c r="AR484" s="1488"/>
      <c r="AS484" s="1488"/>
      <c r="AT484" s="1488"/>
      <c r="AU484" s="1488"/>
      <c r="AV484" s="1488"/>
      <c r="AW484" s="1488"/>
      <c r="AX484" s="1488"/>
      <c r="AY484" s="1488"/>
    </row>
    <row r="485" spans="3:51" s="1502" customFormat="1">
      <c r="C485" s="1498"/>
      <c r="D485" s="1501"/>
      <c r="E485" s="1500"/>
      <c r="F485" s="814"/>
      <c r="G485" s="1494"/>
      <c r="H485" s="1493"/>
      <c r="I485" s="1493"/>
      <c r="J485" s="813"/>
      <c r="K485" s="814"/>
      <c r="L485" s="1499"/>
      <c r="M485" s="1488"/>
      <c r="N485" s="1488"/>
      <c r="O485" s="1489"/>
      <c r="P485" s="1489"/>
      <c r="Q485" s="1489"/>
      <c r="R485" s="1489"/>
      <c r="S485" s="1489"/>
      <c r="T485" s="1489"/>
      <c r="U485" s="1489"/>
      <c r="V485" s="1489"/>
      <c r="W485" s="1489"/>
      <c r="X485" s="1489"/>
      <c r="Y485" s="1489"/>
      <c r="Z485" s="1489"/>
      <c r="AA485" s="1489"/>
      <c r="AB485" s="1489"/>
      <c r="AC485" s="1489"/>
      <c r="AD485" s="1489"/>
      <c r="AE485" s="1489"/>
      <c r="AF485" s="1489"/>
      <c r="AG485" s="1489"/>
      <c r="AH485" s="1489"/>
      <c r="AI485" s="1489"/>
      <c r="AJ485" s="1489"/>
      <c r="AK485" s="1489"/>
      <c r="AL485" s="1489"/>
      <c r="AM485" s="1489"/>
      <c r="AN485" s="1489"/>
      <c r="AO485" s="1489"/>
      <c r="AP485" s="1489"/>
      <c r="AQ485" s="1489"/>
      <c r="AR485" s="1488"/>
      <c r="AS485" s="1488"/>
      <c r="AT485" s="1488"/>
      <c r="AU485" s="1488"/>
      <c r="AV485" s="1488"/>
      <c r="AW485" s="1488"/>
      <c r="AX485" s="1488"/>
      <c r="AY485" s="1488"/>
    </row>
    <row r="486" spans="3:51" s="1502" customFormat="1">
      <c r="C486" s="1498"/>
      <c r="D486" s="1501"/>
      <c r="E486" s="1500"/>
      <c r="F486" s="814"/>
      <c r="G486" s="1494"/>
      <c r="H486" s="1493"/>
      <c r="I486" s="1493"/>
      <c r="J486" s="813"/>
      <c r="K486" s="814"/>
      <c r="L486" s="1499"/>
      <c r="M486" s="1488"/>
      <c r="N486" s="1488"/>
      <c r="O486" s="1489"/>
      <c r="P486" s="1489"/>
      <c r="Q486" s="1489"/>
      <c r="R486" s="1489"/>
      <c r="S486" s="1489"/>
      <c r="T486" s="1489"/>
      <c r="U486" s="1489"/>
      <c r="V486" s="1489"/>
      <c r="W486" s="1489"/>
      <c r="X486" s="1489"/>
      <c r="Y486" s="1489"/>
      <c r="Z486" s="1489"/>
      <c r="AA486" s="1489"/>
      <c r="AB486" s="1489"/>
      <c r="AC486" s="1489"/>
      <c r="AD486" s="1489"/>
      <c r="AE486" s="1489"/>
      <c r="AF486" s="1489"/>
      <c r="AG486" s="1489"/>
      <c r="AH486" s="1489"/>
      <c r="AI486" s="1489"/>
      <c r="AJ486" s="1489"/>
      <c r="AK486" s="1489"/>
      <c r="AL486" s="1489"/>
      <c r="AM486" s="1489"/>
      <c r="AN486" s="1489"/>
      <c r="AO486" s="1489"/>
      <c r="AP486" s="1489"/>
      <c r="AQ486" s="1489"/>
      <c r="AR486" s="1488"/>
      <c r="AS486" s="1488"/>
      <c r="AT486" s="1488"/>
      <c r="AU486" s="1488"/>
      <c r="AV486" s="1488"/>
      <c r="AW486" s="1488"/>
      <c r="AX486" s="1488"/>
      <c r="AY486" s="1488"/>
    </row>
    <row r="487" spans="3:51" s="1502" customFormat="1">
      <c r="C487" s="1498"/>
      <c r="D487" s="1501"/>
      <c r="E487" s="1500"/>
      <c r="F487" s="814"/>
      <c r="G487" s="1494"/>
      <c r="H487" s="1493"/>
      <c r="I487" s="1493"/>
      <c r="J487" s="813"/>
      <c r="K487" s="814"/>
      <c r="L487" s="1499"/>
      <c r="M487" s="1488"/>
      <c r="N487" s="1488"/>
      <c r="O487" s="1489"/>
      <c r="P487" s="1489"/>
      <c r="Q487" s="1489"/>
      <c r="R487" s="1489"/>
      <c r="S487" s="1489"/>
      <c r="T487" s="1489"/>
      <c r="U487" s="1489"/>
      <c r="V487" s="1489"/>
      <c r="W487" s="1489"/>
      <c r="X487" s="1489"/>
      <c r="Y487" s="1489"/>
      <c r="Z487" s="1489"/>
      <c r="AA487" s="1489"/>
      <c r="AB487" s="1489"/>
      <c r="AC487" s="1489"/>
      <c r="AD487" s="1489"/>
      <c r="AE487" s="1489"/>
      <c r="AF487" s="1489"/>
      <c r="AG487" s="1489"/>
      <c r="AH487" s="1489"/>
      <c r="AI487" s="1489"/>
      <c r="AJ487" s="1489"/>
      <c r="AK487" s="1489"/>
      <c r="AL487" s="1489"/>
      <c r="AM487" s="1489"/>
      <c r="AN487" s="1489"/>
      <c r="AO487" s="1489"/>
      <c r="AP487" s="1489"/>
      <c r="AQ487" s="1489"/>
      <c r="AR487" s="1488"/>
      <c r="AS487" s="1488"/>
      <c r="AT487" s="1488"/>
      <c r="AU487" s="1488"/>
      <c r="AV487" s="1488"/>
      <c r="AW487" s="1488"/>
      <c r="AX487" s="1488"/>
      <c r="AY487" s="1488"/>
    </row>
    <row r="488" spans="3:51" s="1502" customFormat="1">
      <c r="C488" s="1498"/>
      <c r="D488" s="1501"/>
      <c r="E488" s="1500"/>
      <c r="F488" s="814"/>
      <c r="G488" s="1494"/>
      <c r="H488" s="1493"/>
      <c r="I488" s="1493"/>
      <c r="J488" s="813"/>
      <c r="K488" s="814"/>
      <c r="L488" s="1499"/>
      <c r="M488" s="1488"/>
      <c r="N488" s="1488"/>
      <c r="O488" s="1489"/>
      <c r="P488" s="1489"/>
      <c r="Q488" s="1489"/>
      <c r="R488" s="1489"/>
      <c r="S488" s="1489"/>
      <c r="T488" s="1489"/>
      <c r="U488" s="1489"/>
      <c r="V488" s="1489"/>
      <c r="W488" s="1489"/>
      <c r="X488" s="1489"/>
      <c r="Y488" s="1489"/>
      <c r="Z488" s="1489"/>
      <c r="AA488" s="1489"/>
      <c r="AB488" s="1489"/>
      <c r="AC488" s="1489"/>
      <c r="AD488" s="1489"/>
      <c r="AE488" s="1489"/>
      <c r="AF488" s="1489"/>
      <c r="AG488" s="1489"/>
      <c r="AH488" s="1489"/>
      <c r="AI488" s="1489"/>
      <c r="AJ488" s="1489"/>
      <c r="AK488" s="1489"/>
      <c r="AL488" s="1489"/>
      <c r="AM488" s="1489"/>
      <c r="AN488" s="1489"/>
      <c r="AO488" s="1489"/>
      <c r="AP488" s="1489"/>
      <c r="AQ488" s="1489"/>
      <c r="AR488" s="1488"/>
      <c r="AS488" s="1488"/>
      <c r="AT488" s="1488"/>
      <c r="AU488" s="1488"/>
      <c r="AV488" s="1488"/>
      <c r="AW488" s="1488"/>
      <c r="AX488" s="1488"/>
      <c r="AY488" s="1488"/>
    </row>
    <row r="489" spans="3:51" s="1502" customFormat="1">
      <c r="C489" s="1498"/>
      <c r="D489" s="1501"/>
      <c r="E489" s="1500"/>
      <c r="F489" s="814"/>
      <c r="G489" s="1494"/>
      <c r="H489" s="1493"/>
      <c r="I489" s="1493"/>
      <c r="J489" s="813"/>
      <c r="K489" s="814"/>
      <c r="L489" s="1499"/>
      <c r="M489" s="1488"/>
      <c r="N489" s="1488"/>
      <c r="O489" s="1489"/>
      <c r="P489" s="1489"/>
      <c r="Q489" s="1489"/>
      <c r="R489" s="1489"/>
      <c r="S489" s="1489"/>
      <c r="T489" s="1489"/>
      <c r="U489" s="1489"/>
      <c r="V489" s="1489"/>
      <c r="W489" s="1489"/>
      <c r="X489" s="1489"/>
      <c r="Y489" s="1489"/>
      <c r="Z489" s="1489"/>
      <c r="AA489" s="1489"/>
      <c r="AB489" s="1489"/>
      <c r="AC489" s="1489"/>
      <c r="AD489" s="1489"/>
      <c r="AE489" s="1489"/>
      <c r="AF489" s="1489"/>
      <c r="AG489" s="1489"/>
      <c r="AH489" s="1489"/>
      <c r="AI489" s="1489"/>
      <c r="AJ489" s="1489"/>
      <c r="AK489" s="1489"/>
      <c r="AL489" s="1489"/>
      <c r="AM489" s="1489"/>
      <c r="AN489" s="1489"/>
      <c r="AO489" s="1489"/>
      <c r="AP489" s="1489"/>
      <c r="AQ489" s="1489"/>
      <c r="AR489" s="1488"/>
      <c r="AS489" s="1488"/>
      <c r="AT489" s="1488"/>
      <c r="AU489" s="1488"/>
      <c r="AV489" s="1488"/>
      <c r="AW489" s="1488"/>
      <c r="AX489" s="1488"/>
      <c r="AY489" s="1488"/>
    </row>
    <row r="490" spans="3:51" s="1502" customFormat="1">
      <c r="C490" s="1498"/>
      <c r="D490" s="1501"/>
      <c r="E490" s="1500"/>
      <c r="F490" s="814"/>
      <c r="G490" s="1494"/>
      <c r="H490" s="1493"/>
      <c r="I490" s="1493"/>
      <c r="J490" s="813"/>
      <c r="K490" s="814"/>
      <c r="L490" s="1499"/>
      <c r="M490" s="1488"/>
      <c r="N490" s="1488"/>
      <c r="O490" s="1489"/>
      <c r="P490" s="1489"/>
      <c r="Q490" s="1489"/>
      <c r="R490" s="1489"/>
      <c r="S490" s="1489"/>
      <c r="T490" s="1489"/>
      <c r="U490" s="1489"/>
      <c r="V490" s="1489"/>
      <c r="W490" s="1489"/>
      <c r="X490" s="1489"/>
      <c r="Y490" s="1489"/>
      <c r="Z490" s="1489"/>
      <c r="AA490" s="1489"/>
      <c r="AB490" s="1489"/>
      <c r="AC490" s="1489"/>
      <c r="AD490" s="1489"/>
      <c r="AE490" s="1489"/>
      <c r="AF490" s="1489"/>
      <c r="AG490" s="1489"/>
      <c r="AH490" s="1489"/>
      <c r="AI490" s="1489"/>
      <c r="AJ490" s="1489"/>
      <c r="AK490" s="1489"/>
      <c r="AL490" s="1489"/>
      <c r="AM490" s="1489"/>
      <c r="AN490" s="1489"/>
      <c r="AO490" s="1489"/>
      <c r="AP490" s="1489"/>
      <c r="AQ490" s="1489"/>
      <c r="AR490" s="1488"/>
      <c r="AS490" s="1488"/>
      <c r="AT490" s="1488"/>
      <c r="AU490" s="1488"/>
      <c r="AV490" s="1488"/>
      <c r="AW490" s="1488"/>
      <c r="AX490" s="1488"/>
      <c r="AY490" s="1488"/>
    </row>
    <row r="491" spans="3:51" s="1502" customFormat="1">
      <c r="C491" s="1498"/>
      <c r="D491" s="1501"/>
      <c r="E491" s="1500"/>
      <c r="F491" s="814"/>
      <c r="G491" s="1494"/>
      <c r="H491" s="1493"/>
      <c r="I491" s="1493"/>
      <c r="J491" s="813"/>
      <c r="K491" s="814"/>
      <c r="L491" s="1499"/>
      <c r="M491" s="1488"/>
      <c r="N491" s="1488"/>
      <c r="O491" s="1489"/>
      <c r="P491" s="1489"/>
      <c r="Q491" s="1489"/>
      <c r="R491" s="1489"/>
      <c r="S491" s="1489"/>
      <c r="T491" s="1489"/>
      <c r="U491" s="1489"/>
      <c r="V491" s="1489"/>
      <c r="W491" s="1489"/>
      <c r="X491" s="1489"/>
      <c r="Y491" s="1489"/>
      <c r="Z491" s="1489"/>
      <c r="AA491" s="1489"/>
      <c r="AB491" s="1489"/>
      <c r="AC491" s="1489"/>
      <c r="AD491" s="1489"/>
      <c r="AE491" s="1489"/>
      <c r="AF491" s="1489"/>
      <c r="AG491" s="1489"/>
      <c r="AH491" s="1489"/>
      <c r="AI491" s="1489"/>
      <c r="AJ491" s="1489"/>
      <c r="AK491" s="1489"/>
      <c r="AL491" s="1489"/>
      <c r="AM491" s="1489"/>
      <c r="AN491" s="1489"/>
      <c r="AO491" s="1489"/>
      <c r="AP491" s="1489"/>
      <c r="AQ491" s="1489"/>
      <c r="AR491" s="1488"/>
      <c r="AS491" s="1488"/>
      <c r="AT491" s="1488"/>
      <c r="AU491" s="1488"/>
      <c r="AV491" s="1488"/>
      <c r="AW491" s="1488"/>
      <c r="AX491" s="1488"/>
      <c r="AY491" s="1488"/>
    </row>
    <row r="492" spans="3:51" s="1502" customFormat="1">
      <c r="C492" s="1498"/>
      <c r="D492" s="1501"/>
      <c r="E492" s="1500"/>
      <c r="F492" s="814"/>
      <c r="G492" s="1494"/>
      <c r="H492" s="1493"/>
      <c r="I492" s="1493"/>
      <c r="J492" s="813"/>
      <c r="K492" s="814"/>
      <c r="L492" s="1499"/>
      <c r="M492" s="1488"/>
      <c r="N492" s="1488"/>
      <c r="O492" s="1489"/>
      <c r="P492" s="1489"/>
      <c r="Q492" s="1489"/>
      <c r="R492" s="1489"/>
      <c r="S492" s="1489"/>
      <c r="T492" s="1489"/>
      <c r="U492" s="1489"/>
      <c r="V492" s="1489"/>
      <c r="W492" s="1489"/>
      <c r="X492" s="1489"/>
      <c r="Y492" s="1489"/>
      <c r="Z492" s="1489"/>
      <c r="AA492" s="1489"/>
      <c r="AB492" s="1489"/>
      <c r="AC492" s="1489"/>
      <c r="AD492" s="1489"/>
      <c r="AE492" s="1489"/>
      <c r="AF492" s="1489"/>
      <c r="AG492" s="1489"/>
      <c r="AH492" s="1489"/>
      <c r="AI492" s="1489"/>
      <c r="AJ492" s="1489"/>
      <c r="AK492" s="1489"/>
      <c r="AL492" s="1489"/>
      <c r="AM492" s="1489"/>
      <c r="AN492" s="1489"/>
      <c r="AO492" s="1489"/>
      <c r="AP492" s="1489"/>
      <c r="AQ492" s="1489"/>
      <c r="AR492" s="1488"/>
      <c r="AS492" s="1488"/>
      <c r="AT492" s="1488"/>
      <c r="AU492" s="1488"/>
      <c r="AV492" s="1488"/>
      <c r="AW492" s="1488"/>
      <c r="AX492" s="1488"/>
      <c r="AY492" s="1488"/>
    </row>
    <row r="493" spans="3:51" s="1502" customFormat="1">
      <c r="C493" s="1498"/>
      <c r="D493" s="1501"/>
      <c r="E493" s="1500"/>
      <c r="F493" s="814"/>
      <c r="G493" s="1494"/>
      <c r="H493" s="1493"/>
      <c r="I493" s="1493"/>
      <c r="J493" s="813"/>
      <c r="K493" s="814"/>
      <c r="L493" s="1499"/>
      <c r="M493" s="1488"/>
      <c r="N493" s="1488"/>
      <c r="O493" s="1489"/>
      <c r="P493" s="1489"/>
      <c r="Q493" s="1489"/>
      <c r="R493" s="1489"/>
      <c r="S493" s="1489"/>
      <c r="T493" s="1489"/>
      <c r="U493" s="1489"/>
      <c r="V493" s="1489"/>
      <c r="W493" s="1489"/>
      <c r="X493" s="1489"/>
      <c r="Y493" s="1489"/>
      <c r="Z493" s="1489"/>
      <c r="AA493" s="1489"/>
      <c r="AB493" s="1489"/>
      <c r="AC493" s="1489"/>
      <c r="AD493" s="1489"/>
      <c r="AE493" s="1489"/>
      <c r="AF493" s="1489"/>
      <c r="AG493" s="1489"/>
      <c r="AH493" s="1489"/>
      <c r="AI493" s="1489"/>
      <c r="AJ493" s="1489"/>
      <c r="AK493" s="1489"/>
      <c r="AL493" s="1489"/>
      <c r="AM493" s="1489"/>
      <c r="AN493" s="1489"/>
      <c r="AO493" s="1489"/>
      <c r="AP493" s="1489"/>
      <c r="AQ493" s="1489"/>
      <c r="AR493" s="1488"/>
      <c r="AS493" s="1488"/>
      <c r="AT493" s="1488"/>
      <c r="AU493" s="1488"/>
      <c r="AV493" s="1488"/>
      <c r="AW493" s="1488"/>
      <c r="AX493" s="1488"/>
      <c r="AY493" s="1488"/>
    </row>
    <row r="494" spans="3:51" s="1502" customFormat="1">
      <c r="C494" s="1498"/>
      <c r="D494" s="1501"/>
      <c r="E494" s="1500"/>
      <c r="F494" s="814"/>
      <c r="G494" s="1494"/>
      <c r="H494" s="1493"/>
      <c r="I494" s="1493"/>
      <c r="J494" s="813"/>
      <c r="K494" s="814"/>
      <c r="L494" s="1499"/>
      <c r="M494" s="1488"/>
      <c r="N494" s="1488"/>
      <c r="O494" s="1489"/>
      <c r="P494" s="1489"/>
      <c r="Q494" s="1489"/>
      <c r="R494" s="1489"/>
      <c r="S494" s="1489"/>
      <c r="T494" s="1489"/>
      <c r="U494" s="1489"/>
      <c r="V494" s="1489"/>
      <c r="W494" s="1489"/>
      <c r="X494" s="1489"/>
      <c r="Y494" s="1489"/>
      <c r="Z494" s="1489"/>
      <c r="AA494" s="1489"/>
      <c r="AB494" s="1489"/>
      <c r="AC494" s="1489"/>
      <c r="AD494" s="1489"/>
      <c r="AE494" s="1489"/>
      <c r="AF494" s="1489"/>
      <c r="AG494" s="1489"/>
      <c r="AH494" s="1489"/>
      <c r="AI494" s="1489"/>
      <c r="AJ494" s="1489"/>
      <c r="AK494" s="1489"/>
      <c r="AL494" s="1489"/>
      <c r="AM494" s="1489"/>
      <c r="AN494" s="1489"/>
      <c r="AO494" s="1489"/>
      <c r="AP494" s="1489"/>
      <c r="AQ494" s="1489"/>
      <c r="AR494" s="1488"/>
      <c r="AS494" s="1488"/>
      <c r="AT494" s="1488"/>
      <c r="AU494" s="1488"/>
      <c r="AV494" s="1488"/>
      <c r="AW494" s="1488"/>
      <c r="AX494" s="1488"/>
      <c r="AY494" s="1488"/>
    </row>
    <row r="495" spans="3:51" s="1502" customFormat="1">
      <c r="C495" s="1498"/>
      <c r="D495" s="1501"/>
      <c r="E495" s="1500"/>
      <c r="F495" s="814"/>
      <c r="G495" s="1494"/>
      <c r="H495" s="1493"/>
      <c r="I495" s="1493"/>
      <c r="J495" s="813"/>
      <c r="K495" s="814"/>
      <c r="L495" s="1499"/>
      <c r="M495" s="1488"/>
      <c r="N495" s="1488"/>
      <c r="O495" s="1489"/>
      <c r="P495" s="1489"/>
      <c r="Q495" s="1489"/>
      <c r="R495" s="1489"/>
      <c r="S495" s="1489"/>
      <c r="T495" s="1489"/>
      <c r="U495" s="1489"/>
      <c r="V495" s="1489"/>
      <c r="W495" s="1489"/>
      <c r="X495" s="1489"/>
      <c r="Y495" s="1489"/>
      <c r="Z495" s="1489"/>
      <c r="AA495" s="1489"/>
      <c r="AB495" s="1489"/>
      <c r="AC495" s="1489"/>
      <c r="AD495" s="1489"/>
      <c r="AE495" s="1489"/>
      <c r="AF495" s="1489"/>
      <c r="AG495" s="1489"/>
      <c r="AH495" s="1489"/>
      <c r="AI495" s="1489"/>
      <c r="AJ495" s="1489"/>
      <c r="AK495" s="1489"/>
      <c r="AL495" s="1489"/>
      <c r="AM495" s="1489"/>
      <c r="AN495" s="1489"/>
      <c r="AO495" s="1489"/>
      <c r="AP495" s="1489"/>
      <c r="AQ495" s="1489"/>
      <c r="AR495" s="1488"/>
      <c r="AS495" s="1488"/>
      <c r="AT495" s="1488"/>
      <c r="AU495" s="1488"/>
      <c r="AV495" s="1488"/>
      <c r="AW495" s="1488"/>
      <c r="AX495" s="1488"/>
      <c r="AY495" s="1488"/>
    </row>
    <row r="496" spans="3:51" s="1502" customFormat="1">
      <c r="C496" s="1498"/>
      <c r="D496" s="1501"/>
      <c r="E496" s="1500"/>
      <c r="F496" s="814"/>
      <c r="G496" s="1494"/>
      <c r="H496" s="1493"/>
      <c r="I496" s="1493"/>
      <c r="J496" s="813"/>
      <c r="K496" s="814"/>
      <c r="L496" s="1499"/>
      <c r="M496" s="1488"/>
      <c r="N496" s="1488"/>
      <c r="O496" s="1489"/>
      <c r="P496" s="1489"/>
      <c r="Q496" s="1489"/>
      <c r="R496" s="1489"/>
      <c r="S496" s="1489"/>
      <c r="T496" s="1489"/>
      <c r="U496" s="1489"/>
      <c r="V496" s="1489"/>
      <c r="W496" s="1489"/>
      <c r="X496" s="1489"/>
      <c r="Y496" s="1489"/>
      <c r="Z496" s="1489"/>
      <c r="AA496" s="1489"/>
      <c r="AB496" s="1489"/>
      <c r="AC496" s="1489"/>
      <c r="AD496" s="1489"/>
      <c r="AE496" s="1489"/>
      <c r="AF496" s="1489"/>
      <c r="AG496" s="1489"/>
      <c r="AH496" s="1489"/>
      <c r="AI496" s="1489"/>
      <c r="AJ496" s="1489"/>
      <c r="AK496" s="1489"/>
      <c r="AL496" s="1489"/>
      <c r="AM496" s="1489"/>
      <c r="AN496" s="1489"/>
      <c r="AO496" s="1489"/>
      <c r="AP496" s="1489"/>
      <c r="AQ496" s="1489"/>
      <c r="AR496" s="1488"/>
      <c r="AS496" s="1488"/>
      <c r="AT496" s="1488"/>
      <c r="AU496" s="1488"/>
      <c r="AV496" s="1488"/>
      <c r="AW496" s="1488"/>
      <c r="AX496" s="1488"/>
      <c r="AY496" s="1488"/>
    </row>
    <row r="497" spans="3:51" s="1502" customFormat="1">
      <c r="C497" s="1498"/>
      <c r="D497" s="1501"/>
      <c r="E497" s="1500"/>
      <c r="F497" s="814"/>
      <c r="G497" s="1494"/>
      <c r="H497" s="1493"/>
      <c r="I497" s="1493"/>
      <c r="J497" s="813"/>
      <c r="K497" s="814"/>
      <c r="L497" s="1499"/>
      <c r="M497" s="1488"/>
      <c r="N497" s="1488"/>
      <c r="O497" s="1489"/>
      <c r="P497" s="1489"/>
      <c r="Q497" s="1489"/>
      <c r="R497" s="1489"/>
      <c r="S497" s="1489"/>
      <c r="T497" s="1489"/>
      <c r="U497" s="1489"/>
      <c r="V497" s="1489"/>
      <c r="W497" s="1489"/>
      <c r="X497" s="1489"/>
      <c r="Y497" s="1489"/>
      <c r="Z497" s="1489"/>
      <c r="AA497" s="1489"/>
      <c r="AB497" s="1489"/>
      <c r="AC497" s="1489"/>
      <c r="AD497" s="1489"/>
      <c r="AE497" s="1489"/>
      <c r="AF497" s="1489"/>
      <c r="AG497" s="1489"/>
      <c r="AH497" s="1489"/>
      <c r="AI497" s="1489"/>
      <c r="AJ497" s="1489"/>
      <c r="AK497" s="1489"/>
      <c r="AL497" s="1489"/>
      <c r="AM497" s="1489"/>
      <c r="AN497" s="1489"/>
      <c r="AO497" s="1489"/>
      <c r="AP497" s="1489"/>
      <c r="AQ497" s="1489"/>
      <c r="AR497" s="1488"/>
      <c r="AS497" s="1488"/>
      <c r="AT497" s="1488"/>
      <c r="AU497" s="1488"/>
      <c r="AV497" s="1488"/>
      <c r="AW497" s="1488"/>
      <c r="AX497" s="1488"/>
      <c r="AY497" s="1488"/>
    </row>
    <row r="498" spans="3:51" s="1502" customFormat="1">
      <c r="C498" s="1498"/>
      <c r="D498" s="1501"/>
      <c r="E498" s="1500"/>
      <c r="F498" s="814"/>
      <c r="G498" s="1494"/>
      <c r="H498" s="1493"/>
      <c r="I498" s="1493"/>
      <c r="J498" s="813"/>
      <c r="K498" s="814"/>
      <c r="L498" s="1499"/>
      <c r="M498" s="1488"/>
      <c r="N498" s="1488"/>
      <c r="O498" s="1489"/>
      <c r="P498" s="1489"/>
      <c r="Q498" s="1489"/>
      <c r="R498" s="1489"/>
      <c r="S498" s="1489"/>
      <c r="T498" s="1489"/>
      <c r="U498" s="1489"/>
      <c r="V498" s="1489"/>
      <c r="W498" s="1489"/>
      <c r="X498" s="1489"/>
      <c r="Y498" s="1489"/>
      <c r="Z498" s="1489"/>
      <c r="AA498" s="1489"/>
      <c r="AB498" s="1489"/>
      <c r="AC498" s="1489"/>
      <c r="AD498" s="1489"/>
      <c r="AE498" s="1489"/>
      <c r="AF498" s="1489"/>
      <c r="AG498" s="1489"/>
      <c r="AH498" s="1489"/>
      <c r="AI498" s="1489"/>
      <c r="AJ498" s="1489"/>
      <c r="AK498" s="1489"/>
      <c r="AL498" s="1489"/>
      <c r="AM498" s="1489"/>
      <c r="AN498" s="1489"/>
      <c r="AO498" s="1489"/>
      <c r="AP498" s="1489"/>
      <c r="AQ498" s="1489"/>
      <c r="AR498" s="1488"/>
      <c r="AS498" s="1488"/>
      <c r="AT498" s="1488"/>
      <c r="AU498" s="1488"/>
      <c r="AV498" s="1488"/>
      <c r="AW498" s="1488"/>
      <c r="AX498" s="1488"/>
      <c r="AY498" s="1488"/>
    </row>
    <row r="499" spans="3:51" s="1502" customFormat="1">
      <c r="C499" s="1498"/>
      <c r="D499" s="1501"/>
      <c r="E499" s="1500"/>
      <c r="F499" s="814"/>
      <c r="G499" s="1494"/>
      <c r="H499" s="1493"/>
      <c r="I499" s="1493"/>
      <c r="J499" s="813"/>
      <c r="K499" s="814"/>
      <c r="L499" s="1499"/>
      <c r="M499" s="1488"/>
      <c r="N499" s="1488"/>
      <c r="O499" s="1489"/>
      <c r="P499" s="1489"/>
      <c r="Q499" s="1489"/>
      <c r="R499" s="1489"/>
      <c r="S499" s="1489"/>
      <c r="T499" s="1489"/>
      <c r="U499" s="1489"/>
      <c r="V499" s="1489"/>
      <c r="W499" s="1489"/>
      <c r="X499" s="1489"/>
      <c r="Y499" s="1489"/>
      <c r="Z499" s="1489"/>
      <c r="AA499" s="1489"/>
      <c r="AB499" s="1489"/>
      <c r="AC499" s="1489"/>
      <c r="AD499" s="1489"/>
      <c r="AE499" s="1489"/>
      <c r="AF499" s="1489"/>
      <c r="AG499" s="1489"/>
      <c r="AH499" s="1489"/>
      <c r="AI499" s="1489"/>
      <c r="AJ499" s="1489"/>
      <c r="AK499" s="1489"/>
      <c r="AL499" s="1489"/>
      <c r="AM499" s="1489"/>
      <c r="AN499" s="1489"/>
      <c r="AO499" s="1489"/>
      <c r="AP499" s="1489"/>
      <c r="AQ499" s="1489"/>
      <c r="AR499" s="1488"/>
      <c r="AS499" s="1488"/>
      <c r="AT499" s="1488"/>
      <c r="AU499" s="1488"/>
      <c r="AV499" s="1488"/>
      <c r="AW499" s="1488"/>
      <c r="AX499" s="1488"/>
      <c r="AY499" s="1488"/>
    </row>
    <row r="500" spans="3:51" s="1502" customFormat="1">
      <c r="C500" s="1498"/>
      <c r="D500" s="1501"/>
      <c r="E500" s="1500"/>
      <c r="F500" s="814"/>
      <c r="G500" s="1494"/>
      <c r="H500" s="1493"/>
      <c r="I500" s="1493"/>
      <c r="J500" s="813"/>
      <c r="K500" s="814"/>
      <c r="L500" s="1499"/>
      <c r="M500" s="1488"/>
      <c r="N500" s="1488"/>
      <c r="O500" s="1489"/>
      <c r="P500" s="1489"/>
      <c r="Q500" s="1489"/>
      <c r="R500" s="1489"/>
      <c r="S500" s="1489"/>
      <c r="T500" s="1489"/>
      <c r="U500" s="1489"/>
      <c r="V500" s="1489"/>
      <c r="W500" s="1489"/>
      <c r="X500" s="1489"/>
      <c r="Y500" s="1489"/>
      <c r="Z500" s="1489"/>
      <c r="AA500" s="1489"/>
      <c r="AB500" s="1489"/>
      <c r="AC500" s="1489"/>
      <c r="AD500" s="1489"/>
      <c r="AE500" s="1489"/>
      <c r="AF500" s="1489"/>
      <c r="AG500" s="1489"/>
      <c r="AH500" s="1489"/>
      <c r="AI500" s="1489"/>
      <c r="AJ500" s="1489"/>
      <c r="AK500" s="1489"/>
      <c r="AL500" s="1489"/>
      <c r="AM500" s="1489"/>
      <c r="AN500" s="1489"/>
      <c r="AO500" s="1489"/>
      <c r="AP500" s="1489"/>
      <c r="AQ500" s="1489"/>
      <c r="AR500" s="1488"/>
      <c r="AS500" s="1488"/>
      <c r="AT500" s="1488"/>
      <c r="AU500" s="1488"/>
      <c r="AV500" s="1488"/>
      <c r="AW500" s="1488"/>
      <c r="AX500" s="1488"/>
      <c r="AY500" s="1488"/>
    </row>
    <row r="501" spans="3:51" s="1502" customFormat="1">
      <c r="C501" s="1498"/>
      <c r="D501" s="1501"/>
      <c r="E501" s="1500"/>
      <c r="F501" s="814"/>
      <c r="G501" s="1494"/>
      <c r="H501" s="1493"/>
      <c r="I501" s="1493"/>
      <c r="J501" s="813"/>
      <c r="K501" s="814"/>
      <c r="L501" s="1499"/>
      <c r="M501" s="1488"/>
      <c r="N501" s="1488"/>
      <c r="O501" s="1489"/>
      <c r="P501" s="1489"/>
      <c r="Q501" s="1489"/>
      <c r="R501" s="1489"/>
      <c r="S501" s="1489"/>
      <c r="T501" s="1489"/>
      <c r="U501" s="1489"/>
      <c r="V501" s="1489"/>
      <c r="W501" s="1489"/>
      <c r="X501" s="1489"/>
      <c r="Y501" s="1489"/>
      <c r="Z501" s="1489"/>
      <c r="AA501" s="1489"/>
      <c r="AB501" s="1489"/>
      <c r="AC501" s="1489"/>
      <c r="AD501" s="1489"/>
      <c r="AE501" s="1489"/>
      <c r="AF501" s="1489"/>
      <c r="AG501" s="1489"/>
      <c r="AH501" s="1489"/>
      <c r="AI501" s="1489"/>
      <c r="AJ501" s="1489"/>
      <c r="AK501" s="1489"/>
      <c r="AL501" s="1489"/>
      <c r="AM501" s="1489"/>
      <c r="AN501" s="1489"/>
      <c r="AO501" s="1489"/>
      <c r="AP501" s="1489"/>
      <c r="AQ501" s="1489"/>
      <c r="AR501" s="1488"/>
      <c r="AS501" s="1488"/>
      <c r="AT501" s="1488"/>
      <c r="AU501" s="1488"/>
      <c r="AV501" s="1488"/>
      <c r="AW501" s="1488"/>
      <c r="AX501" s="1488"/>
      <c r="AY501" s="1488"/>
    </row>
    <row r="502" spans="3:51" s="1502" customFormat="1">
      <c r="C502" s="1498"/>
      <c r="D502" s="1501"/>
      <c r="E502" s="1500"/>
      <c r="F502" s="814"/>
      <c r="G502" s="1494"/>
      <c r="H502" s="1493"/>
      <c r="I502" s="1493"/>
      <c r="J502" s="813"/>
      <c r="K502" s="814"/>
      <c r="L502" s="1499"/>
      <c r="M502" s="1488"/>
      <c r="N502" s="1488"/>
      <c r="O502" s="1489"/>
      <c r="P502" s="1489"/>
      <c r="Q502" s="1489"/>
      <c r="R502" s="1489"/>
      <c r="S502" s="1489"/>
      <c r="T502" s="1489"/>
      <c r="U502" s="1489"/>
      <c r="V502" s="1489"/>
      <c r="W502" s="1489"/>
      <c r="X502" s="1489"/>
      <c r="Y502" s="1489"/>
      <c r="Z502" s="1489"/>
      <c r="AA502" s="1489"/>
      <c r="AB502" s="1489"/>
      <c r="AC502" s="1489"/>
      <c r="AD502" s="1489"/>
      <c r="AE502" s="1489"/>
      <c r="AF502" s="1489"/>
      <c r="AG502" s="1489"/>
      <c r="AH502" s="1489"/>
      <c r="AI502" s="1489"/>
      <c r="AJ502" s="1489"/>
      <c r="AK502" s="1489"/>
      <c r="AL502" s="1489"/>
      <c r="AM502" s="1489"/>
      <c r="AN502" s="1489"/>
      <c r="AO502" s="1489"/>
      <c r="AP502" s="1489"/>
      <c r="AQ502" s="1489"/>
      <c r="AR502" s="1488"/>
      <c r="AS502" s="1488"/>
      <c r="AT502" s="1488"/>
      <c r="AU502" s="1488"/>
      <c r="AV502" s="1488"/>
      <c r="AW502" s="1488"/>
      <c r="AX502" s="1488"/>
      <c r="AY502" s="1488"/>
    </row>
    <row r="503" spans="3:51" s="1502" customFormat="1">
      <c r="C503" s="1498"/>
      <c r="D503" s="1501"/>
      <c r="E503" s="1500"/>
      <c r="F503" s="814"/>
      <c r="G503" s="1494"/>
      <c r="H503" s="1493"/>
      <c r="I503" s="1493"/>
      <c r="J503" s="813"/>
      <c r="K503" s="814"/>
      <c r="L503" s="1499"/>
      <c r="M503" s="1488"/>
      <c r="N503" s="1488"/>
      <c r="O503" s="1489"/>
      <c r="P503" s="1489"/>
      <c r="Q503" s="1489"/>
      <c r="R503" s="1489"/>
      <c r="S503" s="1489"/>
      <c r="T503" s="1489"/>
      <c r="U503" s="1489"/>
      <c r="V503" s="1489"/>
      <c r="W503" s="1489"/>
      <c r="X503" s="1489"/>
      <c r="Y503" s="1489"/>
      <c r="Z503" s="1489"/>
      <c r="AA503" s="1489"/>
      <c r="AB503" s="1489"/>
      <c r="AC503" s="1489"/>
      <c r="AD503" s="1489"/>
      <c r="AE503" s="1489"/>
      <c r="AF503" s="1489"/>
      <c r="AG503" s="1489"/>
      <c r="AH503" s="1489"/>
      <c r="AI503" s="1489"/>
      <c r="AJ503" s="1489"/>
      <c r="AK503" s="1489"/>
      <c r="AL503" s="1489"/>
      <c r="AM503" s="1489"/>
      <c r="AN503" s="1489"/>
      <c r="AO503" s="1489"/>
      <c r="AP503" s="1489"/>
      <c r="AQ503" s="1489"/>
      <c r="AR503" s="1488"/>
      <c r="AS503" s="1488"/>
      <c r="AT503" s="1488"/>
      <c r="AU503" s="1488"/>
      <c r="AV503" s="1488"/>
      <c r="AW503" s="1488"/>
      <c r="AX503" s="1488"/>
      <c r="AY503" s="1488"/>
    </row>
    <row r="504" spans="3:51" s="1502" customFormat="1">
      <c r="C504" s="1498"/>
      <c r="D504" s="1501"/>
      <c r="E504" s="1500"/>
      <c r="F504" s="814"/>
      <c r="G504" s="1494"/>
      <c r="H504" s="1493"/>
      <c r="I504" s="1493"/>
      <c r="J504" s="813"/>
      <c r="K504" s="814"/>
      <c r="L504" s="1499"/>
      <c r="M504" s="1488"/>
      <c r="N504" s="1488"/>
      <c r="O504" s="1489"/>
      <c r="P504" s="1489"/>
      <c r="Q504" s="1489"/>
      <c r="R504" s="1489"/>
      <c r="S504" s="1489"/>
      <c r="T504" s="1489"/>
      <c r="U504" s="1489"/>
      <c r="V504" s="1489"/>
      <c r="W504" s="1489"/>
      <c r="X504" s="1489"/>
      <c r="Y504" s="1489"/>
      <c r="Z504" s="1489"/>
      <c r="AA504" s="1489"/>
      <c r="AB504" s="1489"/>
      <c r="AC504" s="1489"/>
      <c r="AD504" s="1489"/>
      <c r="AE504" s="1489"/>
      <c r="AF504" s="1489"/>
      <c r="AG504" s="1489"/>
      <c r="AH504" s="1489"/>
      <c r="AI504" s="1489"/>
      <c r="AJ504" s="1489"/>
      <c r="AK504" s="1489"/>
      <c r="AL504" s="1489"/>
      <c r="AM504" s="1489"/>
      <c r="AN504" s="1489"/>
      <c r="AO504" s="1489"/>
      <c r="AP504" s="1489"/>
      <c r="AQ504" s="1489"/>
      <c r="AR504" s="1488"/>
      <c r="AS504" s="1488"/>
      <c r="AT504" s="1488"/>
      <c r="AU504" s="1488"/>
      <c r="AV504" s="1488"/>
      <c r="AW504" s="1488"/>
      <c r="AX504" s="1488"/>
      <c r="AY504" s="1488"/>
    </row>
    <row r="505" spans="3:51" s="1502" customFormat="1">
      <c r="C505" s="1498"/>
      <c r="D505" s="1501"/>
      <c r="E505" s="1500"/>
      <c r="F505" s="814"/>
      <c r="G505" s="1494"/>
      <c r="H505" s="1493"/>
      <c r="I505" s="1493"/>
      <c r="J505" s="813"/>
      <c r="K505" s="814"/>
      <c r="L505" s="1499"/>
      <c r="M505" s="1488"/>
      <c r="N505" s="1488"/>
      <c r="O505" s="1489"/>
      <c r="P505" s="1489"/>
      <c r="Q505" s="1489"/>
      <c r="R505" s="1489"/>
      <c r="S505" s="1489"/>
      <c r="T505" s="1489"/>
      <c r="U505" s="1489"/>
      <c r="V505" s="1489"/>
      <c r="W505" s="1489"/>
      <c r="X505" s="1489"/>
      <c r="Y505" s="1489"/>
      <c r="Z505" s="1489"/>
      <c r="AA505" s="1489"/>
      <c r="AB505" s="1489"/>
      <c r="AC505" s="1489"/>
      <c r="AD505" s="1489"/>
      <c r="AE505" s="1489"/>
      <c r="AF505" s="1489"/>
      <c r="AG505" s="1489"/>
      <c r="AH505" s="1489"/>
      <c r="AI505" s="1489"/>
      <c r="AJ505" s="1489"/>
      <c r="AK505" s="1489"/>
      <c r="AL505" s="1489"/>
      <c r="AM505" s="1489"/>
      <c r="AN505" s="1489"/>
      <c r="AO505" s="1489"/>
      <c r="AP505" s="1489"/>
      <c r="AQ505" s="1489"/>
      <c r="AR505" s="1488"/>
      <c r="AS505" s="1488"/>
      <c r="AT505" s="1488"/>
      <c r="AU505" s="1488"/>
      <c r="AV505" s="1488"/>
      <c r="AW505" s="1488"/>
      <c r="AX505" s="1488"/>
      <c r="AY505" s="1488"/>
    </row>
    <row r="506" spans="3:51" s="1502" customFormat="1">
      <c r="C506" s="1498"/>
      <c r="D506" s="1501"/>
      <c r="E506" s="1500"/>
      <c r="F506" s="814"/>
      <c r="G506" s="1494"/>
      <c r="H506" s="1493"/>
      <c r="I506" s="1493"/>
      <c r="J506" s="813"/>
      <c r="K506" s="814"/>
      <c r="L506" s="1499"/>
      <c r="M506" s="1488"/>
      <c r="N506" s="1488"/>
      <c r="O506" s="1489"/>
      <c r="P506" s="1489"/>
      <c r="Q506" s="1489"/>
      <c r="R506" s="1489"/>
      <c r="S506" s="1489"/>
      <c r="T506" s="1489"/>
      <c r="U506" s="1489"/>
      <c r="V506" s="1489"/>
      <c r="W506" s="1489"/>
      <c r="X506" s="1489"/>
      <c r="Y506" s="1489"/>
      <c r="Z506" s="1489"/>
      <c r="AA506" s="1489"/>
      <c r="AB506" s="1489"/>
      <c r="AC506" s="1489"/>
      <c r="AD506" s="1489"/>
      <c r="AE506" s="1489"/>
      <c r="AF506" s="1489"/>
      <c r="AG506" s="1489"/>
      <c r="AH506" s="1489"/>
      <c r="AI506" s="1489"/>
      <c r="AJ506" s="1489"/>
      <c r="AK506" s="1489"/>
      <c r="AL506" s="1489"/>
      <c r="AM506" s="1489"/>
      <c r="AN506" s="1489"/>
      <c r="AO506" s="1489"/>
      <c r="AP506" s="1489"/>
      <c r="AQ506" s="1489"/>
      <c r="AR506" s="1488"/>
      <c r="AS506" s="1488"/>
      <c r="AT506" s="1488"/>
      <c r="AU506" s="1488"/>
      <c r="AV506" s="1488"/>
      <c r="AW506" s="1488"/>
      <c r="AX506" s="1488"/>
      <c r="AY506" s="1488"/>
    </row>
    <row r="507" spans="3:51" s="1502" customFormat="1">
      <c r="C507" s="1498"/>
      <c r="D507" s="1501"/>
      <c r="E507" s="1500"/>
      <c r="F507" s="814"/>
      <c r="G507" s="1494"/>
      <c r="H507" s="1493"/>
      <c r="I507" s="1493"/>
      <c r="J507" s="813"/>
      <c r="K507" s="814"/>
      <c r="L507" s="1499"/>
      <c r="M507" s="1488"/>
      <c r="N507" s="1488"/>
      <c r="O507" s="1489"/>
      <c r="P507" s="1489"/>
      <c r="Q507" s="1489"/>
      <c r="R507" s="1489"/>
      <c r="S507" s="1489"/>
      <c r="T507" s="1489"/>
      <c r="U507" s="1489"/>
      <c r="V507" s="1489"/>
      <c r="W507" s="1489"/>
      <c r="X507" s="1489"/>
      <c r="Y507" s="1489"/>
      <c r="Z507" s="1489"/>
      <c r="AA507" s="1489"/>
      <c r="AB507" s="1489"/>
      <c r="AC507" s="1489"/>
      <c r="AD507" s="1489"/>
      <c r="AE507" s="1489"/>
      <c r="AF507" s="1489"/>
      <c r="AG507" s="1489"/>
      <c r="AH507" s="1489"/>
      <c r="AI507" s="1489"/>
      <c r="AJ507" s="1489"/>
      <c r="AK507" s="1489"/>
      <c r="AL507" s="1489"/>
      <c r="AM507" s="1489"/>
      <c r="AN507" s="1489"/>
      <c r="AO507" s="1489"/>
      <c r="AP507" s="1489"/>
      <c r="AQ507" s="1489"/>
      <c r="AR507" s="1488"/>
      <c r="AS507" s="1488"/>
      <c r="AT507" s="1488"/>
      <c r="AU507" s="1488"/>
      <c r="AV507" s="1488"/>
      <c r="AW507" s="1488"/>
      <c r="AX507" s="1488"/>
      <c r="AY507" s="1488"/>
    </row>
    <row r="508" spans="3:51" s="1502" customFormat="1">
      <c r="C508" s="1498"/>
      <c r="D508" s="1501"/>
      <c r="E508" s="1500"/>
      <c r="F508" s="814"/>
      <c r="G508" s="1494"/>
      <c r="H508" s="1493"/>
      <c r="I508" s="1493"/>
      <c r="J508" s="813"/>
      <c r="K508" s="814"/>
      <c r="L508" s="1499"/>
      <c r="M508" s="1488"/>
      <c r="N508" s="1488"/>
      <c r="O508" s="1489"/>
      <c r="P508" s="1489"/>
      <c r="Q508" s="1489"/>
      <c r="R508" s="1489"/>
      <c r="S508" s="1489"/>
      <c r="T508" s="1489"/>
      <c r="U508" s="1489"/>
      <c r="V508" s="1489"/>
      <c r="W508" s="1489"/>
      <c r="X508" s="1489"/>
      <c r="Y508" s="1489"/>
      <c r="Z508" s="1489"/>
      <c r="AA508" s="1489"/>
      <c r="AB508" s="1489"/>
      <c r="AC508" s="1489"/>
      <c r="AD508" s="1489"/>
      <c r="AE508" s="1489"/>
      <c r="AF508" s="1489"/>
      <c r="AG508" s="1489"/>
      <c r="AH508" s="1489"/>
      <c r="AI508" s="1489"/>
      <c r="AJ508" s="1489"/>
      <c r="AK508" s="1489"/>
      <c r="AL508" s="1489"/>
      <c r="AM508" s="1489"/>
      <c r="AN508" s="1489"/>
      <c r="AO508" s="1489"/>
      <c r="AP508" s="1489"/>
      <c r="AQ508" s="1489"/>
      <c r="AR508" s="1488"/>
      <c r="AS508" s="1488"/>
      <c r="AT508" s="1488"/>
      <c r="AU508" s="1488"/>
      <c r="AV508" s="1488"/>
      <c r="AW508" s="1488"/>
      <c r="AX508" s="1488"/>
      <c r="AY508" s="1488"/>
    </row>
    <row r="509" spans="3:51" s="1502" customFormat="1">
      <c r="C509" s="1498"/>
      <c r="D509" s="1501"/>
      <c r="E509" s="1500"/>
      <c r="F509" s="814"/>
      <c r="G509" s="1494"/>
      <c r="H509" s="1493"/>
      <c r="I509" s="1493"/>
      <c r="J509" s="813"/>
      <c r="K509" s="814"/>
      <c r="L509" s="1499"/>
      <c r="M509" s="1488"/>
      <c r="N509" s="1488"/>
      <c r="O509" s="1489"/>
      <c r="P509" s="1489"/>
      <c r="Q509" s="1489"/>
      <c r="R509" s="1489"/>
      <c r="S509" s="1489"/>
      <c r="T509" s="1489"/>
      <c r="U509" s="1489"/>
      <c r="V509" s="1489"/>
      <c r="W509" s="1489"/>
      <c r="X509" s="1489"/>
      <c r="Y509" s="1489"/>
      <c r="Z509" s="1489"/>
      <c r="AA509" s="1489"/>
      <c r="AB509" s="1489"/>
      <c r="AC509" s="1489"/>
      <c r="AD509" s="1489"/>
      <c r="AE509" s="1489"/>
      <c r="AF509" s="1489"/>
      <c r="AG509" s="1489"/>
      <c r="AH509" s="1489"/>
      <c r="AI509" s="1489"/>
      <c r="AJ509" s="1489"/>
      <c r="AK509" s="1489"/>
      <c r="AL509" s="1489"/>
      <c r="AM509" s="1489"/>
      <c r="AN509" s="1489"/>
      <c r="AO509" s="1489"/>
      <c r="AP509" s="1489"/>
      <c r="AQ509" s="1489"/>
      <c r="AR509" s="1488"/>
      <c r="AS509" s="1488"/>
      <c r="AT509" s="1488"/>
      <c r="AU509" s="1488"/>
      <c r="AV509" s="1488"/>
      <c r="AW509" s="1488"/>
      <c r="AX509" s="1488"/>
      <c r="AY509" s="1488"/>
    </row>
    <row r="510" spans="3:51" s="1502" customFormat="1">
      <c r="C510" s="1498"/>
      <c r="D510" s="1501"/>
      <c r="E510" s="1500"/>
      <c r="F510" s="814"/>
      <c r="G510" s="1494"/>
      <c r="H510" s="1493"/>
      <c r="I510" s="1493"/>
      <c r="J510" s="813"/>
      <c r="K510" s="814"/>
      <c r="L510" s="1499"/>
      <c r="M510" s="1488"/>
      <c r="N510" s="1488"/>
      <c r="O510" s="1489"/>
      <c r="P510" s="1489"/>
      <c r="Q510" s="1489"/>
      <c r="R510" s="1489"/>
      <c r="S510" s="1489"/>
      <c r="T510" s="1489"/>
      <c r="U510" s="1489"/>
      <c r="V510" s="1489"/>
      <c r="W510" s="1489"/>
      <c r="X510" s="1489"/>
      <c r="Y510" s="1489"/>
      <c r="Z510" s="1489"/>
      <c r="AA510" s="1489"/>
      <c r="AB510" s="1489"/>
      <c r="AC510" s="1489"/>
      <c r="AD510" s="1489"/>
      <c r="AE510" s="1489"/>
      <c r="AF510" s="1489"/>
      <c r="AG510" s="1489"/>
      <c r="AH510" s="1489"/>
      <c r="AI510" s="1489"/>
      <c r="AJ510" s="1489"/>
      <c r="AK510" s="1489"/>
      <c r="AL510" s="1489"/>
      <c r="AM510" s="1489"/>
      <c r="AN510" s="1489"/>
      <c r="AO510" s="1489"/>
      <c r="AP510" s="1489"/>
      <c r="AQ510" s="1489"/>
      <c r="AR510" s="1488"/>
      <c r="AS510" s="1488"/>
      <c r="AT510" s="1488"/>
      <c r="AU510" s="1488"/>
      <c r="AV510" s="1488"/>
      <c r="AW510" s="1488"/>
      <c r="AX510" s="1488"/>
      <c r="AY510" s="1488"/>
    </row>
    <row r="511" spans="3:51" s="1502" customFormat="1">
      <c r="C511" s="1498"/>
      <c r="D511" s="1501"/>
      <c r="E511" s="1500"/>
      <c r="F511" s="814"/>
      <c r="G511" s="1494"/>
      <c r="H511" s="1493"/>
      <c r="I511" s="1493"/>
      <c r="J511" s="813"/>
      <c r="K511" s="814"/>
      <c r="L511" s="1499"/>
      <c r="M511" s="1488"/>
      <c r="N511" s="1488"/>
      <c r="O511" s="1489"/>
      <c r="P511" s="1489"/>
      <c r="Q511" s="1489"/>
      <c r="R511" s="1489"/>
      <c r="S511" s="1489"/>
      <c r="T511" s="1489"/>
      <c r="U511" s="1489"/>
      <c r="V511" s="1489"/>
      <c r="W511" s="1489"/>
      <c r="X511" s="1489"/>
      <c r="Y511" s="1489"/>
      <c r="Z511" s="1489"/>
      <c r="AA511" s="1489"/>
      <c r="AB511" s="1489"/>
      <c r="AC511" s="1489"/>
      <c r="AD511" s="1489"/>
      <c r="AE511" s="1489"/>
      <c r="AF511" s="1489"/>
      <c r="AG511" s="1489"/>
      <c r="AH511" s="1489"/>
      <c r="AI511" s="1489"/>
      <c r="AJ511" s="1489"/>
      <c r="AK511" s="1489"/>
      <c r="AL511" s="1489"/>
      <c r="AM511" s="1489"/>
      <c r="AN511" s="1489"/>
      <c r="AO511" s="1489"/>
      <c r="AP511" s="1489"/>
      <c r="AQ511" s="1489"/>
      <c r="AR511" s="1488"/>
      <c r="AS511" s="1488"/>
      <c r="AT511" s="1488"/>
      <c r="AU511" s="1488"/>
      <c r="AV511" s="1488"/>
      <c r="AW511" s="1488"/>
      <c r="AX511" s="1488"/>
      <c r="AY511" s="1488"/>
    </row>
    <row r="512" spans="3:51" s="1502" customFormat="1">
      <c r="C512" s="1498"/>
      <c r="D512" s="1501"/>
      <c r="E512" s="1500"/>
      <c r="F512" s="814"/>
      <c r="G512" s="1494"/>
      <c r="H512" s="1493"/>
      <c r="I512" s="1493"/>
      <c r="J512" s="813"/>
      <c r="K512" s="814"/>
      <c r="L512" s="1499"/>
      <c r="M512" s="1488"/>
      <c r="N512" s="1488"/>
      <c r="O512" s="1489"/>
      <c r="P512" s="1489"/>
      <c r="Q512" s="1489"/>
      <c r="R512" s="1489"/>
      <c r="S512" s="1489"/>
      <c r="T512" s="1489"/>
      <c r="U512" s="1489"/>
      <c r="V512" s="1489"/>
      <c r="W512" s="1489"/>
      <c r="X512" s="1489"/>
      <c r="Y512" s="1489"/>
      <c r="Z512" s="1489"/>
      <c r="AA512" s="1489"/>
      <c r="AB512" s="1489"/>
      <c r="AC512" s="1489"/>
      <c r="AD512" s="1489"/>
      <c r="AE512" s="1489"/>
      <c r="AF512" s="1489"/>
      <c r="AG512" s="1489"/>
      <c r="AH512" s="1489"/>
      <c r="AI512" s="1489"/>
      <c r="AJ512" s="1489"/>
      <c r="AK512" s="1489"/>
      <c r="AL512" s="1489"/>
      <c r="AM512" s="1489"/>
      <c r="AN512" s="1489"/>
      <c r="AO512" s="1489"/>
      <c r="AP512" s="1489"/>
      <c r="AQ512" s="1489"/>
      <c r="AR512" s="1488"/>
      <c r="AS512" s="1488"/>
      <c r="AT512" s="1488"/>
      <c r="AU512" s="1488"/>
      <c r="AV512" s="1488"/>
      <c r="AW512" s="1488"/>
      <c r="AX512" s="1488"/>
      <c r="AY512" s="1488"/>
    </row>
    <row r="513" spans="3:51" s="1502" customFormat="1">
      <c r="C513" s="1498"/>
      <c r="D513" s="1501"/>
      <c r="E513" s="1500"/>
      <c r="F513" s="814"/>
      <c r="G513" s="1494"/>
      <c r="H513" s="1493"/>
      <c r="I513" s="1493"/>
      <c r="J513" s="813"/>
      <c r="K513" s="814"/>
      <c r="L513" s="1499"/>
      <c r="M513" s="1488"/>
      <c r="N513" s="1488"/>
      <c r="O513" s="1489"/>
      <c r="P513" s="1489"/>
      <c r="Q513" s="1489"/>
      <c r="R513" s="1489"/>
      <c r="S513" s="1489"/>
      <c r="T513" s="1489"/>
      <c r="U513" s="1489"/>
      <c r="V513" s="1489"/>
      <c r="W513" s="1489"/>
      <c r="X513" s="1489"/>
      <c r="Y513" s="1489"/>
      <c r="Z513" s="1489"/>
      <c r="AA513" s="1489"/>
      <c r="AB513" s="1489"/>
      <c r="AC513" s="1489"/>
      <c r="AD513" s="1489"/>
      <c r="AE513" s="1489"/>
      <c r="AF513" s="1489"/>
      <c r="AG513" s="1489"/>
      <c r="AH513" s="1489"/>
      <c r="AI513" s="1489"/>
      <c r="AJ513" s="1489"/>
      <c r="AK513" s="1489"/>
      <c r="AL513" s="1489"/>
      <c r="AM513" s="1489"/>
      <c r="AN513" s="1489"/>
      <c r="AO513" s="1489"/>
      <c r="AP513" s="1489"/>
      <c r="AQ513" s="1489"/>
      <c r="AR513" s="1488"/>
      <c r="AS513" s="1488"/>
      <c r="AT513" s="1488"/>
      <c r="AU513" s="1488"/>
      <c r="AV513" s="1488"/>
      <c r="AW513" s="1488"/>
      <c r="AX513" s="1488"/>
      <c r="AY513" s="1488"/>
    </row>
    <row r="514" spans="3:51" s="1502" customFormat="1">
      <c r="C514" s="1498"/>
      <c r="D514" s="1501"/>
      <c r="E514" s="1500"/>
      <c r="F514" s="814"/>
      <c r="G514" s="1494"/>
      <c r="H514" s="1493"/>
      <c r="I514" s="1493"/>
      <c r="J514" s="813"/>
      <c r="K514" s="814"/>
      <c r="L514" s="1499"/>
      <c r="M514" s="1488"/>
      <c r="N514" s="1488"/>
      <c r="O514" s="1489"/>
      <c r="P514" s="1489"/>
      <c r="Q514" s="1489"/>
      <c r="R514" s="1489"/>
      <c r="S514" s="1489"/>
      <c r="T514" s="1489"/>
      <c r="U514" s="1489"/>
      <c r="V514" s="1489"/>
      <c r="W514" s="1489"/>
      <c r="X514" s="1489"/>
      <c r="Y514" s="1489"/>
      <c r="Z514" s="1489"/>
      <c r="AA514" s="1489"/>
      <c r="AB514" s="1489"/>
      <c r="AC514" s="1489"/>
      <c r="AD514" s="1489"/>
      <c r="AE514" s="1489"/>
      <c r="AF514" s="1489"/>
      <c r="AG514" s="1489"/>
      <c r="AH514" s="1489"/>
      <c r="AI514" s="1489"/>
      <c r="AJ514" s="1489"/>
      <c r="AK514" s="1489"/>
      <c r="AL514" s="1489"/>
      <c r="AM514" s="1489"/>
      <c r="AN514" s="1489"/>
      <c r="AO514" s="1489"/>
      <c r="AP514" s="1489"/>
      <c r="AQ514" s="1489"/>
      <c r="AR514" s="1488"/>
      <c r="AS514" s="1488"/>
      <c r="AT514" s="1488"/>
      <c r="AU514" s="1488"/>
      <c r="AV514" s="1488"/>
      <c r="AW514" s="1488"/>
      <c r="AX514" s="1488"/>
      <c r="AY514" s="1488"/>
    </row>
    <row r="515" spans="3:51" s="1502" customFormat="1">
      <c r="C515" s="1498"/>
      <c r="D515" s="1501"/>
      <c r="E515" s="1500"/>
      <c r="F515" s="814"/>
      <c r="G515" s="1494"/>
      <c r="H515" s="1493"/>
      <c r="I515" s="1493"/>
      <c r="J515" s="813"/>
      <c r="K515" s="814"/>
      <c r="L515" s="1499"/>
      <c r="M515" s="1488"/>
      <c r="N515" s="1488"/>
      <c r="O515" s="1489"/>
      <c r="P515" s="1489"/>
      <c r="Q515" s="1489"/>
      <c r="R515" s="1489"/>
      <c r="S515" s="1489"/>
      <c r="T515" s="1489"/>
      <c r="U515" s="1489"/>
      <c r="V515" s="1489"/>
      <c r="W515" s="1489"/>
      <c r="X515" s="1489"/>
      <c r="Y515" s="1489"/>
      <c r="Z515" s="1489"/>
      <c r="AA515" s="1489"/>
      <c r="AB515" s="1489"/>
      <c r="AC515" s="1489"/>
      <c r="AD515" s="1489"/>
      <c r="AE515" s="1489"/>
      <c r="AF515" s="1489"/>
      <c r="AG515" s="1489"/>
      <c r="AH515" s="1489"/>
      <c r="AI515" s="1489"/>
      <c r="AJ515" s="1489"/>
      <c r="AK515" s="1489"/>
      <c r="AL515" s="1489"/>
      <c r="AM515" s="1489"/>
      <c r="AN515" s="1489"/>
      <c r="AO515" s="1489"/>
      <c r="AP515" s="1489"/>
      <c r="AQ515" s="1489"/>
      <c r="AR515" s="1488"/>
      <c r="AS515" s="1488"/>
      <c r="AT515" s="1488"/>
      <c r="AU515" s="1488"/>
      <c r="AV515" s="1488"/>
      <c r="AW515" s="1488"/>
      <c r="AX515" s="1488"/>
      <c r="AY515" s="1488"/>
    </row>
    <row r="516" spans="3:51" s="1502" customFormat="1">
      <c r="C516" s="1498"/>
      <c r="D516" s="1501"/>
      <c r="E516" s="1500"/>
      <c r="F516" s="814"/>
      <c r="G516" s="1494"/>
      <c r="H516" s="1493"/>
      <c r="I516" s="1493"/>
      <c r="J516" s="813"/>
      <c r="K516" s="814"/>
      <c r="L516" s="1499"/>
      <c r="M516" s="1488"/>
      <c r="N516" s="1488"/>
      <c r="O516" s="1489"/>
      <c r="P516" s="1489"/>
      <c r="Q516" s="1489"/>
      <c r="R516" s="1489"/>
      <c r="S516" s="1489"/>
      <c r="T516" s="1489"/>
      <c r="U516" s="1489"/>
      <c r="V516" s="1489"/>
      <c r="W516" s="1489"/>
      <c r="X516" s="1489"/>
      <c r="Y516" s="1489"/>
      <c r="Z516" s="1489"/>
      <c r="AA516" s="1489"/>
      <c r="AB516" s="1489"/>
      <c r="AC516" s="1489"/>
      <c r="AD516" s="1489"/>
      <c r="AE516" s="1489"/>
      <c r="AF516" s="1489"/>
      <c r="AG516" s="1489"/>
      <c r="AH516" s="1489"/>
      <c r="AI516" s="1489"/>
      <c r="AJ516" s="1489"/>
      <c r="AK516" s="1489"/>
      <c r="AL516" s="1489"/>
      <c r="AM516" s="1489"/>
      <c r="AN516" s="1489"/>
      <c r="AO516" s="1489"/>
      <c r="AP516" s="1489"/>
      <c r="AQ516" s="1489"/>
      <c r="AR516" s="1488"/>
      <c r="AS516" s="1488"/>
      <c r="AT516" s="1488"/>
      <c r="AU516" s="1488"/>
      <c r="AV516" s="1488"/>
      <c r="AW516" s="1488"/>
      <c r="AX516" s="1488"/>
      <c r="AY516" s="1488"/>
    </row>
    <row r="517" spans="3:51" s="1502" customFormat="1">
      <c r="C517" s="1498"/>
      <c r="D517" s="1501"/>
      <c r="E517" s="1500"/>
      <c r="F517" s="814"/>
      <c r="G517" s="1494"/>
      <c r="H517" s="1493"/>
      <c r="I517" s="1493"/>
      <c r="J517" s="813"/>
      <c r="K517" s="814"/>
      <c r="L517" s="1499"/>
      <c r="M517" s="1488"/>
      <c r="N517" s="1488"/>
      <c r="O517" s="1489"/>
      <c r="P517" s="1489"/>
      <c r="Q517" s="1489"/>
      <c r="R517" s="1489"/>
      <c r="S517" s="1489"/>
      <c r="T517" s="1489"/>
      <c r="U517" s="1489"/>
      <c r="V517" s="1489"/>
      <c r="W517" s="1489"/>
      <c r="X517" s="1489"/>
      <c r="Y517" s="1489"/>
      <c r="Z517" s="1489"/>
      <c r="AA517" s="1489"/>
      <c r="AB517" s="1489"/>
      <c r="AC517" s="1489"/>
      <c r="AD517" s="1489"/>
      <c r="AE517" s="1489"/>
      <c r="AF517" s="1489"/>
      <c r="AG517" s="1489"/>
      <c r="AH517" s="1489"/>
      <c r="AI517" s="1489"/>
      <c r="AJ517" s="1489"/>
      <c r="AK517" s="1489"/>
      <c r="AL517" s="1489"/>
      <c r="AM517" s="1489"/>
      <c r="AN517" s="1489"/>
      <c r="AO517" s="1489"/>
      <c r="AP517" s="1489"/>
      <c r="AQ517" s="1489"/>
      <c r="AR517" s="1488"/>
      <c r="AS517" s="1488"/>
      <c r="AT517" s="1488"/>
      <c r="AU517" s="1488"/>
      <c r="AV517" s="1488"/>
      <c r="AW517" s="1488"/>
      <c r="AX517" s="1488"/>
      <c r="AY517" s="1488"/>
    </row>
    <row r="518" spans="3:51" s="1502" customFormat="1">
      <c r="C518" s="1498"/>
      <c r="D518" s="1501"/>
      <c r="E518" s="1500"/>
      <c r="F518" s="814"/>
      <c r="G518" s="1494"/>
      <c r="H518" s="1493"/>
      <c r="I518" s="1493"/>
      <c r="J518" s="813"/>
      <c r="K518" s="814"/>
      <c r="L518" s="1499"/>
      <c r="M518" s="1488"/>
      <c r="N518" s="1488"/>
      <c r="O518" s="1489"/>
      <c r="P518" s="1489"/>
      <c r="Q518" s="1489"/>
      <c r="R518" s="1489"/>
      <c r="S518" s="1489"/>
      <c r="T518" s="1489"/>
      <c r="U518" s="1489"/>
      <c r="V518" s="1489"/>
      <c r="W518" s="1489"/>
      <c r="X518" s="1489"/>
      <c r="Y518" s="1489"/>
      <c r="Z518" s="1489"/>
      <c r="AA518" s="1489"/>
      <c r="AB518" s="1489"/>
      <c r="AC518" s="1489"/>
      <c r="AD518" s="1489"/>
      <c r="AE518" s="1489"/>
      <c r="AF518" s="1489"/>
      <c r="AG518" s="1489"/>
      <c r="AH518" s="1489"/>
      <c r="AI518" s="1489"/>
      <c r="AJ518" s="1489"/>
      <c r="AK518" s="1489"/>
      <c r="AL518" s="1489"/>
      <c r="AM518" s="1489"/>
      <c r="AN518" s="1489"/>
      <c r="AO518" s="1489"/>
      <c r="AP518" s="1489"/>
      <c r="AQ518" s="1489"/>
      <c r="AR518" s="1488"/>
      <c r="AS518" s="1488"/>
      <c r="AT518" s="1488"/>
      <c r="AU518" s="1488"/>
      <c r="AV518" s="1488"/>
      <c r="AW518" s="1488"/>
      <c r="AX518" s="1488"/>
      <c r="AY518" s="1488"/>
    </row>
    <row r="519" spans="3:51" s="1502" customFormat="1">
      <c r="C519" s="1498"/>
      <c r="D519" s="1501"/>
      <c r="E519" s="1500"/>
      <c r="F519" s="814"/>
      <c r="G519" s="1494"/>
      <c r="H519" s="1493"/>
      <c r="I519" s="1493"/>
      <c r="J519" s="813"/>
      <c r="K519" s="814"/>
      <c r="L519" s="1499"/>
      <c r="M519" s="1488"/>
      <c r="N519" s="1488"/>
      <c r="O519" s="1489"/>
      <c r="P519" s="1489"/>
      <c r="Q519" s="1489"/>
      <c r="R519" s="1489"/>
      <c r="S519" s="1489"/>
      <c r="T519" s="1489"/>
      <c r="U519" s="1489"/>
      <c r="V519" s="1489"/>
      <c r="W519" s="1489"/>
      <c r="X519" s="1489"/>
      <c r="Y519" s="1489"/>
      <c r="Z519" s="1489"/>
      <c r="AA519" s="1489"/>
      <c r="AB519" s="1489"/>
      <c r="AC519" s="1489"/>
      <c r="AD519" s="1489"/>
      <c r="AE519" s="1489"/>
      <c r="AF519" s="1489"/>
      <c r="AG519" s="1489"/>
      <c r="AH519" s="1489"/>
      <c r="AI519" s="1489"/>
      <c r="AJ519" s="1489"/>
      <c r="AK519" s="1489"/>
      <c r="AL519" s="1489"/>
      <c r="AM519" s="1489"/>
      <c r="AN519" s="1489"/>
      <c r="AO519" s="1489"/>
      <c r="AP519" s="1489"/>
      <c r="AQ519" s="1489"/>
      <c r="AR519" s="1488"/>
      <c r="AS519" s="1488"/>
      <c r="AT519" s="1488"/>
      <c r="AU519" s="1488"/>
      <c r="AV519" s="1488"/>
      <c r="AW519" s="1488"/>
      <c r="AX519" s="1488"/>
      <c r="AY519" s="1488"/>
    </row>
    <row r="520" spans="3:51" s="1502" customFormat="1">
      <c r="C520" s="1498"/>
      <c r="D520" s="1501"/>
      <c r="E520" s="1500"/>
      <c r="F520" s="814"/>
      <c r="G520" s="1494"/>
      <c r="H520" s="1493"/>
      <c r="I520" s="1493"/>
      <c r="J520" s="813"/>
      <c r="K520" s="814"/>
      <c r="L520" s="1499"/>
      <c r="M520" s="1488"/>
      <c r="N520" s="1488"/>
      <c r="O520" s="1489"/>
      <c r="P520" s="1489"/>
      <c r="Q520" s="1489"/>
      <c r="R520" s="1489"/>
      <c r="S520" s="1489"/>
      <c r="T520" s="1489"/>
      <c r="U520" s="1489"/>
      <c r="V520" s="1489"/>
      <c r="W520" s="1489"/>
      <c r="X520" s="1489"/>
      <c r="Y520" s="1489"/>
      <c r="Z520" s="1489"/>
      <c r="AA520" s="1489"/>
      <c r="AB520" s="1489"/>
      <c r="AC520" s="1489"/>
      <c r="AD520" s="1489"/>
      <c r="AE520" s="1489"/>
      <c r="AF520" s="1489"/>
      <c r="AG520" s="1489"/>
      <c r="AH520" s="1489"/>
      <c r="AI520" s="1489"/>
      <c r="AJ520" s="1489"/>
      <c r="AK520" s="1489"/>
      <c r="AL520" s="1489"/>
      <c r="AM520" s="1489"/>
      <c r="AN520" s="1489"/>
      <c r="AO520" s="1489"/>
      <c r="AP520" s="1489"/>
      <c r="AQ520" s="1489"/>
      <c r="AR520" s="1488"/>
      <c r="AS520" s="1488"/>
      <c r="AT520" s="1488"/>
      <c r="AU520" s="1488"/>
      <c r="AV520" s="1488"/>
      <c r="AW520" s="1488"/>
      <c r="AX520" s="1488"/>
      <c r="AY520" s="1488"/>
    </row>
    <row r="521" spans="3:51" s="1502" customFormat="1">
      <c r="C521" s="1498"/>
      <c r="D521" s="1501"/>
      <c r="E521" s="1500"/>
      <c r="F521" s="814"/>
      <c r="G521" s="1494"/>
      <c r="H521" s="1493"/>
      <c r="I521" s="1493"/>
      <c r="J521" s="813"/>
      <c r="K521" s="814"/>
      <c r="L521" s="1499"/>
      <c r="M521" s="1488"/>
      <c r="N521" s="1488"/>
      <c r="O521" s="1489"/>
      <c r="P521" s="1489"/>
      <c r="Q521" s="1489"/>
      <c r="R521" s="1489"/>
      <c r="S521" s="1489"/>
      <c r="T521" s="1489"/>
      <c r="U521" s="1489"/>
      <c r="V521" s="1489"/>
      <c r="W521" s="1489"/>
      <c r="X521" s="1489"/>
      <c r="Y521" s="1489"/>
      <c r="Z521" s="1489"/>
      <c r="AA521" s="1489"/>
      <c r="AB521" s="1489"/>
      <c r="AC521" s="1489"/>
      <c r="AD521" s="1489"/>
      <c r="AE521" s="1489"/>
      <c r="AF521" s="1489"/>
      <c r="AG521" s="1489"/>
      <c r="AH521" s="1489"/>
      <c r="AI521" s="1489"/>
      <c r="AJ521" s="1489"/>
      <c r="AK521" s="1489"/>
      <c r="AL521" s="1489"/>
      <c r="AM521" s="1489"/>
      <c r="AN521" s="1489"/>
      <c r="AO521" s="1489"/>
      <c r="AP521" s="1489"/>
      <c r="AQ521" s="1489"/>
      <c r="AR521" s="1488"/>
      <c r="AS521" s="1488"/>
      <c r="AT521" s="1488"/>
      <c r="AU521" s="1488"/>
      <c r="AV521" s="1488"/>
      <c r="AW521" s="1488"/>
      <c r="AX521" s="1488"/>
      <c r="AY521" s="1488"/>
    </row>
    <row r="522" spans="3:51" s="1502" customFormat="1">
      <c r="C522" s="1498"/>
      <c r="D522" s="1501"/>
      <c r="E522" s="1500"/>
      <c r="F522" s="814"/>
      <c r="G522" s="1494"/>
      <c r="H522" s="1493"/>
      <c r="I522" s="1493"/>
      <c r="J522" s="813"/>
      <c r="K522" s="814"/>
      <c r="L522" s="1499"/>
      <c r="M522" s="1488"/>
      <c r="N522" s="1488"/>
      <c r="O522" s="1489"/>
      <c r="P522" s="1489"/>
      <c r="Q522" s="1489"/>
      <c r="R522" s="1489"/>
      <c r="S522" s="1489"/>
      <c r="T522" s="1489"/>
      <c r="U522" s="1489"/>
      <c r="V522" s="1489"/>
      <c r="W522" s="1489"/>
      <c r="X522" s="1489"/>
      <c r="Y522" s="1489"/>
      <c r="Z522" s="1489"/>
      <c r="AA522" s="1489"/>
      <c r="AB522" s="1489"/>
      <c r="AC522" s="1489"/>
      <c r="AD522" s="1489"/>
      <c r="AE522" s="1489"/>
      <c r="AF522" s="1489"/>
      <c r="AG522" s="1489"/>
      <c r="AH522" s="1489"/>
      <c r="AI522" s="1489"/>
      <c r="AJ522" s="1489"/>
      <c r="AK522" s="1489"/>
      <c r="AL522" s="1489"/>
      <c r="AM522" s="1489"/>
      <c r="AN522" s="1489"/>
      <c r="AO522" s="1489"/>
      <c r="AP522" s="1489"/>
      <c r="AQ522" s="1489"/>
      <c r="AR522" s="1488"/>
      <c r="AS522" s="1488"/>
      <c r="AT522" s="1488"/>
      <c r="AU522" s="1488"/>
      <c r="AV522" s="1488"/>
      <c r="AW522" s="1488"/>
      <c r="AX522" s="1488"/>
      <c r="AY522" s="1488"/>
    </row>
    <row r="523" spans="3:51" s="1502" customFormat="1">
      <c r="C523" s="1498"/>
      <c r="D523" s="1501"/>
      <c r="E523" s="1500"/>
      <c r="F523" s="814"/>
      <c r="G523" s="1494"/>
      <c r="H523" s="1493"/>
      <c r="I523" s="1493"/>
      <c r="J523" s="813"/>
      <c r="K523" s="814"/>
      <c r="L523" s="1499"/>
      <c r="M523" s="1488"/>
      <c r="N523" s="1488"/>
      <c r="O523" s="1489"/>
      <c r="P523" s="1489"/>
      <c r="Q523" s="1489"/>
      <c r="R523" s="1489"/>
      <c r="S523" s="1489"/>
      <c r="T523" s="1489"/>
      <c r="U523" s="1489"/>
      <c r="V523" s="1489"/>
      <c r="W523" s="1489"/>
      <c r="X523" s="1489"/>
      <c r="Y523" s="1489"/>
      <c r="Z523" s="1489"/>
      <c r="AA523" s="1489"/>
      <c r="AB523" s="1489"/>
      <c r="AC523" s="1489"/>
      <c r="AD523" s="1489"/>
      <c r="AE523" s="1489"/>
      <c r="AF523" s="1489"/>
      <c r="AG523" s="1489"/>
      <c r="AH523" s="1489"/>
      <c r="AI523" s="1489"/>
      <c r="AJ523" s="1489"/>
      <c r="AK523" s="1489"/>
      <c r="AL523" s="1489"/>
      <c r="AM523" s="1489"/>
      <c r="AN523" s="1489"/>
      <c r="AO523" s="1489"/>
      <c r="AP523" s="1489"/>
      <c r="AQ523" s="1489"/>
      <c r="AR523" s="1488"/>
      <c r="AS523" s="1488"/>
      <c r="AT523" s="1488"/>
      <c r="AU523" s="1488"/>
      <c r="AV523" s="1488"/>
      <c r="AW523" s="1488"/>
      <c r="AX523" s="1488"/>
      <c r="AY523" s="1488"/>
    </row>
    <row r="524" spans="3:51" s="1502" customFormat="1">
      <c r="C524" s="1498"/>
      <c r="D524" s="1501"/>
      <c r="E524" s="1500"/>
      <c r="F524" s="814"/>
      <c r="G524" s="1494"/>
      <c r="H524" s="1493"/>
      <c r="I524" s="1493"/>
      <c r="J524" s="813"/>
      <c r="K524" s="814"/>
      <c r="L524" s="1499"/>
      <c r="M524" s="1488"/>
      <c r="N524" s="1488"/>
      <c r="O524" s="1489"/>
      <c r="P524" s="1489"/>
      <c r="Q524" s="1489"/>
      <c r="R524" s="1489"/>
      <c r="S524" s="1489"/>
      <c r="T524" s="1489"/>
      <c r="U524" s="1489"/>
      <c r="V524" s="1489"/>
      <c r="W524" s="1489"/>
      <c r="X524" s="1489"/>
      <c r="Y524" s="1489"/>
      <c r="Z524" s="1489"/>
      <c r="AA524" s="1489"/>
      <c r="AB524" s="1489"/>
      <c r="AC524" s="1489"/>
      <c r="AD524" s="1489"/>
      <c r="AE524" s="1489"/>
      <c r="AF524" s="1489"/>
      <c r="AG524" s="1489"/>
      <c r="AH524" s="1489"/>
      <c r="AI524" s="1489"/>
      <c r="AJ524" s="1489"/>
      <c r="AK524" s="1489"/>
      <c r="AL524" s="1489"/>
      <c r="AM524" s="1489"/>
      <c r="AN524" s="1489"/>
      <c r="AO524" s="1489"/>
      <c r="AP524" s="1489"/>
      <c r="AQ524" s="1489"/>
      <c r="AR524" s="1488"/>
      <c r="AS524" s="1488"/>
      <c r="AT524" s="1488"/>
      <c r="AU524" s="1488"/>
      <c r="AV524" s="1488"/>
      <c r="AW524" s="1488"/>
      <c r="AX524" s="1488"/>
      <c r="AY524" s="1488"/>
    </row>
    <row r="525" spans="3:51" s="1502" customFormat="1">
      <c r="C525" s="1498"/>
      <c r="D525" s="1501"/>
      <c r="E525" s="1500"/>
      <c r="F525" s="814"/>
      <c r="G525" s="1494"/>
      <c r="H525" s="1493"/>
      <c r="I525" s="1493"/>
      <c r="J525" s="813"/>
      <c r="K525" s="814"/>
      <c r="L525" s="1499"/>
      <c r="M525" s="1488"/>
      <c r="N525" s="1488"/>
      <c r="O525" s="1489"/>
      <c r="P525" s="1489"/>
      <c r="Q525" s="1489"/>
      <c r="R525" s="1489"/>
      <c r="S525" s="1489"/>
      <c r="T525" s="1489"/>
      <c r="U525" s="1489"/>
      <c r="V525" s="1489"/>
      <c r="W525" s="1489"/>
      <c r="X525" s="1489"/>
      <c r="Y525" s="1489"/>
      <c r="Z525" s="1489"/>
      <c r="AA525" s="1489"/>
      <c r="AB525" s="1489"/>
      <c r="AC525" s="1489"/>
      <c r="AD525" s="1489"/>
      <c r="AE525" s="1489"/>
      <c r="AF525" s="1489"/>
      <c r="AG525" s="1489"/>
      <c r="AH525" s="1489"/>
      <c r="AI525" s="1489"/>
      <c r="AJ525" s="1489"/>
      <c r="AK525" s="1489"/>
      <c r="AL525" s="1489"/>
      <c r="AM525" s="1489"/>
      <c r="AN525" s="1489"/>
      <c r="AO525" s="1489"/>
      <c r="AP525" s="1489"/>
      <c r="AQ525" s="1489"/>
      <c r="AR525" s="1488"/>
      <c r="AS525" s="1488"/>
      <c r="AT525" s="1488"/>
      <c r="AU525" s="1488"/>
      <c r="AV525" s="1488"/>
      <c r="AW525" s="1488"/>
      <c r="AX525" s="1488"/>
      <c r="AY525" s="1488"/>
    </row>
    <row r="526" spans="3:51" s="1502" customFormat="1">
      <c r="C526" s="1498"/>
      <c r="D526" s="1501"/>
      <c r="E526" s="1500"/>
      <c r="F526" s="814"/>
      <c r="G526" s="1494"/>
      <c r="H526" s="1493"/>
      <c r="I526" s="1493"/>
      <c r="J526" s="813"/>
      <c r="K526" s="814"/>
      <c r="L526" s="1499"/>
      <c r="M526" s="1488"/>
      <c r="N526" s="1488"/>
      <c r="O526" s="1489"/>
      <c r="P526" s="1489"/>
      <c r="Q526" s="1489"/>
      <c r="R526" s="1489"/>
      <c r="S526" s="1489"/>
      <c r="T526" s="1489"/>
      <c r="U526" s="1489"/>
      <c r="V526" s="1489"/>
      <c r="W526" s="1489"/>
      <c r="X526" s="1489"/>
      <c r="Y526" s="1489"/>
      <c r="Z526" s="1489"/>
      <c r="AA526" s="1489"/>
      <c r="AB526" s="1489"/>
      <c r="AC526" s="1489"/>
      <c r="AD526" s="1489"/>
      <c r="AE526" s="1489"/>
      <c r="AF526" s="1489"/>
      <c r="AG526" s="1489"/>
      <c r="AH526" s="1489"/>
      <c r="AI526" s="1489"/>
      <c r="AJ526" s="1489"/>
      <c r="AK526" s="1489"/>
      <c r="AL526" s="1489"/>
      <c r="AM526" s="1489"/>
      <c r="AN526" s="1489"/>
      <c r="AO526" s="1489"/>
      <c r="AP526" s="1489"/>
      <c r="AQ526" s="1489"/>
      <c r="AR526" s="1488"/>
      <c r="AS526" s="1488"/>
      <c r="AT526" s="1488"/>
      <c r="AU526" s="1488"/>
      <c r="AV526" s="1488"/>
      <c r="AW526" s="1488"/>
      <c r="AX526" s="1488"/>
      <c r="AY526" s="1488"/>
    </row>
    <row r="527" spans="3:51" s="1502" customFormat="1">
      <c r="C527" s="1498"/>
      <c r="D527" s="1501"/>
      <c r="E527" s="1500"/>
      <c r="F527" s="814"/>
      <c r="G527" s="1494"/>
      <c r="H527" s="1493"/>
      <c r="I527" s="1493"/>
      <c r="J527" s="813"/>
      <c r="K527" s="814"/>
      <c r="L527" s="1499"/>
      <c r="M527" s="1488"/>
      <c r="N527" s="1488"/>
      <c r="O527" s="1489"/>
      <c r="P527" s="1489"/>
      <c r="Q527" s="1489"/>
      <c r="R527" s="1489"/>
      <c r="S527" s="1489"/>
      <c r="T527" s="1489"/>
      <c r="U527" s="1489"/>
      <c r="V527" s="1489"/>
      <c r="W527" s="1489"/>
      <c r="X527" s="1489"/>
      <c r="Y527" s="1489"/>
      <c r="Z527" s="1489"/>
      <c r="AA527" s="1489"/>
      <c r="AB527" s="1489"/>
      <c r="AC527" s="1489"/>
      <c r="AD527" s="1489"/>
      <c r="AE527" s="1489"/>
      <c r="AF527" s="1489"/>
      <c r="AG527" s="1489"/>
      <c r="AH527" s="1489"/>
      <c r="AI527" s="1489"/>
      <c r="AJ527" s="1489"/>
      <c r="AK527" s="1489"/>
      <c r="AL527" s="1489"/>
      <c r="AM527" s="1489"/>
      <c r="AN527" s="1489"/>
      <c r="AO527" s="1489"/>
      <c r="AP527" s="1489"/>
      <c r="AQ527" s="1489"/>
      <c r="AR527" s="1488"/>
      <c r="AS527" s="1488"/>
      <c r="AT527" s="1488"/>
      <c r="AU527" s="1488"/>
      <c r="AV527" s="1488"/>
      <c r="AW527" s="1488"/>
      <c r="AX527" s="1488"/>
      <c r="AY527" s="1488"/>
    </row>
    <row r="528" spans="3:51" s="1502" customFormat="1">
      <c r="C528" s="1498"/>
      <c r="D528" s="1501"/>
      <c r="E528" s="1500"/>
      <c r="F528" s="814"/>
      <c r="G528" s="1494"/>
      <c r="H528" s="1493"/>
      <c r="I528" s="1493"/>
      <c r="J528" s="813"/>
      <c r="K528" s="814"/>
      <c r="L528" s="1499"/>
      <c r="M528" s="1488"/>
      <c r="N528" s="1488"/>
      <c r="O528" s="1489"/>
      <c r="P528" s="1489"/>
      <c r="Q528" s="1489"/>
      <c r="R528" s="1489"/>
      <c r="S528" s="1489"/>
      <c r="T528" s="1489"/>
      <c r="U528" s="1489"/>
      <c r="V528" s="1489"/>
      <c r="W528" s="1489"/>
      <c r="X528" s="1489"/>
      <c r="Y528" s="1489"/>
      <c r="Z528" s="1489"/>
      <c r="AA528" s="1489"/>
      <c r="AB528" s="1489"/>
      <c r="AC528" s="1489"/>
      <c r="AD528" s="1489"/>
      <c r="AE528" s="1489"/>
      <c r="AF528" s="1489"/>
      <c r="AG528" s="1489"/>
      <c r="AH528" s="1489"/>
      <c r="AI528" s="1489"/>
      <c r="AJ528" s="1489"/>
      <c r="AK528" s="1489"/>
      <c r="AL528" s="1489"/>
      <c r="AM528" s="1489"/>
      <c r="AN528" s="1489"/>
      <c r="AO528" s="1489"/>
      <c r="AP528" s="1489"/>
      <c r="AQ528" s="1489"/>
      <c r="AR528" s="1488"/>
      <c r="AS528" s="1488"/>
      <c r="AT528" s="1488"/>
      <c r="AU528" s="1488"/>
      <c r="AV528" s="1488"/>
      <c r="AW528" s="1488"/>
      <c r="AX528" s="1488"/>
      <c r="AY528" s="1488"/>
    </row>
    <row r="529" spans="3:51" s="1502" customFormat="1">
      <c r="C529" s="1498"/>
      <c r="D529" s="1501"/>
      <c r="E529" s="1500"/>
      <c r="F529" s="814"/>
      <c r="G529" s="1494"/>
      <c r="H529" s="1493"/>
      <c r="I529" s="1493"/>
      <c r="J529" s="813"/>
      <c r="K529" s="814"/>
      <c r="L529" s="1499"/>
      <c r="M529" s="1488"/>
      <c r="N529" s="1488"/>
      <c r="O529" s="1489"/>
      <c r="P529" s="1489"/>
      <c r="Q529" s="1489"/>
      <c r="R529" s="1489"/>
      <c r="S529" s="1489"/>
      <c r="T529" s="1489"/>
      <c r="U529" s="1489"/>
      <c r="V529" s="1489"/>
      <c r="W529" s="1489"/>
      <c r="X529" s="1489"/>
      <c r="Y529" s="1489"/>
      <c r="Z529" s="1489"/>
      <c r="AA529" s="1489"/>
      <c r="AB529" s="1489"/>
      <c r="AC529" s="1489"/>
      <c r="AD529" s="1489"/>
      <c r="AE529" s="1489"/>
      <c r="AF529" s="1489"/>
      <c r="AG529" s="1489"/>
      <c r="AH529" s="1489"/>
      <c r="AI529" s="1489"/>
      <c r="AJ529" s="1489"/>
      <c r="AK529" s="1489"/>
      <c r="AL529" s="1489"/>
      <c r="AM529" s="1489"/>
      <c r="AN529" s="1489"/>
      <c r="AO529" s="1489"/>
      <c r="AP529" s="1489"/>
      <c r="AQ529" s="1489"/>
      <c r="AR529" s="1488"/>
      <c r="AS529" s="1488"/>
      <c r="AT529" s="1488"/>
      <c r="AU529" s="1488"/>
      <c r="AV529" s="1488"/>
      <c r="AW529" s="1488"/>
      <c r="AX529" s="1488"/>
      <c r="AY529" s="1488"/>
    </row>
    <row r="530" spans="3:51" s="1502" customFormat="1">
      <c r="C530" s="1498"/>
      <c r="D530" s="1501"/>
      <c r="E530" s="1500"/>
      <c r="F530" s="814"/>
      <c r="G530" s="1494"/>
      <c r="H530" s="1493"/>
      <c r="I530" s="1493"/>
      <c r="J530" s="813"/>
      <c r="K530" s="814"/>
      <c r="L530" s="1499"/>
      <c r="M530" s="1488"/>
      <c r="N530" s="1488"/>
      <c r="O530" s="1489"/>
      <c r="P530" s="1489"/>
      <c r="Q530" s="1489"/>
      <c r="R530" s="1489"/>
      <c r="S530" s="1489"/>
      <c r="T530" s="1489"/>
      <c r="U530" s="1489"/>
      <c r="V530" s="1489"/>
      <c r="W530" s="1489"/>
      <c r="X530" s="1489"/>
      <c r="Y530" s="1489"/>
      <c r="Z530" s="1489"/>
      <c r="AA530" s="1489"/>
      <c r="AB530" s="1489"/>
      <c r="AC530" s="1489"/>
      <c r="AD530" s="1489"/>
      <c r="AE530" s="1489"/>
      <c r="AF530" s="1489"/>
      <c r="AG530" s="1489"/>
      <c r="AH530" s="1489"/>
      <c r="AI530" s="1489"/>
      <c r="AJ530" s="1489"/>
      <c r="AK530" s="1489"/>
      <c r="AL530" s="1489"/>
      <c r="AM530" s="1489"/>
      <c r="AN530" s="1489"/>
      <c r="AO530" s="1489"/>
      <c r="AP530" s="1489"/>
      <c r="AQ530" s="1489"/>
      <c r="AR530" s="1488"/>
      <c r="AS530" s="1488"/>
      <c r="AT530" s="1488"/>
      <c r="AU530" s="1488"/>
      <c r="AV530" s="1488"/>
      <c r="AW530" s="1488"/>
      <c r="AX530" s="1488"/>
      <c r="AY530" s="1488"/>
    </row>
    <row r="531" spans="3:51" s="1502" customFormat="1">
      <c r="C531" s="1498"/>
      <c r="D531" s="1501"/>
      <c r="E531" s="1500"/>
      <c r="F531" s="814"/>
      <c r="G531" s="1494"/>
      <c r="H531" s="1493"/>
      <c r="I531" s="1493"/>
      <c r="J531" s="813"/>
      <c r="K531" s="814"/>
      <c r="L531" s="1499"/>
      <c r="M531" s="1488"/>
      <c r="N531" s="1488"/>
      <c r="O531" s="1489"/>
      <c r="P531" s="1489"/>
      <c r="Q531" s="1489"/>
      <c r="R531" s="1489"/>
      <c r="S531" s="1489"/>
      <c r="T531" s="1489"/>
      <c r="U531" s="1489"/>
      <c r="V531" s="1489"/>
      <c r="W531" s="1489"/>
      <c r="X531" s="1489"/>
      <c r="Y531" s="1489"/>
      <c r="Z531" s="1489"/>
      <c r="AA531" s="1489"/>
      <c r="AB531" s="1489"/>
      <c r="AC531" s="1489"/>
      <c r="AD531" s="1489"/>
      <c r="AE531" s="1489"/>
      <c r="AF531" s="1489"/>
      <c r="AG531" s="1489"/>
      <c r="AH531" s="1489"/>
      <c r="AI531" s="1489"/>
      <c r="AJ531" s="1489"/>
      <c r="AK531" s="1489"/>
      <c r="AL531" s="1489"/>
      <c r="AM531" s="1489"/>
      <c r="AN531" s="1489"/>
      <c r="AO531" s="1489"/>
      <c r="AP531" s="1489"/>
      <c r="AQ531" s="1489"/>
      <c r="AR531" s="1488"/>
      <c r="AS531" s="1488"/>
      <c r="AT531" s="1488"/>
      <c r="AU531" s="1488"/>
      <c r="AV531" s="1488"/>
      <c r="AW531" s="1488"/>
      <c r="AX531" s="1488"/>
      <c r="AY531" s="1488"/>
    </row>
    <row r="532" spans="3:51" s="1502" customFormat="1">
      <c r="C532" s="1498"/>
      <c r="D532" s="1501"/>
      <c r="E532" s="1500"/>
      <c r="F532" s="814"/>
      <c r="G532" s="1494"/>
      <c r="H532" s="1493"/>
      <c r="I532" s="1493"/>
      <c r="J532" s="813"/>
      <c r="K532" s="814"/>
      <c r="L532" s="1499"/>
      <c r="M532" s="1488"/>
      <c r="N532" s="1488"/>
      <c r="O532" s="1489"/>
      <c r="P532" s="1489"/>
      <c r="Q532" s="1489"/>
      <c r="R532" s="1489"/>
      <c r="S532" s="1489"/>
      <c r="T532" s="1489"/>
      <c r="U532" s="1489"/>
      <c r="V532" s="1489"/>
      <c r="W532" s="1489"/>
      <c r="X532" s="1489"/>
      <c r="Y532" s="1489"/>
      <c r="Z532" s="1489"/>
      <c r="AA532" s="1489"/>
      <c r="AB532" s="1489"/>
      <c r="AC532" s="1489"/>
      <c r="AD532" s="1489"/>
      <c r="AE532" s="1489"/>
      <c r="AF532" s="1489"/>
      <c r="AG532" s="1489"/>
      <c r="AH532" s="1489"/>
      <c r="AI532" s="1489"/>
      <c r="AJ532" s="1489"/>
      <c r="AK532" s="1489"/>
      <c r="AL532" s="1489"/>
      <c r="AM532" s="1489"/>
      <c r="AN532" s="1489"/>
      <c r="AO532" s="1489"/>
      <c r="AP532" s="1489"/>
      <c r="AQ532" s="1489"/>
      <c r="AR532" s="1488"/>
      <c r="AS532" s="1488"/>
      <c r="AT532" s="1488"/>
      <c r="AU532" s="1488"/>
      <c r="AV532" s="1488"/>
      <c r="AW532" s="1488"/>
      <c r="AX532" s="1488"/>
      <c r="AY532" s="1488"/>
    </row>
    <row r="533" spans="3:51" s="1502" customFormat="1">
      <c r="C533" s="1498"/>
      <c r="D533" s="1501"/>
      <c r="E533" s="1500"/>
      <c r="F533" s="814"/>
      <c r="G533" s="1494"/>
      <c r="H533" s="1493"/>
      <c r="I533" s="1493"/>
      <c r="J533" s="813"/>
      <c r="K533" s="814"/>
      <c r="L533" s="1499"/>
      <c r="M533" s="1488"/>
      <c r="N533" s="1488"/>
      <c r="O533" s="1489"/>
      <c r="P533" s="1489"/>
      <c r="Q533" s="1489"/>
      <c r="R533" s="1489"/>
      <c r="S533" s="1489"/>
      <c r="T533" s="1489"/>
      <c r="U533" s="1489"/>
      <c r="V533" s="1489"/>
      <c r="W533" s="1489"/>
      <c r="X533" s="1489"/>
      <c r="Y533" s="1489"/>
      <c r="Z533" s="1489"/>
      <c r="AA533" s="1489"/>
      <c r="AB533" s="1489"/>
      <c r="AC533" s="1489"/>
      <c r="AD533" s="1489"/>
      <c r="AE533" s="1489"/>
      <c r="AF533" s="1489"/>
      <c r="AG533" s="1489"/>
      <c r="AH533" s="1489"/>
      <c r="AI533" s="1489"/>
      <c r="AJ533" s="1489"/>
      <c r="AK533" s="1489"/>
      <c r="AL533" s="1489"/>
      <c r="AM533" s="1489"/>
      <c r="AN533" s="1489"/>
      <c r="AO533" s="1489"/>
      <c r="AP533" s="1489"/>
      <c r="AQ533" s="1489"/>
      <c r="AR533" s="1488"/>
      <c r="AS533" s="1488"/>
      <c r="AT533" s="1488"/>
      <c r="AU533" s="1488"/>
      <c r="AV533" s="1488"/>
      <c r="AW533" s="1488"/>
      <c r="AX533" s="1488"/>
      <c r="AY533" s="1488"/>
    </row>
    <row r="534" spans="3:51" s="1502" customFormat="1">
      <c r="C534" s="1498"/>
      <c r="D534" s="1501"/>
      <c r="E534" s="1500"/>
      <c r="F534" s="814"/>
      <c r="G534" s="1494"/>
      <c r="H534" s="1493"/>
      <c r="I534" s="1493"/>
      <c r="J534" s="813"/>
      <c r="K534" s="814"/>
      <c r="L534" s="1499"/>
      <c r="M534" s="1488"/>
      <c r="N534" s="1488"/>
      <c r="O534" s="1489"/>
      <c r="P534" s="1489"/>
      <c r="Q534" s="1489"/>
      <c r="R534" s="1489"/>
      <c r="S534" s="1489"/>
      <c r="T534" s="1489"/>
      <c r="U534" s="1489"/>
      <c r="V534" s="1489"/>
      <c r="W534" s="1489"/>
      <c r="X534" s="1489"/>
      <c r="Y534" s="1489"/>
      <c r="Z534" s="1489"/>
      <c r="AA534" s="1489"/>
      <c r="AB534" s="1489"/>
      <c r="AC534" s="1489"/>
      <c r="AD534" s="1489"/>
      <c r="AE534" s="1489"/>
      <c r="AF534" s="1489"/>
      <c r="AG534" s="1489"/>
      <c r="AH534" s="1489"/>
      <c r="AI534" s="1489"/>
      <c r="AJ534" s="1489"/>
      <c r="AK534" s="1489"/>
      <c r="AL534" s="1489"/>
      <c r="AM534" s="1489"/>
      <c r="AN534" s="1489"/>
      <c r="AO534" s="1489"/>
      <c r="AP534" s="1489"/>
      <c r="AQ534" s="1489"/>
      <c r="AR534" s="1488"/>
      <c r="AS534" s="1488"/>
      <c r="AT534" s="1488"/>
      <c r="AU534" s="1488"/>
      <c r="AV534" s="1488"/>
      <c r="AW534" s="1488"/>
      <c r="AX534" s="1488"/>
      <c r="AY534" s="1488"/>
    </row>
    <row r="535" spans="3:51" s="1502" customFormat="1">
      <c r="C535" s="1498"/>
      <c r="D535" s="1501"/>
      <c r="E535" s="1500"/>
      <c r="F535" s="814"/>
      <c r="G535" s="1494"/>
      <c r="H535" s="1493"/>
      <c r="I535" s="1493"/>
      <c r="J535" s="813"/>
      <c r="K535" s="814"/>
      <c r="L535" s="1499"/>
      <c r="M535" s="1488"/>
      <c r="N535" s="1488"/>
      <c r="O535" s="1489"/>
      <c r="P535" s="1489"/>
      <c r="Q535" s="1489"/>
      <c r="R535" s="1489"/>
      <c r="S535" s="1489"/>
      <c r="T535" s="1489"/>
      <c r="U535" s="1489"/>
      <c r="V535" s="1489"/>
      <c r="W535" s="1489"/>
      <c r="X535" s="1489"/>
      <c r="Y535" s="1489"/>
      <c r="Z535" s="1489"/>
      <c r="AA535" s="1489"/>
      <c r="AB535" s="1489"/>
      <c r="AC535" s="1489"/>
      <c r="AD535" s="1489"/>
      <c r="AE535" s="1489"/>
      <c r="AF535" s="1489"/>
      <c r="AG535" s="1489"/>
      <c r="AH535" s="1489"/>
      <c r="AI535" s="1489"/>
      <c r="AJ535" s="1489"/>
      <c r="AK535" s="1489"/>
      <c r="AL535" s="1489"/>
      <c r="AM535" s="1489"/>
      <c r="AN535" s="1489"/>
      <c r="AO535" s="1489"/>
      <c r="AP535" s="1489"/>
      <c r="AQ535" s="1489"/>
      <c r="AR535" s="1488"/>
      <c r="AS535" s="1488"/>
      <c r="AT535" s="1488"/>
      <c r="AU535" s="1488"/>
      <c r="AV535" s="1488"/>
      <c r="AW535" s="1488"/>
      <c r="AX535" s="1488"/>
      <c r="AY535" s="1488"/>
    </row>
    <row r="536" spans="3:51" s="1502" customFormat="1">
      <c r="C536" s="1498"/>
      <c r="D536" s="1501"/>
      <c r="E536" s="1500"/>
      <c r="F536" s="814"/>
      <c r="G536" s="1494"/>
      <c r="H536" s="1493"/>
      <c r="I536" s="1493"/>
      <c r="J536" s="813"/>
      <c r="K536" s="814"/>
      <c r="L536" s="1499"/>
      <c r="M536" s="1488"/>
      <c r="N536" s="1488"/>
      <c r="O536" s="1489"/>
      <c r="P536" s="1489"/>
      <c r="Q536" s="1489"/>
      <c r="R536" s="1489"/>
      <c r="S536" s="1489"/>
      <c r="T536" s="1489"/>
      <c r="U536" s="1489"/>
      <c r="V536" s="1489"/>
      <c r="W536" s="1489"/>
      <c r="X536" s="1489"/>
      <c r="Y536" s="1489"/>
      <c r="Z536" s="1489"/>
      <c r="AA536" s="1489"/>
      <c r="AB536" s="1489"/>
      <c r="AC536" s="1489"/>
      <c r="AD536" s="1489"/>
      <c r="AE536" s="1489"/>
      <c r="AF536" s="1489"/>
      <c r="AG536" s="1489"/>
      <c r="AH536" s="1489"/>
      <c r="AI536" s="1489"/>
      <c r="AJ536" s="1489"/>
      <c r="AK536" s="1489"/>
      <c r="AL536" s="1489"/>
      <c r="AM536" s="1489"/>
      <c r="AN536" s="1489"/>
      <c r="AO536" s="1489"/>
      <c r="AP536" s="1489"/>
      <c r="AQ536" s="1489"/>
      <c r="AR536" s="1488"/>
      <c r="AS536" s="1488"/>
      <c r="AT536" s="1488"/>
      <c r="AU536" s="1488"/>
      <c r="AV536" s="1488"/>
      <c r="AW536" s="1488"/>
      <c r="AX536" s="1488"/>
      <c r="AY536" s="1488"/>
    </row>
    <row r="537" spans="3:51" s="1502" customFormat="1">
      <c r="C537" s="1498"/>
      <c r="D537" s="1501"/>
      <c r="E537" s="1500"/>
      <c r="F537" s="814"/>
      <c r="G537" s="1494"/>
      <c r="H537" s="1493"/>
      <c r="I537" s="1493"/>
      <c r="J537" s="813"/>
      <c r="K537" s="814"/>
      <c r="L537" s="1499"/>
      <c r="M537" s="1488"/>
      <c r="N537" s="1488"/>
      <c r="O537" s="1489"/>
      <c r="P537" s="1489"/>
      <c r="Q537" s="1489"/>
      <c r="R537" s="1489"/>
      <c r="S537" s="1489"/>
      <c r="T537" s="1489"/>
      <c r="U537" s="1489"/>
      <c r="V537" s="1489"/>
      <c r="W537" s="1489"/>
      <c r="X537" s="1489"/>
      <c r="Y537" s="1489"/>
      <c r="Z537" s="1489"/>
      <c r="AA537" s="1489"/>
      <c r="AB537" s="1489"/>
      <c r="AC537" s="1489"/>
      <c r="AD537" s="1489"/>
      <c r="AE537" s="1489"/>
      <c r="AF537" s="1489"/>
      <c r="AG537" s="1489"/>
      <c r="AH537" s="1489"/>
      <c r="AI537" s="1489"/>
      <c r="AJ537" s="1489"/>
      <c r="AK537" s="1489"/>
      <c r="AL537" s="1489"/>
      <c r="AM537" s="1489"/>
      <c r="AN537" s="1489"/>
      <c r="AO537" s="1489"/>
      <c r="AP537" s="1489"/>
      <c r="AQ537" s="1489"/>
      <c r="AR537" s="1488"/>
      <c r="AS537" s="1488"/>
      <c r="AT537" s="1488"/>
      <c r="AU537" s="1488"/>
      <c r="AV537" s="1488"/>
      <c r="AW537" s="1488"/>
      <c r="AX537" s="1488"/>
      <c r="AY537" s="1488"/>
    </row>
    <row r="538" spans="3:51" s="1502" customFormat="1">
      <c r="C538" s="1498"/>
      <c r="D538" s="1501"/>
      <c r="E538" s="1500"/>
      <c r="F538" s="814"/>
      <c r="G538" s="1494"/>
      <c r="H538" s="1493"/>
      <c r="I538" s="1493"/>
      <c r="J538" s="813"/>
      <c r="K538" s="814"/>
      <c r="L538" s="1499"/>
      <c r="M538" s="1488"/>
      <c r="N538" s="1488"/>
      <c r="O538" s="1489"/>
      <c r="P538" s="1489"/>
      <c r="Q538" s="1489"/>
      <c r="R538" s="1489"/>
      <c r="S538" s="1489"/>
      <c r="T538" s="1489"/>
      <c r="U538" s="1489"/>
      <c r="V538" s="1489"/>
      <c r="W538" s="1489"/>
      <c r="X538" s="1489"/>
      <c r="Y538" s="1489"/>
      <c r="Z538" s="1489"/>
      <c r="AA538" s="1489"/>
      <c r="AB538" s="1489"/>
      <c r="AC538" s="1489"/>
      <c r="AD538" s="1489"/>
      <c r="AE538" s="1489"/>
      <c r="AF538" s="1489"/>
      <c r="AG538" s="1489"/>
      <c r="AH538" s="1489"/>
      <c r="AI538" s="1489"/>
      <c r="AJ538" s="1489"/>
      <c r="AK538" s="1489"/>
      <c r="AL538" s="1489"/>
      <c r="AM538" s="1489"/>
      <c r="AN538" s="1489"/>
      <c r="AO538" s="1489"/>
      <c r="AP538" s="1489"/>
      <c r="AQ538" s="1489"/>
      <c r="AR538" s="1488"/>
      <c r="AS538" s="1488"/>
      <c r="AT538" s="1488"/>
      <c r="AU538" s="1488"/>
      <c r="AV538" s="1488"/>
      <c r="AW538" s="1488"/>
      <c r="AX538" s="1488"/>
      <c r="AY538" s="1488"/>
    </row>
    <row r="539" spans="3:51" s="1502" customFormat="1">
      <c r="C539" s="1498"/>
      <c r="D539" s="1501"/>
      <c r="E539" s="1500"/>
      <c r="F539" s="814"/>
      <c r="G539" s="1494"/>
      <c r="H539" s="1493"/>
      <c r="I539" s="1493"/>
      <c r="J539" s="813"/>
      <c r="K539" s="814"/>
      <c r="L539" s="1499"/>
      <c r="M539" s="1488"/>
      <c r="N539" s="1488"/>
      <c r="O539" s="1489"/>
      <c r="P539" s="1489"/>
      <c r="Q539" s="1489"/>
      <c r="R539" s="1489"/>
      <c r="S539" s="1489"/>
      <c r="T539" s="1489"/>
      <c r="U539" s="1489"/>
      <c r="V539" s="1489"/>
      <c r="W539" s="1489"/>
      <c r="X539" s="1489"/>
      <c r="Y539" s="1489"/>
      <c r="Z539" s="1489"/>
      <c r="AA539" s="1489"/>
      <c r="AB539" s="1489"/>
      <c r="AC539" s="1489"/>
      <c r="AD539" s="1489"/>
      <c r="AE539" s="1489"/>
      <c r="AF539" s="1489"/>
      <c r="AG539" s="1489"/>
      <c r="AH539" s="1489"/>
      <c r="AI539" s="1489"/>
      <c r="AJ539" s="1489"/>
      <c r="AK539" s="1489"/>
      <c r="AL539" s="1489"/>
      <c r="AM539" s="1489"/>
      <c r="AN539" s="1489"/>
      <c r="AO539" s="1489"/>
      <c r="AP539" s="1489"/>
      <c r="AQ539" s="1489"/>
      <c r="AR539" s="1488"/>
      <c r="AS539" s="1488"/>
      <c r="AT539" s="1488"/>
      <c r="AU539" s="1488"/>
      <c r="AV539" s="1488"/>
      <c r="AW539" s="1488"/>
      <c r="AX539" s="1488"/>
      <c r="AY539" s="1488"/>
    </row>
    <row r="540" spans="3:51" s="1502" customFormat="1">
      <c r="C540" s="1498"/>
      <c r="D540" s="1501"/>
      <c r="E540" s="1500"/>
      <c r="F540" s="814"/>
      <c r="G540" s="1494"/>
      <c r="H540" s="1493"/>
      <c r="I540" s="1493"/>
      <c r="J540" s="813"/>
      <c r="K540" s="814"/>
      <c r="L540" s="1499"/>
      <c r="M540" s="1488"/>
      <c r="N540" s="1488"/>
      <c r="O540" s="1489"/>
      <c r="P540" s="1489"/>
      <c r="Q540" s="1489"/>
      <c r="R540" s="1489"/>
      <c r="S540" s="1489"/>
      <c r="T540" s="1489"/>
      <c r="U540" s="1489"/>
      <c r="V540" s="1489"/>
      <c r="W540" s="1489"/>
      <c r="X540" s="1489"/>
      <c r="Y540" s="1489"/>
      <c r="Z540" s="1489"/>
      <c r="AA540" s="1489"/>
      <c r="AB540" s="1489"/>
      <c r="AC540" s="1489"/>
      <c r="AD540" s="1489"/>
      <c r="AE540" s="1489"/>
      <c r="AF540" s="1489"/>
      <c r="AG540" s="1489"/>
      <c r="AH540" s="1489"/>
      <c r="AI540" s="1489"/>
      <c r="AJ540" s="1489"/>
      <c r="AK540" s="1489"/>
      <c r="AL540" s="1489"/>
      <c r="AM540" s="1489"/>
      <c r="AN540" s="1489"/>
      <c r="AO540" s="1489"/>
      <c r="AP540" s="1489"/>
      <c r="AQ540" s="1489"/>
      <c r="AR540" s="1488"/>
      <c r="AS540" s="1488"/>
      <c r="AT540" s="1488"/>
      <c r="AU540" s="1488"/>
      <c r="AV540" s="1488"/>
      <c r="AW540" s="1488"/>
      <c r="AX540" s="1488"/>
      <c r="AY540" s="1488"/>
    </row>
    <row r="541" spans="3:51" s="1502" customFormat="1">
      <c r="C541" s="1498"/>
      <c r="D541" s="1501"/>
      <c r="E541" s="1500"/>
      <c r="F541" s="814"/>
      <c r="G541" s="1494"/>
      <c r="H541" s="1493"/>
      <c r="I541" s="1493"/>
      <c r="J541" s="813"/>
      <c r="K541" s="814"/>
      <c r="L541" s="1499"/>
      <c r="M541" s="1488"/>
      <c r="N541" s="1488"/>
      <c r="O541" s="1489"/>
      <c r="P541" s="1489"/>
      <c r="Q541" s="1489"/>
      <c r="R541" s="1489"/>
      <c r="S541" s="1489"/>
      <c r="T541" s="1489"/>
      <c r="U541" s="1489"/>
      <c r="V541" s="1489"/>
      <c r="W541" s="1489"/>
      <c r="X541" s="1489"/>
      <c r="Y541" s="1489"/>
      <c r="Z541" s="1489"/>
      <c r="AA541" s="1489"/>
      <c r="AB541" s="1489"/>
      <c r="AC541" s="1489"/>
      <c r="AD541" s="1489"/>
      <c r="AE541" s="1489"/>
      <c r="AF541" s="1489"/>
      <c r="AG541" s="1489"/>
      <c r="AH541" s="1489"/>
      <c r="AI541" s="1489"/>
      <c r="AJ541" s="1489"/>
      <c r="AK541" s="1489"/>
      <c r="AL541" s="1489"/>
      <c r="AM541" s="1489"/>
      <c r="AN541" s="1489"/>
      <c r="AO541" s="1489"/>
      <c r="AP541" s="1489"/>
      <c r="AQ541" s="1489"/>
      <c r="AR541" s="1488"/>
      <c r="AS541" s="1488"/>
      <c r="AT541" s="1488"/>
      <c r="AU541" s="1488"/>
      <c r="AV541" s="1488"/>
      <c r="AW541" s="1488"/>
      <c r="AX541" s="1488"/>
      <c r="AY541" s="1488"/>
    </row>
    <row r="542" spans="3:51" s="1502" customFormat="1">
      <c r="C542" s="1498"/>
      <c r="D542" s="1501"/>
      <c r="E542" s="1500"/>
      <c r="F542" s="814"/>
      <c r="G542" s="1494"/>
      <c r="H542" s="1493"/>
      <c r="I542" s="1493"/>
      <c r="J542" s="813"/>
      <c r="K542" s="814"/>
      <c r="L542" s="1499"/>
      <c r="M542" s="1488"/>
      <c r="N542" s="1488"/>
      <c r="O542" s="1489"/>
      <c r="P542" s="1489"/>
      <c r="Q542" s="1489"/>
      <c r="R542" s="1489"/>
      <c r="S542" s="1489"/>
      <c r="T542" s="1489"/>
      <c r="U542" s="1489"/>
      <c r="V542" s="1489"/>
      <c r="W542" s="1489"/>
      <c r="X542" s="1489"/>
      <c r="Y542" s="1489"/>
      <c r="Z542" s="1489"/>
      <c r="AA542" s="1489"/>
      <c r="AB542" s="1489"/>
      <c r="AC542" s="1489"/>
      <c r="AD542" s="1489"/>
      <c r="AE542" s="1489"/>
      <c r="AF542" s="1489"/>
      <c r="AG542" s="1489"/>
      <c r="AH542" s="1489"/>
      <c r="AI542" s="1489"/>
      <c r="AJ542" s="1489"/>
      <c r="AK542" s="1489"/>
      <c r="AL542" s="1489"/>
      <c r="AM542" s="1489"/>
      <c r="AN542" s="1489"/>
      <c r="AO542" s="1489"/>
      <c r="AP542" s="1489"/>
      <c r="AQ542" s="1489"/>
      <c r="AR542" s="1488"/>
      <c r="AS542" s="1488"/>
      <c r="AT542" s="1488"/>
      <c r="AU542" s="1488"/>
      <c r="AV542" s="1488"/>
      <c r="AW542" s="1488"/>
      <c r="AX542" s="1488"/>
      <c r="AY542" s="1488"/>
    </row>
    <row r="543" spans="3:51" s="1502" customFormat="1">
      <c r="C543" s="1498"/>
      <c r="D543" s="1501"/>
      <c r="E543" s="1500"/>
      <c r="F543" s="814"/>
      <c r="G543" s="1494"/>
      <c r="H543" s="1493"/>
      <c r="I543" s="1493"/>
      <c r="J543" s="813"/>
      <c r="K543" s="814"/>
      <c r="L543" s="1499"/>
      <c r="M543" s="1488"/>
      <c r="N543" s="1488"/>
      <c r="O543" s="1489"/>
      <c r="P543" s="1489"/>
      <c r="Q543" s="1489"/>
      <c r="R543" s="1489"/>
      <c r="S543" s="1489"/>
      <c r="T543" s="1489"/>
      <c r="U543" s="1489"/>
      <c r="V543" s="1489"/>
      <c r="W543" s="1489"/>
      <c r="X543" s="1489"/>
      <c r="Y543" s="1489"/>
      <c r="Z543" s="1489"/>
      <c r="AA543" s="1489"/>
      <c r="AB543" s="1489"/>
      <c r="AC543" s="1489"/>
      <c r="AD543" s="1489"/>
      <c r="AE543" s="1489"/>
      <c r="AF543" s="1489"/>
      <c r="AG543" s="1489"/>
      <c r="AH543" s="1489"/>
      <c r="AI543" s="1489"/>
      <c r="AJ543" s="1489"/>
      <c r="AK543" s="1489"/>
      <c r="AL543" s="1489"/>
      <c r="AM543" s="1489"/>
      <c r="AN543" s="1489"/>
      <c r="AO543" s="1489"/>
      <c r="AP543" s="1489"/>
      <c r="AQ543" s="1489"/>
      <c r="AR543" s="1488"/>
      <c r="AS543" s="1488"/>
      <c r="AT543" s="1488"/>
      <c r="AU543" s="1488"/>
      <c r="AV543" s="1488"/>
      <c r="AW543" s="1488"/>
      <c r="AX543" s="1488"/>
      <c r="AY543" s="1488"/>
    </row>
    <row r="544" spans="3:51" s="1502" customFormat="1">
      <c r="C544" s="1498"/>
      <c r="D544" s="1501"/>
      <c r="E544" s="1500"/>
      <c r="F544" s="814"/>
      <c r="G544" s="1494"/>
      <c r="H544" s="1493"/>
      <c r="I544" s="1493"/>
      <c r="J544" s="813"/>
      <c r="K544" s="814"/>
      <c r="L544" s="1499"/>
      <c r="M544" s="1488"/>
      <c r="N544" s="1488"/>
      <c r="O544" s="1489"/>
      <c r="P544" s="1489"/>
      <c r="Q544" s="1489"/>
      <c r="R544" s="1489"/>
      <c r="S544" s="1489"/>
      <c r="T544" s="1489"/>
      <c r="U544" s="1489"/>
      <c r="V544" s="1489"/>
      <c r="W544" s="1489"/>
      <c r="X544" s="1489"/>
      <c r="Y544" s="1489"/>
      <c r="Z544" s="1489"/>
      <c r="AA544" s="1489"/>
      <c r="AB544" s="1489"/>
      <c r="AC544" s="1489"/>
      <c r="AD544" s="1489"/>
      <c r="AE544" s="1489"/>
      <c r="AF544" s="1489"/>
      <c r="AG544" s="1489"/>
      <c r="AH544" s="1489"/>
      <c r="AI544" s="1489"/>
      <c r="AJ544" s="1489"/>
      <c r="AK544" s="1489"/>
      <c r="AL544" s="1489"/>
      <c r="AM544" s="1489"/>
      <c r="AN544" s="1489"/>
      <c r="AO544" s="1489"/>
      <c r="AP544" s="1489"/>
      <c r="AQ544" s="1489"/>
      <c r="AR544" s="1488"/>
      <c r="AS544" s="1488"/>
      <c r="AT544" s="1488"/>
      <c r="AU544" s="1488"/>
      <c r="AV544" s="1488"/>
      <c r="AW544" s="1488"/>
      <c r="AX544" s="1488"/>
      <c r="AY544" s="1488"/>
    </row>
    <row r="545" spans="3:51" s="1502" customFormat="1">
      <c r="C545" s="1498"/>
      <c r="D545" s="1501"/>
      <c r="E545" s="1500"/>
      <c r="F545" s="814"/>
      <c r="G545" s="1494"/>
      <c r="H545" s="1493"/>
      <c r="I545" s="1493"/>
      <c r="J545" s="813"/>
      <c r="K545" s="814"/>
      <c r="L545" s="1499"/>
      <c r="M545" s="1488"/>
      <c r="N545" s="1488"/>
      <c r="O545" s="1489"/>
      <c r="P545" s="1489"/>
      <c r="Q545" s="1489"/>
      <c r="R545" s="1489"/>
      <c r="S545" s="1489"/>
      <c r="T545" s="1489"/>
      <c r="U545" s="1489"/>
      <c r="V545" s="1489"/>
      <c r="W545" s="1489"/>
      <c r="X545" s="1489"/>
      <c r="Y545" s="1489"/>
      <c r="Z545" s="1489"/>
      <c r="AA545" s="1489"/>
      <c r="AB545" s="1489"/>
      <c r="AC545" s="1489"/>
      <c r="AD545" s="1489"/>
      <c r="AE545" s="1489"/>
      <c r="AF545" s="1489"/>
      <c r="AG545" s="1489"/>
      <c r="AH545" s="1489"/>
      <c r="AI545" s="1489"/>
      <c r="AJ545" s="1489"/>
      <c r="AK545" s="1489"/>
      <c r="AL545" s="1489"/>
      <c r="AM545" s="1489"/>
      <c r="AN545" s="1489"/>
      <c r="AO545" s="1489"/>
      <c r="AP545" s="1489"/>
      <c r="AQ545" s="1489"/>
      <c r="AR545" s="1488"/>
      <c r="AS545" s="1488"/>
      <c r="AT545" s="1488"/>
      <c r="AU545" s="1488"/>
      <c r="AV545" s="1488"/>
      <c r="AW545" s="1488"/>
      <c r="AX545" s="1488"/>
      <c r="AY545" s="1488"/>
    </row>
    <row r="546" spans="3:51" s="1502" customFormat="1">
      <c r="C546" s="1498"/>
      <c r="D546" s="1501"/>
      <c r="E546" s="1500"/>
      <c r="F546" s="814"/>
      <c r="G546" s="1494"/>
      <c r="H546" s="1493"/>
      <c r="I546" s="1493"/>
      <c r="J546" s="813"/>
      <c r="K546" s="814"/>
      <c r="L546" s="1499"/>
      <c r="M546" s="1488"/>
      <c r="N546" s="1488"/>
      <c r="O546" s="1489"/>
      <c r="P546" s="1489"/>
      <c r="Q546" s="1489"/>
      <c r="R546" s="1489"/>
      <c r="S546" s="1489"/>
      <c r="T546" s="1489"/>
      <c r="U546" s="1489"/>
      <c r="V546" s="1489"/>
      <c r="W546" s="1489"/>
      <c r="X546" s="1489"/>
      <c r="Y546" s="1489"/>
      <c r="Z546" s="1489"/>
      <c r="AA546" s="1489"/>
      <c r="AB546" s="1489"/>
      <c r="AC546" s="1489"/>
      <c r="AD546" s="1489"/>
      <c r="AE546" s="1489"/>
      <c r="AF546" s="1489"/>
      <c r="AG546" s="1489"/>
      <c r="AH546" s="1489"/>
      <c r="AI546" s="1489"/>
      <c r="AJ546" s="1489"/>
      <c r="AK546" s="1489"/>
      <c r="AL546" s="1489"/>
      <c r="AM546" s="1489"/>
      <c r="AN546" s="1489"/>
      <c r="AO546" s="1489"/>
      <c r="AP546" s="1489"/>
      <c r="AQ546" s="1489"/>
      <c r="AR546" s="1488"/>
      <c r="AS546" s="1488"/>
      <c r="AT546" s="1488"/>
      <c r="AU546" s="1488"/>
      <c r="AV546" s="1488"/>
      <c r="AW546" s="1488"/>
      <c r="AX546" s="1488"/>
      <c r="AY546" s="1488"/>
    </row>
    <row r="547" spans="3:51" s="1502" customFormat="1">
      <c r="C547" s="1498"/>
      <c r="D547" s="1501"/>
      <c r="E547" s="1500"/>
      <c r="F547" s="814"/>
      <c r="G547" s="1494"/>
      <c r="H547" s="1493"/>
      <c r="I547" s="1493"/>
      <c r="J547" s="813"/>
      <c r="K547" s="814"/>
      <c r="L547" s="1499"/>
      <c r="M547" s="1488"/>
      <c r="N547" s="1488"/>
      <c r="O547" s="1489"/>
      <c r="P547" s="1489"/>
      <c r="Q547" s="1489"/>
      <c r="R547" s="1489"/>
      <c r="S547" s="1489"/>
      <c r="T547" s="1489"/>
      <c r="U547" s="1489"/>
      <c r="V547" s="1489"/>
      <c r="W547" s="1489"/>
      <c r="X547" s="1489"/>
      <c r="Y547" s="1489"/>
      <c r="Z547" s="1489"/>
      <c r="AA547" s="1489"/>
      <c r="AB547" s="1489"/>
      <c r="AC547" s="1489"/>
      <c r="AD547" s="1489"/>
      <c r="AE547" s="1489"/>
      <c r="AF547" s="1489"/>
      <c r="AG547" s="1489"/>
      <c r="AH547" s="1489"/>
      <c r="AI547" s="1489"/>
      <c r="AJ547" s="1489"/>
      <c r="AK547" s="1489"/>
      <c r="AL547" s="1489"/>
      <c r="AM547" s="1489"/>
      <c r="AN547" s="1489"/>
      <c r="AO547" s="1489"/>
      <c r="AP547" s="1489"/>
      <c r="AQ547" s="1489"/>
      <c r="AR547" s="1488"/>
      <c r="AS547" s="1488"/>
      <c r="AT547" s="1488"/>
      <c r="AU547" s="1488"/>
      <c r="AV547" s="1488"/>
      <c r="AW547" s="1488"/>
      <c r="AX547" s="1488"/>
      <c r="AY547" s="1488"/>
    </row>
    <row r="548" spans="3:51" s="1502" customFormat="1">
      <c r="C548" s="1498"/>
      <c r="D548" s="1501"/>
      <c r="E548" s="1500"/>
      <c r="F548" s="814"/>
      <c r="G548" s="1494"/>
      <c r="H548" s="1493"/>
      <c r="I548" s="1493"/>
      <c r="J548" s="813"/>
      <c r="K548" s="814"/>
      <c r="L548" s="1499"/>
      <c r="M548" s="1488"/>
      <c r="N548" s="1488"/>
      <c r="O548" s="1489"/>
      <c r="P548" s="1489"/>
      <c r="Q548" s="1489"/>
      <c r="R548" s="1489"/>
      <c r="S548" s="1489"/>
      <c r="T548" s="1489"/>
      <c r="U548" s="1489"/>
      <c r="V548" s="1489"/>
      <c r="W548" s="1489"/>
      <c r="X548" s="1489"/>
      <c r="Y548" s="1489"/>
      <c r="Z548" s="1489"/>
      <c r="AA548" s="1489"/>
      <c r="AB548" s="1489"/>
      <c r="AC548" s="1489"/>
      <c r="AD548" s="1489"/>
      <c r="AE548" s="1489"/>
      <c r="AF548" s="1489"/>
      <c r="AG548" s="1489"/>
      <c r="AH548" s="1489"/>
      <c r="AI548" s="1489"/>
      <c r="AJ548" s="1489"/>
      <c r="AK548" s="1489"/>
      <c r="AL548" s="1489"/>
      <c r="AM548" s="1489"/>
      <c r="AN548" s="1489"/>
      <c r="AO548" s="1489"/>
      <c r="AP548" s="1489"/>
      <c r="AQ548" s="1489"/>
      <c r="AR548" s="1488"/>
      <c r="AS548" s="1488"/>
      <c r="AT548" s="1488"/>
      <c r="AU548" s="1488"/>
      <c r="AV548" s="1488"/>
      <c r="AW548" s="1488"/>
      <c r="AX548" s="1488"/>
      <c r="AY548" s="1488"/>
    </row>
    <row r="549" spans="3:51" s="1502" customFormat="1">
      <c r="C549" s="1498"/>
      <c r="D549" s="1501"/>
      <c r="E549" s="1500"/>
      <c r="F549" s="814"/>
      <c r="G549" s="1494"/>
      <c r="H549" s="1493"/>
      <c r="I549" s="1493"/>
      <c r="J549" s="813"/>
      <c r="K549" s="814"/>
      <c r="L549" s="1499"/>
      <c r="M549" s="1488"/>
      <c r="N549" s="1488"/>
      <c r="O549" s="1489"/>
      <c r="P549" s="1489"/>
      <c r="Q549" s="1489"/>
      <c r="R549" s="1489"/>
      <c r="S549" s="1489"/>
      <c r="T549" s="1489"/>
      <c r="U549" s="1489"/>
      <c r="V549" s="1489"/>
      <c r="W549" s="1489"/>
      <c r="X549" s="1489"/>
      <c r="Y549" s="1489"/>
      <c r="Z549" s="1489"/>
      <c r="AA549" s="1489"/>
      <c r="AB549" s="1489"/>
      <c r="AC549" s="1489"/>
      <c r="AD549" s="1489"/>
      <c r="AE549" s="1489"/>
      <c r="AF549" s="1489"/>
      <c r="AG549" s="1489"/>
      <c r="AH549" s="1489"/>
      <c r="AI549" s="1489"/>
      <c r="AJ549" s="1489"/>
      <c r="AK549" s="1489"/>
      <c r="AL549" s="1489"/>
      <c r="AM549" s="1489"/>
      <c r="AN549" s="1489"/>
      <c r="AO549" s="1489"/>
      <c r="AP549" s="1489"/>
      <c r="AQ549" s="1489"/>
      <c r="AR549" s="1488"/>
      <c r="AS549" s="1488"/>
      <c r="AT549" s="1488"/>
      <c r="AU549" s="1488"/>
      <c r="AV549" s="1488"/>
      <c r="AW549" s="1488"/>
      <c r="AX549" s="1488"/>
      <c r="AY549" s="1488"/>
    </row>
    <row r="550" spans="3:51" s="1502" customFormat="1">
      <c r="C550" s="1498"/>
      <c r="D550" s="1501"/>
      <c r="E550" s="1500"/>
      <c r="F550" s="814"/>
      <c r="G550" s="1494"/>
      <c r="H550" s="1493"/>
      <c r="I550" s="1493"/>
      <c r="J550" s="813"/>
      <c r="K550" s="814"/>
      <c r="L550" s="1499"/>
      <c r="M550" s="1488"/>
      <c r="N550" s="1488"/>
      <c r="O550" s="1489"/>
      <c r="P550" s="1489"/>
      <c r="Q550" s="1489"/>
      <c r="R550" s="1489"/>
      <c r="S550" s="1489"/>
      <c r="T550" s="1489"/>
      <c r="U550" s="1489"/>
      <c r="V550" s="1489"/>
      <c r="W550" s="1489"/>
      <c r="X550" s="1489"/>
      <c r="Y550" s="1489"/>
      <c r="Z550" s="1489"/>
      <c r="AA550" s="1489"/>
      <c r="AB550" s="1489"/>
      <c r="AC550" s="1489"/>
      <c r="AD550" s="1489"/>
      <c r="AE550" s="1489"/>
      <c r="AF550" s="1489"/>
      <c r="AG550" s="1489"/>
      <c r="AH550" s="1489"/>
      <c r="AI550" s="1489"/>
      <c r="AJ550" s="1489"/>
      <c r="AK550" s="1489"/>
      <c r="AL550" s="1489"/>
      <c r="AM550" s="1489"/>
      <c r="AN550" s="1489"/>
      <c r="AO550" s="1489"/>
      <c r="AP550" s="1489"/>
      <c r="AQ550" s="1489"/>
      <c r="AR550" s="1488"/>
      <c r="AS550" s="1488"/>
      <c r="AT550" s="1488"/>
      <c r="AU550" s="1488"/>
      <c r="AV550" s="1488"/>
      <c r="AW550" s="1488"/>
      <c r="AX550" s="1488"/>
      <c r="AY550" s="1488"/>
    </row>
    <row r="551" spans="3:51" s="1502" customFormat="1">
      <c r="C551" s="1498"/>
      <c r="D551" s="1501"/>
      <c r="E551" s="1500"/>
      <c r="F551" s="814"/>
      <c r="G551" s="1494"/>
      <c r="H551" s="1493"/>
      <c r="I551" s="1493"/>
      <c r="J551" s="813"/>
      <c r="K551" s="814"/>
      <c r="L551" s="1499"/>
      <c r="M551" s="1488"/>
      <c r="N551" s="1488"/>
      <c r="O551" s="1489"/>
      <c r="P551" s="1489"/>
      <c r="Q551" s="1489"/>
      <c r="R551" s="1489"/>
      <c r="S551" s="1489"/>
      <c r="T551" s="1489"/>
      <c r="U551" s="1489"/>
      <c r="V551" s="1489"/>
      <c r="W551" s="1489"/>
      <c r="X551" s="1489"/>
      <c r="Y551" s="1489"/>
      <c r="Z551" s="1489"/>
      <c r="AA551" s="1489"/>
      <c r="AB551" s="1489"/>
      <c r="AC551" s="1489"/>
      <c r="AD551" s="1489"/>
      <c r="AE551" s="1489"/>
      <c r="AF551" s="1489"/>
      <c r="AG551" s="1489"/>
      <c r="AH551" s="1489"/>
      <c r="AI551" s="1489"/>
      <c r="AJ551" s="1489"/>
      <c r="AK551" s="1489"/>
      <c r="AL551" s="1489"/>
      <c r="AM551" s="1489"/>
      <c r="AN551" s="1489"/>
      <c r="AO551" s="1489"/>
      <c r="AP551" s="1489"/>
      <c r="AQ551" s="1489"/>
      <c r="AR551" s="1488"/>
      <c r="AS551" s="1488"/>
      <c r="AT551" s="1488"/>
      <c r="AU551" s="1488"/>
      <c r="AV551" s="1488"/>
      <c r="AW551" s="1488"/>
      <c r="AX551" s="1488"/>
      <c r="AY551" s="1488"/>
    </row>
    <row r="552" spans="3:51" s="1502" customFormat="1">
      <c r="C552" s="1498"/>
      <c r="D552" s="1501"/>
      <c r="E552" s="1500"/>
      <c r="F552" s="814"/>
      <c r="G552" s="1494"/>
      <c r="H552" s="1493"/>
      <c r="I552" s="1493"/>
      <c r="J552" s="813"/>
      <c r="K552" s="814"/>
      <c r="L552" s="1499"/>
      <c r="M552" s="1488"/>
      <c r="N552" s="1488"/>
      <c r="O552" s="1489"/>
      <c r="P552" s="1489"/>
      <c r="Q552" s="1489"/>
      <c r="R552" s="1489"/>
      <c r="S552" s="1489"/>
      <c r="T552" s="1489"/>
      <c r="U552" s="1489"/>
      <c r="V552" s="1489"/>
      <c r="W552" s="1489"/>
      <c r="X552" s="1489"/>
      <c r="Y552" s="1489"/>
      <c r="Z552" s="1489"/>
      <c r="AA552" s="1489"/>
      <c r="AB552" s="1489"/>
      <c r="AC552" s="1489"/>
      <c r="AD552" s="1489"/>
      <c r="AE552" s="1489"/>
      <c r="AF552" s="1489"/>
      <c r="AG552" s="1489"/>
      <c r="AH552" s="1489"/>
      <c r="AI552" s="1489"/>
      <c r="AJ552" s="1489"/>
      <c r="AK552" s="1489"/>
      <c r="AL552" s="1489"/>
      <c r="AM552" s="1489"/>
      <c r="AN552" s="1489"/>
      <c r="AO552" s="1489"/>
      <c r="AP552" s="1489"/>
      <c r="AQ552" s="1489"/>
      <c r="AR552" s="1488"/>
      <c r="AS552" s="1488"/>
      <c r="AT552" s="1488"/>
      <c r="AU552" s="1488"/>
      <c r="AV552" s="1488"/>
      <c r="AW552" s="1488"/>
      <c r="AX552" s="1488"/>
      <c r="AY552" s="1488"/>
    </row>
    <row r="553" spans="3:51" s="1502" customFormat="1">
      <c r="C553" s="1498"/>
      <c r="D553" s="1501"/>
      <c r="E553" s="1500"/>
      <c r="F553" s="814"/>
      <c r="G553" s="1494"/>
      <c r="H553" s="1493"/>
      <c r="I553" s="1493"/>
      <c r="J553" s="813"/>
      <c r="K553" s="814"/>
      <c r="L553" s="1499"/>
      <c r="M553" s="1488"/>
      <c r="N553" s="1488"/>
      <c r="O553" s="1489"/>
      <c r="P553" s="1489"/>
      <c r="Q553" s="1489"/>
      <c r="R553" s="1489"/>
      <c r="S553" s="1489"/>
      <c r="T553" s="1489"/>
      <c r="U553" s="1489"/>
      <c r="V553" s="1489"/>
      <c r="W553" s="1489"/>
      <c r="X553" s="1489"/>
      <c r="Y553" s="1489"/>
      <c r="Z553" s="1489"/>
      <c r="AA553" s="1489"/>
      <c r="AB553" s="1489"/>
      <c r="AC553" s="1489"/>
      <c r="AD553" s="1489"/>
      <c r="AE553" s="1489"/>
      <c r="AF553" s="1489"/>
      <c r="AG553" s="1489"/>
      <c r="AH553" s="1489"/>
      <c r="AI553" s="1489"/>
      <c r="AJ553" s="1489"/>
      <c r="AK553" s="1489"/>
      <c r="AL553" s="1489"/>
      <c r="AM553" s="1489"/>
      <c r="AN553" s="1489"/>
      <c r="AO553" s="1489"/>
      <c r="AP553" s="1489"/>
      <c r="AQ553" s="1489"/>
      <c r="AR553" s="1488"/>
      <c r="AS553" s="1488"/>
      <c r="AT553" s="1488"/>
      <c r="AU553" s="1488"/>
      <c r="AV553" s="1488"/>
      <c r="AW553" s="1488"/>
      <c r="AX553" s="1488"/>
      <c r="AY553" s="1488"/>
    </row>
    <row r="554" spans="3:51" s="1502" customFormat="1">
      <c r="C554" s="1498"/>
      <c r="D554" s="1501"/>
      <c r="E554" s="1500"/>
      <c r="F554" s="814"/>
      <c r="G554" s="1494"/>
      <c r="H554" s="1493"/>
      <c r="I554" s="1493"/>
      <c r="J554" s="813"/>
      <c r="K554" s="814"/>
      <c r="L554" s="1499"/>
      <c r="M554" s="1488"/>
      <c r="N554" s="1488"/>
      <c r="O554" s="1489"/>
      <c r="P554" s="1489"/>
      <c r="Q554" s="1489"/>
      <c r="R554" s="1489"/>
      <c r="S554" s="1489"/>
      <c r="T554" s="1489"/>
      <c r="U554" s="1489"/>
      <c r="V554" s="1489"/>
      <c r="W554" s="1489"/>
      <c r="X554" s="1489"/>
      <c r="Y554" s="1489"/>
      <c r="Z554" s="1489"/>
      <c r="AA554" s="1489"/>
      <c r="AB554" s="1489"/>
      <c r="AC554" s="1489"/>
      <c r="AD554" s="1489"/>
      <c r="AE554" s="1489"/>
      <c r="AF554" s="1489"/>
      <c r="AG554" s="1489"/>
      <c r="AH554" s="1489"/>
      <c r="AI554" s="1489"/>
      <c r="AJ554" s="1489"/>
      <c r="AK554" s="1489"/>
      <c r="AL554" s="1489"/>
      <c r="AM554" s="1489"/>
      <c r="AN554" s="1489"/>
      <c r="AO554" s="1489"/>
      <c r="AP554" s="1489"/>
      <c r="AQ554" s="1489"/>
      <c r="AR554" s="1488"/>
      <c r="AS554" s="1488"/>
      <c r="AT554" s="1488"/>
      <c r="AU554" s="1488"/>
      <c r="AV554" s="1488"/>
      <c r="AW554" s="1488"/>
      <c r="AX554" s="1488"/>
      <c r="AY554" s="1488"/>
    </row>
    <row r="555" spans="3:51" s="1502" customFormat="1">
      <c r="C555" s="1498"/>
      <c r="D555" s="1501"/>
      <c r="E555" s="1500"/>
      <c r="F555" s="814"/>
      <c r="G555" s="1494"/>
      <c r="H555" s="1493"/>
      <c r="I555" s="1493"/>
      <c r="J555" s="813"/>
      <c r="K555" s="814"/>
      <c r="L555" s="1499"/>
      <c r="M555" s="1488"/>
      <c r="N555" s="1488"/>
      <c r="O555" s="1489"/>
      <c r="P555" s="1489"/>
      <c r="Q555" s="1489"/>
      <c r="R555" s="1489"/>
      <c r="S555" s="1489"/>
      <c r="T555" s="1489"/>
      <c r="U555" s="1489"/>
      <c r="V555" s="1489"/>
      <c r="W555" s="1489"/>
      <c r="X555" s="1489"/>
      <c r="Y555" s="1489"/>
      <c r="Z555" s="1489"/>
      <c r="AA555" s="1489"/>
      <c r="AB555" s="1489"/>
      <c r="AC555" s="1489"/>
      <c r="AD555" s="1489"/>
      <c r="AE555" s="1489"/>
      <c r="AF555" s="1489"/>
      <c r="AG555" s="1489"/>
      <c r="AH555" s="1489"/>
      <c r="AI555" s="1489"/>
      <c r="AJ555" s="1489"/>
      <c r="AK555" s="1489"/>
      <c r="AL555" s="1489"/>
      <c r="AM555" s="1489"/>
      <c r="AN555" s="1489"/>
      <c r="AO555" s="1489"/>
      <c r="AP555" s="1489"/>
      <c r="AQ555" s="1489"/>
      <c r="AR555" s="1488"/>
      <c r="AS555" s="1488"/>
      <c r="AT555" s="1488"/>
      <c r="AU555" s="1488"/>
      <c r="AV555" s="1488"/>
      <c r="AW555" s="1488"/>
      <c r="AX555" s="1488"/>
      <c r="AY555" s="1488"/>
    </row>
    <row r="556" spans="3:51" s="1502" customFormat="1">
      <c r="C556" s="1498"/>
      <c r="D556" s="1501"/>
      <c r="E556" s="1500"/>
      <c r="F556" s="814"/>
      <c r="G556" s="1494"/>
      <c r="H556" s="1493"/>
      <c r="I556" s="1493"/>
      <c r="J556" s="813"/>
      <c r="K556" s="814"/>
      <c r="L556" s="1499"/>
      <c r="M556" s="1488"/>
      <c r="N556" s="1488"/>
      <c r="O556" s="1489"/>
      <c r="P556" s="1489"/>
      <c r="Q556" s="1489"/>
      <c r="R556" s="1489"/>
      <c r="S556" s="1489"/>
      <c r="T556" s="1489"/>
      <c r="U556" s="1489"/>
      <c r="V556" s="1489"/>
      <c r="W556" s="1489"/>
      <c r="X556" s="1489"/>
      <c r="Y556" s="1489"/>
      <c r="Z556" s="1489"/>
      <c r="AA556" s="1489"/>
      <c r="AB556" s="1489"/>
      <c r="AC556" s="1489"/>
      <c r="AD556" s="1489"/>
      <c r="AE556" s="1489"/>
      <c r="AF556" s="1489"/>
      <c r="AG556" s="1489"/>
      <c r="AH556" s="1489"/>
      <c r="AI556" s="1489"/>
      <c r="AJ556" s="1489"/>
      <c r="AK556" s="1489"/>
      <c r="AL556" s="1489"/>
      <c r="AM556" s="1489"/>
      <c r="AN556" s="1489"/>
      <c r="AO556" s="1489"/>
      <c r="AP556" s="1489"/>
      <c r="AQ556" s="1489"/>
      <c r="AR556" s="1488"/>
      <c r="AS556" s="1488"/>
      <c r="AT556" s="1488"/>
      <c r="AU556" s="1488"/>
      <c r="AV556" s="1488"/>
      <c r="AW556" s="1488"/>
      <c r="AX556" s="1488"/>
      <c r="AY556" s="1488"/>
    </row>
    <row r="557" spans="3:51" s="1502" customFormat="1">
      <c r="C557" s="1498"/>
      <c r="D557" s="1501"/>
      <c r="E557" s="1500"/>
      <c r="F557" s="814"/>
      <c r="G557" s="1494"/>
      <c r="H557" s="1493"/>
      <c r="I557" s="1493"/>
      <c r="J557" s="813"/>
      <c r="K557" s="814"/>
      <c r="L557" s="1499"/>
      <c r="M557" s="1488"/>
      <c r="N557" s="1488"/>
      <c r="O557" s="1489"/>
      <c r="P557" s="1489"/>
      <c r="Q557" s="1489"/>
      <c r="R557" s="1489"/>
      <c r="S557" s="1489"/>
      <c r="T557" s="1489"/>
      <c r="U557" s="1489"/>
      <c r="V557" s="1489"/>
      <c r="W557" s="1489"/>
      <c r="X557" s="1489"/>
      <c r="Y557" s="1489"/>
      <c r="Z557" s="1489"/>
      <c r="AA557" s="1489"/>
      <c r="AB557" s="1489"/>
      <c r="AC557" s="1489"/>
      <c r="AD557" s="1489"/>
      <c r="AE557" s="1489"/>
      <c r="AF557" s="1489"/>
      <c r="AG557" s="1489"/>
      <c r="AH557" s="1489"/>
      <c r="AI557" s="1489"/>
      <c r="AJ557" s="1489"/>
      <c r="AK557" s="1489"/>
      <c r="AL557" s="1489"/>
      <c r="AM557" s="1489"/>
      <c r="AN557" s="1489"/>
      <c r="AO557" s="1489"/>
      <c r="AP557" s="1489"/>
      <c r="AQ557" s="1489"/>
      <c r="AR557" s="1488"/>
      <c r="AS557" s="1488"/>
      <c r="AT557" s="1488"/>
      <c r="AU557" s="1488"/>
      <c r="AV557" s="1488"/>
      <c r="AW557" s="1488"/>
      <c r="AX557" s="1488"/>
      <c r="AY557" s="1488"/>
    </row>
    <row r="558" spans="3:51" s="1502" customFormat="1">
      <c r="C558" s="1498"/>
      <c r="D558" s="1501"/>
      <c r="E558" s="1500"/>
      <c r="F558" s="814"/>
      <c r="G558" s="1494"/>
      <c r="H558" s="1493"/>
      <c r="I558" s="1493"/>
      <c r="J558" s="813"/>
      <c r="K558" s="814"/>
      <c r="L558" s="1499"/>
      <c r="M558" s="1488"/>
      <c r="N558" s="1488"/>
      <c r="O558" s="1489"/>
      <c r="P558" s="1489"/>
      <c r="Q558" s="1489"/>
      <c r="R558" s="1489"/>
      <c r="S558" s="1489"/>
      <c r="T558" s="1489"/>
      <c r="U558" s="1489"/>
      <c r="V558" s="1489"/>
      <c r="W558" s="1489"/>
      <c r="X558" s="1489"/>
      <c r="Y558" s="1489"/>
      <c r="Z558" s="1489"/>
      <c r="AA558" s="1489"/>
      <c r="AB558" s="1489"/>
      <c r="AC558" s="1489"/>
      <c r="AD558" s="1489"/>
      <c r="AE558" s="1489"/>
      <c r="AF558" s="1489"/>
      <c r="AG558" s="1489"/>
      <c r="AH558" s="1489"/>
      <c r="AI558" s="1489"/>
      <c r="AJ558" s="1489"/>
      <c r="AK558" s="1489"/>
      <c r="AL558" s="1489"/>
      <c r="AM558" s="1489"/>
      <c r="AN558" s="1489"/>
      <c r="AO558" s="1489"/>
      <c r="AP558" s="1489"/>
      <c r="AQ558" s="1489"/>
      <c r="AR558" s="1488"/>
      <c r="AS558" s="1488"/>
      <c r="AT558" s="1488"/>
      <c r="AU558" s="1488"/>
      <c r="AV558" s="1488"/>
      <c r="AW558" s="1488"/>
      <c r="AX558" s="1488"/>
      <c r="AY558" s="1488"/>
    </row>
    <row r="559" spans="3:51" s="1502" customFormat="1">
      <c r="C559" s="1498"/>
      <c r="D559" s="1501"/>
      <c r="E559" s="1500"/>
      <c r="F559" s="814"/>
      <c r="G559" s="1494"/>
      <c r="H559" s="1493"/>
      <c r="I559" s="1493"/>
      <c r="J559" s="813"/>
      <c r="K559" s="814"/>
      <c r="L559" s="1499"/>
      <c r="M559" s="1488"/>
      <c r="N559" s="1488"/>
      <c r="O559" s="1489"/>
      <c r="P559" s="1489"/>
      <c r="Q559" s="1489"/>
      <c r="R559" s="1489"/>
      <c r="S559" s="1489"/>
      <c r="T559" s="1489"/>
      <c r="U559" s="1489"/>
      <c r="V559" s="1489"/>
      <c r="W559" s="1489"/>
      <c r="X559" s="1489"/>
      <c r="Y559" s="1489"/>
      <c r="Z559" s="1489"/>
      <c r="AA559" s="1489"/>
      <c r="AB559" s="1489"/>
      <c r="AC559" s="1489"/>
      <c r="AD559" s="1489"/>
      <c r="AE559" s="1489"/>
      <c r="AF559" s="1489"/>
      <c r="AG559" s="1489"/>
      <c r="AH559" s="1489"/>
      <c r="AI559" s="1489"/>
      <c r="AJ559" s="1489"/>
      <c r="AK559" s="1489"/>
      <c r="AL559" s="1489"/>
      <c r="AM559" s="1489"/>
      <c r="AN559" s="1489"/>
      <c r="AO559" s="1489"/>
      <c r="AP559" s="1489"/>
      <c r="AQ559" s="1489"/>
      <c r="AR559" s="1488"/>
      <c r="AS559" s="1488"/>
      <c r="AT559" s="1488"/>
      <c r="AU559" s="1488"/>
      <c r="AV559" s="1488"/>
      <c r="AW559" s="1488"/>
      <c r="AX559" s="1488"/>
      <c r="AY559" s="1488"/>
    </row>
    <row r="560" spans="3:51" s="1502" customFormat="1">
      <c r="C560" s="1498"/>
      <c r="D560" s="1501"/>
      <c r="E560" s="1500"/>
      <c r="F560" s="814"/>
      <c r="G560" s="1494"/>
      <c r="H560" s="1493"/>
      <c r="I560" s="1493"/>
      <c r="J560" s="813"/>
      <c r="K560" s="814"/>
      <c r="L560" s="1499"/>
      <c r="M560" s="1488"/>
      <c r="N560" s="1488"/>
      <c r="O560" s="1489"/>
      <c r="P560" s="1489"/>
      <c r="Q560" s="1489"/>
      <c r="R560" s="1489"/>
      <c r="S560" s="1489"/>
      <c r="T560" s="1489"/>
      <c r="U560" s="1489"/>
      <c r="V560" s="1489"/>
      <c r="W560" s="1489"/>
      <c r="X560" s="1489"/>
      <c r="Y560" s="1489"/>
      <c r="Z560" s="1489"/>
      <c r="AA560" s="1489"/>
      <c r="AB560" s="1489"/>
      <c r="AC560" s="1489"/>
      <c r="AD560" s="1489"/>
      <c r="AE560" s="1489"/>
      <c r="AF560" s="1489"/>
      <c r="AG560" s="1489"/>
      <c r="AH560" s="1489"/>
      <c r="AI560" s="1489"/>
      <c r="AJ560" s="1489"/>
      <c r="AK560" s="1489"/>
      <c r="AL560" s="1489"/>
      <c r="AM560" s="1489"/>
      <c r="AN560" s="1489"/>
      <c r="AO560" s="1489"/>
      <c r="AP560" s="1489"/>
      <c r="AQ560" s="1489"/>
      <c r="AR560" s="1488"/>
      <c r="AS560" s="1488"/>
      <c r="AT560" s="1488"/>
      <c r="AU560" s="1488"/>
      <c r="AV560" s="1488"/>
      <c r="AW560" s="1488"/>
      <c r="AX560" s="1488"/>
      <c r="AY560" s="1488"/>
    </row>
    <row r="561" spans="3:51" s="1502" customFormat="1">
      <c r="C561" s="1498"/>
      <c r="D561" s="1501"/>
      <c r="E561" s="1500"/>
      <c r="F561" s="814"/>
      <c r="G561" s="1494"/>
      <c r="H561" s="1493"/>
      <c r="I561" s="1493"/>
      <c r="J561" s="813"/>
      <c r="K561" s="814"/>
      <c r="L561" s="1499"/>
      <c r="M561" s="1488"/>
      <c r="N561" s="1488"/>
      <c r="O561" s="1489"/>
      <c r="P561" s="1489"/>
      <c r="Q561" s="1489"/>
      <c r="R561" s="1489"/>
      <c r="S561" s="1489"/>
      <c r="T561" s="1489"/>
      <c r="U561" s="1489"/>
      <c r="V561" s="1489"/>
      <c r="W561" s="1489"/>
      <c r="X561" s="1489"/>
      <c r="Y561" s="1489"/>
      <c r="Z561" s="1489"/>
      <c r="AA561" s="1489"/>
      <c r="AB561" s="1489"/>
      <c r="AC561" s="1489"/>
      <c r="AD561" s="1489"/>
      <c r="AE561" s="1489"/>
      <c r="AF561" s="1489"/>
      <c r="AG561" s="1489"/>
      <c r="AH561" s="1489"/>
      <c r="AI561" s="1489"/>
      <c r="AJ561" s="1489"/>
      <c r="AK561" s="1489"/>
      <c r="AL561" s="1489"/>
      <c r="AM561" s="1489"/>
      <c r="AN561" s="1489"/>
      <c r="AO561" s="1489"/>
      <c r="AP561" s="1489"/>
      <c r="AQ561" s="1489"/>
      <c r="AR561" s="1488"/>
      <c r="AS561" s="1488"/>
      <c r="AT561" s="1488"/>
      <c r="AU561" s="1488"/>
      <c r="AV561" s="1488"/>
      <c r="AW561" s="1488"/>
      <c r="AX561" s="1488"/>
      <c r="AY561" s="1488"/>
    </row>
    <row r="562" spans="3:51" s="1502" customFormat="1">
      <c r="C562" s="1498"/>
      <c r="D562" s="1501"/>
      <c r="E562" s="1500"/>
      <c r="F562" s="814"/>
      <c r="G562" s="1494"/>
      <c r="H562" s="1493"/>
      <c r="I562" s="1493"/>
      <c r="J562" s="813"/>
      <c r="K562" s="814"/>
      <c r="L562" s="1499"/>
      <c r="M562" s="1488"/>
      <c r="N562" s="1488"/>
      <c r="O562" s="1489"/>
      <c r="P562" s="1489"/>
      <c r="Q562" s="1489"/>
      <c r="R562" s="1489"/>
      <c r="S562" s="1489"/>
      <c r="T562" s="1489"/>
      <c r="U562" s="1489"/>
      <c r="V562" s="1489"/>
      <c r="W562" s="1489"/>
      <c r="X562" s="1489"/>
      <c r="Y562" s="1489"/>
      <c r="Z562" s="1489"/>
      <c r="AA562" s="1489"/>
      <c r="AB562" s="1489"/>
      <c r="AC562" s="1489"/>
      <c r="AD562" s="1489"/>
      <c r="AE562" s="1489"/>
      <c r="AF562" s="1489"/>
      <c r="AG562" s="1489"/>
      <c r="AH562" s="1489"/>
      <c r="AI562" s="1489"/>
      <c r="AJ562" s="1489"/>
      <c r="AK562" s="1489"/>
      <c r="AL562" s="1489"/>
      <c r="AM562" s="1489"/>
      <c r="AN562" s="1489"/>
      <c r="AO562" s="1489"/>
      <c r="AP562" s="1489"/>
      <c r="AQ562" s="1489"/>
      <c r="AR562" s="1488"/>
      <c r="AS562" s="1488"/>
      <c r="AT562" s="1488"/>
      <c r="AU562" s="1488"/>
      <c r="AV562" s="1488"/>
      <c r="AW562" s="1488"/>
      <c r="AX562" s="1488"/>
      <c r="AY562" s="1488"/>
    </row>
    <row r="563" spans="3:51" s="1502" customFormat="1">
      <c r="C563" s="1498"/>
      <c r="D563" s="1501"/>
      <c r="E563" s="1500"/>
      <c r="F563" s="814"/>
      <c r="G563" s="1494"/>
      <c r="H563" s="1493"/>
      <c r="I563" s="1493"/>
      <c r="J563" s="813"/>
      <c r="K563" s="814"/>
      <c r="L563" s="1499"/>
      <c r="M563" s="1488"/>
      <c r="N563" s="1488"/>
      <c r="O563" s="1489"/>
      <c r="P563" s="1489"/>
      <c r="Q563" s="1489"/>
      <c r="R563" s="1489"/>
      <c r="S563" s="1489"/>
      <c r="T563" s="1489"/>
      <c r="U563" s="1489"/>
      <c r="V563" s="1489"/>
      <c r="W563" s="1489"/>
      <c r="X563" s="1489"/>
      <c r="Y563" s="1489"/>
      <c r="Z563" s="1489"/>
      <c r="AA563" s="1489"/>
      <c r="AB563" s="1489"/>
      <c r="AC563" s="1489"/>
      <c r="AD563" s="1489"/>
      <c r="AE563" s="1489"/>
      <c r="AF563" s="1489"/>
      <c r="AG563" s="1489"/>
      <c r="AH563" s="1489"/>
      <c r="AI563" s="1489"/>
      <c r="AJ563" s="1489"/>
      <c r="AK563" s="1489"/>
      <c r="AL563" s="1489"/>
      <c r="AM563" s="1489"/>
      <c r="AN563" s="1489"/>
      <c r="AO563" s="1489"/>
      <c r="AP563" s="1489"/>
      <c r="AQ563" s="1489"/>
      <c r="AR563" s="1488"/>
      <c r="AS563" s="1488"/>
      <c r="AT563" s="1488"/>
      <c r="AU563" s="1488"/>
      <c r="AV563" s="1488"/>
      <c r="AW563" s="1488"/>
      <c r="AX563" s="1488"/>
      <c r="AY563" s="1488"/>
    </row>
    <row r="564" spans="3:51" s="1502" customFormat="1">
      <c r="C564" s="1498"/>
      <c r="D564" s="1501"/>
      <c r="E564" s="1500"/>
      <c r="F564" s="814"/>
      <c r="G564" s="1494"/>
      <c r="H564" s="1493"/>
      <c r="I564" s="1493"/>
      <c r="J564" s="813"/>
      <c r="K564" s="814"/>
      <c r="L564" s="1499"/>
      <c r="M564" s="1488"/>
      <c r="N564" s="1488"/>
      <c r="O564" s="1489"/>
      <c r="P564" s="1489"/>
      <c r="Q564" s="1489"/>
      <c r="R564" s="1489"/>
      <c r="S564" s="1489"/>
      <c r="T564" s="1489"/>
      <c r="U564" s="1489"/>
      <c r="V564" s="1489"/>
      <c r="W564" s="1489"/>
      <c r="X564" s="1489"/>
      <c r="Y564" s="1489"/>
      <c r="Z564" s="1489"/>
      <c r="AA564" s="1489"/>
      <c r="AB564" s="1489"/>
      <c r="AC564" s="1489"/>
      <c r="AD564" s="1489"/>
      <c r="AE564" s="1489"/>
      <c r="AF564" s="1489"/>
      <c r="AG564" s="1489"/>
      <c r="AH564" s="1489"/>
      <c r="AI564" s="1489"/>
      <c r="AJ564" s="1489"/>
      <c r="AK564" s="1489"/>
      <c r="AL564" s="1489"/>
      <c r="AM564" s="1489"/>
      <c r="AN564" s="1489"/>
      <c r="AO564" s="1489"/>
      <c r="AP564" s="1489"/>
      <c r="AQ564" s="1489"/>
      <c r="AR564" s="1488"/>
      <c r="AS564" s="1488"/>
      <c r="AT564" s="1488"/>
      <c r="AU564" s="1488"/>
      <c r="AV564" s="1488"/>
      <c r="AW564" s="1488"/>
      <c r="AX564" s="1488"/>
      <c r="AY564" s="1488"/>
    </row>
    <row r="565" spans="3:51" s="1502" customFormat="1">
      <c r="C565" s="1498"/>
      <c r="D565" s="1501"/>
      <c r="E565" s="1500"/>
      <c r="F565" s="814"/>
      <c r="G565" s="1494"/>
      <c r="H565" s="1493"/>
      <c r="I565" s="1493"/>
      <c r="J565" s="813"/>
      <c r="K565" s="814"/>
      <c r="L565" s="1499"/>
      <c r="M565" s="1488"/>
      <c r="N565" s="1488"/>
      <c r="O565" s="1489"/>
      <c r="P565" s="1489"/>
      <c r="Q565" s="1489"/>
      <c r="R565" s="1489"/>
      <c r="S565" s="1489"/>
      <c r="T565" s="1489"/>
      <c r="U565" s="1489"/>
      <c r="V565" s="1489"/>
      <c r="W565" s="1489"/>
      <c r="X565" s="1489"/>
      <c r="Y565" s="1489"/>
      <c r="Z565" s="1489"/>
      <c r="AA565" s="1489"/>
      <c r="AB565" s="1489"/>
      <c r="AC565" s="1489"/>
      <c r="AD565" s="1489"/>
      <c r="AE565" s="1489"/>
      <c r="AF565" s="1489"/>
      <c r="AG565" s="1489"/>
      <c r="AH565" s="1489"/>
      <c r="AI565" s="1489"/>
      <c r="AJ565" s="1489"/>
      <c r="AK565" s="1489"/>
      <c r="AL565" s="1489"/>
      <c r="AM565" s="1489"/>
      <c r="AN565" s="1489"/>
      <c r="AO565" s="1489"/>
      <c r="AP565" s="1489"/>
      <c r="AQ565" s="1489"/>
      <c r="AR565" s="1488"/>
      <c r="AS565" s="1488"/>
      <c r="AT565" s="1488"/>
      <c r="AU565" s="1488"/>
      <c r="AV565" s="1488"/>
      <c r="AW565" s="1488"/>
      <c r="AX565" s="1488"/>
      <c r="AY565" s="1488"/>
    </row>
    <row r="566" spans="3:51" s="1502" customFormat="1">
      <c r="C566" s="1498"/>
      <c r="D566" s="1501"/>
      <c r="E566" s="1500"/>
      <c r="F566" s="814"/>
      <c r="G566" s="1494"/>
      <c r="H566" s="1493"/>
      <c r="I566" s="1493"/>
      <c r="J566" s="813"/>
      <c r="K566" s="814"/>
      <c r="L566" s="1499"/>
      <c r="M566" s="1488"/>
      <c r="N566" s="1488"/>
      <c r="O566" s="1489"/>
      <c r="P566" s="1489"/>
      <c r="Q566" s="1489"/>
      <c r="R566" s="1489"/>
      <c r="S566" s="1489"/>
      <c r="T566" s="1489"/>
      <c r="U566" s="1489"/>
      <c r="V566" s="1489"/>
      <c r="W566" s="1489"/>
      <c r="X566" s="1489"/>
      <c r="Y566" s="1489"/>
      <c r="Z566" s="1489"/>
      <c r="AA566" s="1489"/>
      <c r="AB566" s="1489"/>
      <c r="AC566" s="1489"/>
      <c r="AD566" s="1489"/>
      <c r="AE566" s="1489"/>
      <c r="AF566" s="1489"/>
      <c r="AG566" s="1489"/>
      <c r="AH566" s="1489"/>
      <c r="AI566" s="1489"/>
      <c r="AJ566" s="1489"/>
      <c r="AK566" s="1489"/>
      <c r="AL566" s="1489"/>
      <c r="AM566" s="1489"/>
      <c r="AN566" s="1489"/>
      <c r="AO566" s="1489"/>
      <c r="AP566" s="1489"/>
      <c r="AQ566" s="1489"/>
      <c r="AR566" s="1488"/>
      <c r="AS566" s="1488"/>
      <c r="AT566" s="1488"/>
      <c r="AU566" s="1488"/>
      <c r="AV566" s="1488"/>
      <c r="AW566" s="1488"/>
      <c r="AX566" s="1488"/>
      <c r="AY566" s="1488"/>
    </row>
    <row r="567" spans="3:51" s="1502" customFormat="1">
      <c r="C567" s="1498"/>
      <c r="D567" s="1501"/>
      <c r="E567" s="1500"/>
      <c r="F567" s="814"/>
      <c r="G567" s="1494"/>
      <c r="H567" s="1493"/>
      <c r="I567" s="1493"/>
      <c r="J567" s="813"/>
      <c r="K567" s="814"/>
      <c r="L567" s="1499"/>
      <c r="M567" s="1488"/>
      <c r="N567" s="1488"/>
      <c r="O567" s="1488"/>
      <c r="P567" s="1488"/>
      <c r="Q567" s="1489"/>
      <c r="R567" s="1489"/>
      <c r="S567" s="1489"/>
      <c r="T567" s="1489"/>
      <c r="U567" s="1489"/>
      <c r="V567" s="1489"/>
      <c r="W567" s="1489"/>
      <c r="X567" s="1489"/>
      <c r="Y567" s="1489"/>
      <c r="Z567" s="1489"/>
      <c r="AA567" s="1489"/>
      <c r="AB567" s="1489"/>
      <c r="AC567" s="1489"/>
      <c r="AD567" s="1489"/>
      <c r="AE567" s="1489"/>
      <c r="AF567" s="1489"/>
      <c r="AG567" s="1489"/>
      <c r="AH567" s="1489"/>
      <c r="AI567" s="1489"/>
      <c r="AJ567" s="1489"/>
      <c r="AK567" s="1489"/>
      <c r="AL567" s="1489"/>
      <c r="AM567" s="1489"/>
      <c r="AN567" s="1489"/>
      <c r="AO567" s="1489"/>
      <c r="AP567" s="1489"/>
      <c r="AQ567" s="1489"/>
      <c r="AR567" s="1488"/>
      <c r="AS567" s="1488"/>
      <c r="AT567" s="1488"/>
      <c r="AU567" s="1488"/>
      <c r="AV567" s="1488"/>
      <c r="AW567" s="1488"/>
      <c r="AX567" s="1488"/>
      <c r="AY567" s="1488"/>
    </row>
    <row r="568" spans="3:51" s="1502" customFormat="1">
      <c r="C568" s="1498"/>
      <c r="D568" s="1501"/>
      <c r="E568" s="1500"/>
      <c r="F568" s="814"/>
      <c r="G568" s="1494"/>
      <c r="H568" s="1493"/>
      <c r="I568" s="1493"/>
      <c r="J568" s="813"/>
      <c r="K568" s="814"/>
      <c r="L568" s="1499"/>
      <c r="M568" s="1488"/>
      <c r="N568" s="1488"/>
      <c r="O568" s="1488"/>
      <c r="P568" s="1488"/>
      <c r="Q568" s="1489"/>
      <c r="R568" s="1489"/>
      <c r="S568" s="1489"/>
      <c r="T568" s="1489"/>
      <c r="U568" s="1489"/>
      <c r="V568" s="1489"/>
      <c r="W568" s="1489"/>
      <c r="X568" s="1489"/>
      <c r="Y568" s="1489"/>
      <c r="Z568" s="1489"/>
      <c r="AA568" s="1489"/>
      <c r="AB568" s="1489"/>
      <c r="AC568" s="1489"/>
      <c r="AD568" s="1489"/>
      <c r="AE568" s="1489"/>
      <c r="AF568" s="1489"/>
      <c r="AG568" s="1489"/>
      <c r="AH568" s="1489"/>
      <c r="AI568" s="1489"/>
      <c r="AJ568" s="1489"/>
      <c r="AK568" s="1489"/>
      <c r="AL568" s="1489"/>
      <c r="AM568" s="1489"/>
      <c r="AN568" s="1489"/>
      <c r="AO568" s="1489"/>
      <c r="AP568" s="1489"/>
      <c r="AQ568" s="1489"/>
      <c r="AR568" s="1488"/>
      <c r="AS568" s="1488"/>
      <c r="AT568" s="1488"/>
      <c r="AU568" s="1488"/>
      <c r="AV568" s="1488"/>
      <c r="AW568" s="1488"/>
      <c r="AX568" s="1488"/>
      <c r="AY568" s="1488"/>
    </row>
    <row r="569" spans="3:51" s="1502" customFormat="1">
      <c r="C569" s="1498"/>
      <c r="D569" s="1501"/>
      <c r="E569" s="1500"/>
      <c r="F569" s="814"/>
      <c r="G569" s="1494"/>
      <c r="H569" s="1493"/>
      <c r="I569" s="1493"/>
      <c r="J569" s="813"/>
      <c r="K569" s="814"/>
      <c r="L569" s="1499"/>
      <c r="M569" s="1488"/>
      <c r="N569" s="1488"/>
      <c r="O569" s="1488"/>
      <c r="P569" s="1488"/>
      <c r="Q569" s="1489"/>
      <c r="R569" s="1489"/>
      <c r="S569" s="1489"/>
      <c r="T569" s="1489"/>
      <c r="U569" s="1489"/>
      <c r="V569" s="1489"/>
      <c r="W569" s="1489"/>
      <c r="X569" s="1489"/>
      <c r="Y569" s="1489"/>
      <c r="Z569" s="1489"/>
      <c r="AA569" s="1489"/>
      <c r="AB569" s="1489"/>
      <c r="AC569" s="1489"/>
      <c r="AD569" s="1489"/>
      <c r="AE569" s="1489"/>
      <c r="AF569" s="1489"/>
      <c r="AG569" s="1489"/>
      <c r="AH569" s="1489"/>
      <c r="AI569" s="1489"/>
      <c r="AJ569" s="1489"/>
      <c r="AK569" s="1489"/>
      <c r="AL569" s="1489"/>
      <c r="AM569" s="1489"/>
      <c r="AN569" s="1489"/>
      <c r="AO569" s="1489"/>
      <c r="AP569" s="1489"/>
      <c r="AQ569" s="1489"/>
      <c r="AR569" s="1488"/>
      <c r="AS569" s="1488"/>
      <c r="AT569" s="1488"/>
      <c r="AU569" s="1488"/>
      <c r="AV569" s="1488"/>
      <c r="AW569" s="1488"/>
      <c r="AX569" s="1488"/>
      <c r="AY569" s="1488"/>
    </row>
    <row r="570" spans="3:51" s="1502" customFormat="1">
      <c r="C570" s="1498"/>
      <c r="D570" s="1501"/>
      <c r="E570" s="1500"/>
      <c r="F570" s="814"/>
      <c r="G570" s="1494"/>
      <c r="H570" s="1493"/>
      <c r="I570" s="1493"/>
      <c r="J570" s="813"/>
      <c r="K570" s="814"/>
      <c r="L570" s="1499"/>
      <c r="M570" s="1488"/>
      <c r="N570" s="1488"/>
      <c r="O570" s="1488"/>
      <c r="P570" s="1488"/>
      <c r="Q570" s="1489"/>
      <c r="R570" s="1489"/>
      <c r="S570" s="1489"/>
      <c r="T570" s="1489"/>
      <c r="U570" s="1489"/>
      <c r="V570" s="1489"/>
      <c r="W570" s="1489"/>
      <c r="X570" s="1489"/>
      <c r="Y570" s="1489"/>
      <c r="Z570" s="1489"/>
      <c r="AA570" s="1489"/>
      <c r="AB570" s="1489"/>
      <c r="AC570" s="1489"/>
      <c r="AD570" s="1489"/>
      <c r="AE570" s="1489"/>
      <c r="AF570" s="1489"/>
      <c r="AG570" s="1489"/>
      <c r="AH570" s="1489"/>
      <c r="AI570" s="1489"/>
      <c r="AJ570" s="1489"/>
      <c r="AK570" s="1489"/>
      <c r="AL570" s="1489"/>
      <c r="AM570" s="1489"/>
      <c r="AN570" s="1489"/>
      <c r="AO570" s="1489"/>
      <c r="AP570" s="1489"/>
      <c r="AQ570" s="1489"/>
      <c r="AR570" s="1488"/>
      <c r="AS570" s="1488"/>
      <c r="AT570" s="1488"/>
      <c r="AU570" s="1488"/>
      <c r="AV570" s="1488"/>
      <c r="AW570" s="1488"/>
      <c r="AX570" s="1488"/>
      <c r="AY570" s="1488"/>
    </row>
    <row r="571" spans="3:51" s="1502" customFormat="1">
      <c r="C571" s="1498"/>
      <c r="D571" s="1501"/>
      <c r="E571" s="1500"/>
      <c r="F571" s="814"/>
      <c r="G571" s="1494"/>
      <c r="H571" s="1493"/>
      <c r="I571" s="1493"/>
      <c r="J571" s="813"/>
      <c r="K571" s="814"/>
      <c r="L571" s="1499"/>
      <c r="M571" s="1488"/>
      <c r="N571" s="1488"/>
      <c r="O571" s="1488"/>
      <c r="P571" s="1488"/>
      <c r="Q571" s="1489"/>
      <c r="R571" s="1489"/>
      <c r="S571" s="1489"/>
      <c r="T571" s="1489"/>
      <c r="U571" s="1489"/>
      <c r="V571" s="1489"/>
      <c r="W571" s="1489"/>
      <c r="X571" s="1489"/>
      <c r="Y571" s="1489"/>
      <c r="Z571" s="1489"/>
      <c r="AA571" s="1489"/>
      <c r="AB571" s="1489"/>
      <c r="AC571" s="1489"/>
      <c r="AD571" s="1489"/>
      <c r="AE571" s="1489"/>
      <c r="AF571" s="1489"/>
      <c r="AG571" s="1489"/>
      <c r="AH571" s="1489"/>
      <c r="AI571" s="1489"/>
      <c r="AJ571" s="1489"/>
      <c r="AK571" s="1489"/>
      <c r="AL571" s="1489"/>
      <c r="AM571" s="1489"/>
      <c r="AN571" s="1489"/>
      <c r="AO571" s="1489"/>
      <c r="AP571" s="1489"/>
      <c r="AQ571" s="1489"/>
      <c r="AR571" s="1488"/>
      <c r="AS571" s="1488"/>
      <c r="AT571" s="1488"/>
      <c r="AU571" s="1488"/>
      <c r="AV571" s="1488"/>
      <c r="AW571" s="1488"/>
      <c r="AX571" s="1488"/>
      <c r="AY571" s="1488"/>
    </row>
    <row r="572" spans="3:51" s="1502" customFormat="1">
      <c r="C572" s="1498"/>
      <c r="D572" s="1501"/>
      <c r="E572" s="1500"/>
      <c r="F572" s="814"/>
      <c r="G572" s="1494"/>
      <c r="H572" s="1493"/>
      <c r="I572" s="1493"/>
      <c r="J572" s="813"/>
      <c r="K572" s="814"/>
      <c r="L572" s="1499"/>
      <c r="M572" s="1488"/>
      <c r="N572" s="1488"/>
      <c r="O572" s="1488"/>
      <c r="P572" s="1488"/>
      <c r="Q572" s="1489"/>
      <c r="R572" s="1489"/>
      <c r="S572" s="1489"/>
      <c r="T572" s="1489"/>
      <c r="U572" s="1489"/>
      <c r="V572" s="1489"/>
      <c r="W572" s="1489"/>
      <c r="X572" s="1489"/>
      <c r="Y572" s="1489"/>
      <c r="Z572" s="1489"/>
      <c r="AA572" s="1489"/>
      <c r="AB572" s="1489"/>
      <c r="AC572" s="1489"/>
      <c r="AD572" s="1489"/>
      <c r="AE572" s="1489"/>
      <c r="AF572" s="1489"/>
      <c r="AG572" s="1489"/>
      <c r="AH572" s="1489"/>
      <c r="AI572" s="1489"/>
      <c r="AJ572" s="1489"/>
      <c r="AK572" s="1489"/>
      <c r="AL572" s="1489"/>
      <c r="AM572" s="1489"/>
      <c r="AN572" s="1489"/>
      <c r="AO572" s="1489"/>
      <c r="AP572" s="1489"/>
      <c r="AQ572" s="1489"/>
      <c r="AR572" s="1488"/>
      <c r="AS572" s="1488"/>
      <c r="AT572" s="1488"/>
      <c r="AU572" s="1488"/>
      <c r="AV572" s="1488"/>
      <c r="AW572" s="1488"/>
      <c r="AX572" s="1488"/>
      <c r="AY572" s="1488"/>
    </row>
    <row r="573" spans="3:51" s="1502" customFormat="1">
      <c r="C573" s="1498"/>
      <c r="D573" s="1501"/>
      <c r="E573" s="1500"/>
      <c r="F573" s="814"/>
      <c r="G573" s="1494"/>
      <c r="H573" s="1493"/>
      <c r="I573" s="1493"/>
      <c r="J573" s="813"/>
      <c r="K573" s="814"/>
      <c r="L573" s="1499"/>
      <c r="M573" s="1488"/>
      <c r="N573" s="1488"/>
      <c r="O573" s="1488"/>
      <c r="P573" s="1488"/>
      <c r="Q573" s="1489"/>
      <c r="R573" s="1489"/>
      <c r="S573" s="1489"/>
      <c r="T573" s="1489"/>
      <c r="U573" s="1489"/>
      <c r="V573" s="1489"/>
      <c r="W573" s="1489"/>
      <c r="X573" s="1489"/>
      <c r="Y573" s="1489"/>
      <c r="Z573" s="1489"/>
      <c r="AA573" s="1489"/>
      <c r="AB573" s="1489"/>
      <c r="AC573" s="1489"/>
      <c r="AD573" s="1489"/>
      <c r="AE573" s="1489"/>
      <c r="AF573" s="1489"/>
      <c r="AG573" s="1489"/>
      <c r="AH573" s="1489"/>
      <c r="AI573" s="1489"/>
      <c r="AJ573" s="1489"/>
      <c r="AK573" s="1489"/>
      <c r="AL573" s="1489"/>
      <c r="AM573" s="1489"/>
      <c r="AN573" s="1489"/>
      <c r="AO573" s="1489"/>
      <c r="AP573" s="1489"/>
      <c r="AQ573" s="1489"/>
      <c r="AR573" s="1488"/>
      <c r="AS573" s="1488"/>
      <c r="AT573" s="1488"/>
      <c r="AU573" s="1488"/>
      <c r="AV573" s="1488"/>
      <c r="AW573" s="1488"/>
      <c r="AX573" s="1488"/>
      <c r="AY573" s="1488"/>
    </row>
    <row r="574" spans="3:51" s="1502" customFormat="1">
      <c r="C574" s="1498"/>
      <c r="D574" s="1501"/>
      <c r="E574" s="1500"/>
      <c r="F574" s="814"/>
      <c r="G574" s="1494"/>
      <c r="H574" s="1493"/>
      <c r="I574" s="1493"/>
      <c r="J574" s="813"/>
      <c r="K574" s="814"/>
      <c r="L574" s="1499"/>
      <c r="M574" s="1488"/>
      <c r="N574" s="1488"/>
      <c r="O574" s="1488"/>
      <c r="P574" s="1488"/>
      <c r="Q574" s="1489"/>
      <c r="R574" s="1489"/>
      <c r="S574" s="1489"/>
      <c r="T574" s="1489"/>
      <c r="U574" s="1489"/>
      <c r="V574" s="1489"/>
      <c r="W574" s="1489"/>
      <c r="X574" s="1489"/>
      <c r="Y574" s="1489"/>
      <c r="Z574" s="1489"/>
      <c r="AA574" s="1489"/>
      <c r="AB574" s="1489"/>
      <c r="AC574" s="1489"/>
      <c r="AD574" s="1489"/>
      <c r="AE574" s="1489"/>
      <c r="AF574" s="1489"/>
      <c r="AG574" s="1489"/>
      <c r="AH574" s="1489"/>
      <c r="AI574" s="1489"/>
      <c r="AJ574" s="1489"/>
      <c r="AK574" s="1489"/>
      <c r="AL574" s="1489"/>
      <c r="AM574" s="1489"/>
      <c r="AN574" s="1489"/>
      <c r="AO574" s="1489"/>
      <c r="AP574" s="1489"/>
      <c r="AQ574" s="1489"/>
      <c r="AR574" s="1488"/>
      <c r="AS574" s="1488"/>
      <c r="AT574" s="1488"/>
      <c r="AU574" s="1488"/>
      <c r="AV574" s="1488"/>
      <c r="AW574" s="1488"/>
      <c r="AX574" s="1488"/>
      <c r="AY574" s="1488"/>
    </row>
    <row r="575" spans="3:51" s="1502" customFormat="1">
      <c r="C575" s="1498"/>
      <c r="D575" s="1501"/>
      <c r="E575" s="1500"/>
      <c r="F575" s="814"/>
      <c r="G575" s="1494"/>
      <c r="H575" s="1493"/>
      <c r="I575" s="1493"/>
      <c r="J575" s="813"/>
      <c r="K575" s="814"/>
      <c r="L575" s="1499"/>
      <c r="M575" s="1488"/>
      <c r="N575" s="1488"/>
      <c r="O575" s="1488"/>
      <c r="P575" s="1488"/>
      <c r="Q575" s="1489"/>
      <c r="R575" s="1489"/>
      <c r="S575" s="1489"/>
      <c r="T575" s="1489"/>
      <c r="U575" s="1489"/>
      <c r="V575" s="1489"/>
      <c r="W575" s="1489"/>
      <c r="X575" s="1489"/>
      <c r="Y575" s="1489"/>
      <c r="Z575" s="1489"/>
      <c r="AA575" s="1489"/>
      <c r="AB575" s="1489"/>
      <c r="AC575" s="1489"/>
      <c r="AD575" s="1489"/>
      <c r="AE575" s="1489"/>
      <c r="AF575" s="1489"/>
      <c r="AG575" s="1489"/>
      <c r="AH575" s="1489"/>
      <c r="AI575" s="1489"/>
      <c r="AJ575" s="1489"/>
      <c r="AK575" s="1489"/>
      <c r="AL575" s="1489"/>
      <c r="AM575" s="1489"/>
      <c r="AN575" s="1489"/>
      <c r="AO575" s="1489"/>
      <c r="AP575" s="1489"/>
      <c r="AQ575" s="1489"/>
      <c r="AR575" s="1488"/>
      <c r="AS575" s="1488"/>
      <c r="AT575" s="1488"/>
      <c r="AU575" s="1488"/>
      <c r="AV575" s="1488"/>
      <c r="AW575" s="1488"/>
      <c r="AX575" s="1488"/>
      <c r="AY575" s="1488"/>
    </row>
    <row r="576" spans="3:51" s="1502" customFormat="1">
      <c r="C576" s="1498"/>
      <c r="D576" s="1501"/>
      <c r="E576" s="1500"/>
      <c r="F576" s="814"/>
      <c r="G576" s="1494"/>
      <c r="H576" s="1493"/>
      <c r="I576" s="1493"/>
      <c r="J576" s="813"/>
      <c r="K576" s="814"/>
      <c r="L576" s="1499"/>
      <c r="M576" s="1488"/>
      <c r="N576" s="1488"/>
      <c r="O576" s="1488"/>
      <c r="P576" s="1488"/>
      <c r="Q576" s="1489"/>
      <c r="R576" s="1489"/>
      <c r="S576" s="1489"/>
      <c r="T576" s="1489"/>
      <c r="U576" s="1489"/>
      <c r="V576" s="1489"/>
      <c r="W576" s="1489"/>
      <c r="X576" s="1489"/>
      <c r="Y576" s="1489"/>
      <c r="Z576" s="1489"/>
      <c r="AA576" s="1489"/>
      <c r="AB576" s="1489"/>
      <c r="AC576" s="1489"/>
      <c r="AD576" s="1489"/>
      <c r="AE576" s="1489"/>
      <c r="AF576" s="1489"/>
      <c r="AG576" s="1489"/>
      <c r="AH576" s="1489"/>
      <c r="AI576" s="1489"/>
      <c r="AJ576" s="1489"/>
      <c r="AK576" s="1489"/>
      <c r="AL576" s="1489"/>
      <c r="AM576" s="1489"/>
      <c r="AN576" s="1489"/>
      <c r="AO576" s="1489"/>
      <c r="AP576" s="1489"/>
      <c r="AQ576" s="1489"/>
      <c r="AR576" s="1488"/>
      <c r="AS576" s="1488"/>
      <c r="AT576" s="1488"/>
      <c r="AU576" s="1488"/>
      <c r="AV576" s="1488"/>
      <c r="AW576" s="1488"/>
      <c r="AX576" s="1488"/>
      <c r="AY576" s="1488"/>
    </row>
    <row r="577" spans="3:51" s="1502" customFormat="1">
      <c r="C577" s="1498"/>
      <c r="D577" s="1501"/>
      <c r="E577" s="1500"/>
      <c r="F577" s="814"/>
      <c r="G577" s="1494"/>
      <c r="H577" s="1493"/>
      <c r="I577" s="1493"/>
      <c r="J577" s="813"/>
      <c r="K577" s="814"/>
      <c r="L577" s="1499"/>
      <c r="M577" s="1488"/>
      <c r="N577" s="1488"/>
      <c r="O577" s="1488"/>
      <c r="P577" s="1488"/>
      <c r="Q577" s="1489"/>
      <c r="R577" s="1489"/>
      <c r="S577" s="1489"/>
      <c r="T577" s="1489"/>
      <c r="U577" s="1489"/>
      <c r="V577" s="1489"/>
      <c r="W577" s="1489"/>
      <c r="X577" s="1489"/>
      <c r="Y577" s="1489"/>
      <c r="Z577" s="1489"/>
      <c r="AA577" s="1489"/>
      <c r="AB577" s="1489"/>
      <c r="AC577" s="1489"/>
      <c r="AD577" s="1489"/>
      <c r="AE577" s="1489"/>
      <c r="AF577" s="1489"/>
      <c r="AG577" s="1489"/>
      <c r="AH577" s="1489"/>
      <c r="AI577" s="1489"/>
      <c r="AJ577" s="1489"/>
      <c r="AK577" s="1489"/>
      <c r="AL577" s="1489"/>
      <c r="AM577" s="1489"/>
      <c r="AN577" s="1489"/>
      <c r="AO577" s="1489"/>
      <c r="AP577" s="1489"/>
      <c r="AQ577" s="1489"/>
      <c r="AR577" s="1488"/>
      <c r="AS577" s="1488"/>
      <c r="AT577" s="1488"/>
      <c r="AU577" s="1488"/>
      <c r="AV577" s="1488"/>
      <c r="AW577" s="1488"/>
      <c r="AX577" s="1488"/>
      <c r="AY577" s="1488"/>
    </row>
    <row r="578" spans="3:51" s="1502" customFormat="1">
      <c r="C578" s="1498"/>
      <c r="D578" s="1501"/>
      <c r="E578" s="1500"/>
      <c r="F578" s="814"/>
      <c r="G578" s="1494"/>
      <c r="H578" s="1493"/>
      <c r="I578" s="1493"/>
      <c r="J578" s="813"/>
      <c r="K578" s="814"/>
      <c r="L578" s="1499"/>
      <c r="M578" s="1488"/>
      <c r="N578" s="1488"/>
      <c r="O578" s="1488"/>
      <c r="P578" s="1488"/>
      <c r="Q578" s="1489"/>
      <c r="R578" s="1489"/>
      <c r="S578" s="1489"/>
      <c r="T578" s="1489"/>
      <c r="U578" s="1489"/>
      <c r="V578" s="1489"/>
      <c r="W578" s="1489"/>
      <c r="X578" s="1489"/>
      <c r="Y578" s="1489"/>
      <c r="Z578" s="1489"/>
      <c r="AA578" s="1489"/>
      <c r="AB578" s="1489"/>
      <c r="AC578" s="1489"/>
      <c r="AD578" s="1489"/>
      <c r="AE578" s="1489"/>
      <c r="AF578" s="1489"/>
      <c r="AG578" s="1489"/>
      <c r="AH578" s="1489"/>
      <c r="AI578" s="1489"/>
      <c r="AJ578" s="1489"/>
      <c r="AK578" s="1489"/>
      <c r="AL578" s="1489"/>
      <c r="AM578" s="1489"/>
      <c r="AN578" s="1489"/>
      <c r="AO578" s="1489"/>
      <c r="AP578" s="1489"/>
      <c r="AQ578" s="1489"/>
      <c r="AR578" s="1488"/>
      <c r="AS578" s="1488"/>
      <c r="AT578" s="1488"/>
      <c r="AU578" s="1488"/>
      <c r="AV578" s="1488"/>
      <c r="AW578" s="1488"/>
      <c r="AX578" s="1488"/>
      <c r="AY578" s="1488"/>
    </row>
    <row r="579" spans="3:51" s="1502" customFormat="1">
      <c r="C579" s="1498"/>
      <c r="D579" s="1501"/>
      <c r="E579" s="1500"/>
      <c r="F579" s="814"/>
      <c r="G579" s="1494"/>
      <c r="H579" s="1493"/>
      <c r="I579" s="1493"/>
      <c r="J579" s="813"/>
      <c r="K579" s="814"/>
      <c r="L579" s="1499"/>
      <c r="M579" s="1488"/>
      <c r="N579" s="1488"/>
      <c r="O579" s="1488"/>
      <c r="P579" s="1488"/>
      <c r="Q579" s="1489"/>
      <c r="R579" s="1489"/>
      <c r="S579" s="1489"/>
      <c r="T579" s="1489"/>
      <c r="U579" s="1489"/>
      <c r="V579" s="1489"/>
      <c r="W579" s="1489"/>
      <c r="X579" s="1489"/>
      <c r="Y579" s="1489"/>
      <c r="Z579" s="1489"/>
      <c r="AA579" s="1489"/>
      <c r="AB579" s="1489"/>
      <c r="AC579" s="1489"/>
      <c r="AD579" s="1489"/>
      <c r="AE579" s="1489"/>
      <c r="AF579" s="1489"/>
      <c r="AG579" s="1489"/>
      <c r="AH579" s="1489"/>
      <c r="AI579" s="1489"/>
      <c r="AJ579" s="1489"/>
      <c r="AK579" s="1489"/>
      <c r="AL579" s="1489"/>
      <c r="AM579" s="1489"/>
      <c r="AN579" s="1489"/>
      <c r="AO579" s="1489"/>
      <c r="AP579" s="1489"/>
      <c r="AQ579" s="1489"/>
      <c r="AR579" s="1488"/>
      <c r="AS579" s="1488"/>
      <c r="AT579" s="1488"/>
      <c r="AU579" s="1488"/>
      <c r="AV579" s="1488"/>
      <c r="AW579" s="1488"/>
      <c r="AX579" s="1488"/>
      <c r="AY579" s="1488"/>
    </row>
    <row r="580" spans="3:51" s="1502" customFormat="1">
      <c r="C580" s="1498"/>
      <c r="D580" s="1501"/>
      <c r="E580" s="1500"/>
      <c r="F580" s="814"/>
      <c r="G580" s="1494"/>
      <c r="H580" s="1493"/>
      <c r="I580" s="1493"/>
      <c r="J580" s="813"/>
      <c r="K580" s="814"/>
      <c r="L580" s="1499"/>
      <c r="M580" s="1488"/>
      <c r="N580" s="1488"/>
      <c r="O580" s="1488"/>
      <c r="P580" s="1488"/>
      <c r="Q580" s="1489"/>
      <c r="R580" s="1489"/>
      <c r="S580" s="1489"/>
      <c r="T580" s="1489"/>
      <c r="U580" s="1489"/>
      <c r="V580" s="1489"/>
      <c r="W580" s="1489"/>
      <c r="X580" s="1489"/>
      <c r="Y580" s="1489"/>
      <c r="Z580" s="1489"/>
      <c r="AA580" s="1489"/>
      <c r="AB580" s="1489"/>
      <c r="AC580" s="1489"/>
      <c r="AD580" s="1489"/>
      <c r="AE580" s="1489"/>
      <c r="AF580" s="1489"/>
      <c r="AG580" s="1489"/>
      <c r="AH580" s="1489"/>
      <c r="AI580" s="1489"/>
      <c r="AJ580" s="1489"/>
      <c r="AK580" s="1489"/>
      <c r="AL580" s="1489"/>
      <c r="AM580" s="1489"/>
      <c r="AN580" s="1489"/>
      <c r="AO580" s="1489"/>
      <c r="AP580" s="1489"/>
      <c r="AQ580" s="1489"/>
      <c r="AR580" s="1488"/>
      <c r="AS580" s="1488"/>
      <c r="AT580" s="1488"/>
      <c r="AU580" s="1488"/>
      <c r="AV580" s="1488"/>
      <c r="AW580" s="1488"/>
      <c r="AX580" s="1488"/>
      <c r="AY580" s="1488"/>
    </row>
    <row r="581" spans="3:51" s="1502" customFormat="1">
      <c r="C581" s="1498"/>
      <c r="D581" s="1501"/>
      <c r="E581" s="1500"/>
      <c r="F581" s="814"/>
      <c r="G581" s="1494"/>
      <c r="H581" s="1493"/>
      <c r="I581" s="1493"/>
      <c r="J581" s="813"/>
      <c r="K581" s="814"/>
      <c r="L581" s="1499"/>
      <c r="M581" s="1488"/>
      <c r="N581" s="1488"/>
      <c r="O581" s="1488"/>
      <c r="P581" s="1488"/>
      <c r="Q581" s="1489"/>
      <c r="R581" s="1489"/>
      <c r="S581" s="1489"/>
      <c r="T581" s="1489"/>
      <c r="U581" s="1489"/>
      <c r="V581" s="1489"/>
      <c r="W581" s="1489"/>
      <c r="X581" s="1489"/>
      <c r="Y581" s="1489"/>
      <c r="Z581" s="1489"/>
      <c r="AA581" s="1489"/>
      <c r="AB581" s="1489"/>
      <c r="AC581" s="1489"/>
      <c r="AD581" s="1489"/>
      <c r="AE581" s="1489"/>
      <c r="AF581" s="1489"/>
      <c r="AG581" s="1489"/>
      <c r="AH581" s="1489"/>
      <c r="AI581" s="1489"/>
      <c r="AJ581" s="1489"/>
      <c r="AK581" s="1489"/>
      <c r="AL581" s="1489"/>
      <c r="AM581" s="1489"/>
      <c r="AN581" s="1489"/>
      <c r="AO581" s="1489"/>
      <c r="AP581" s="1489"/>
      <c r="AQ581" s="1489"/>
      <c r="AR581" s="1488"/>
      <c r="AS581" s="1488"/>
      <c r="AT581" s="1488"/>
      <c r="AU581" s="1488"/>
      <c r="AV581" s="1488"/>
      <c r="AW581" s="1488"/>
      <c r="AX581" s="1488"/>
      <c r="AY581" s="1488"/>
    </row>
    <row r="582" spans="3:51" s="1502" customFormat="1">
      <c r="C582" s="1498"/>
      <c r="D582" s="1501"/>
      <c r="E582" s="1500"/>
      <c r="F582" s="814"/>
      <c r="G582" s="1494"/>
      <c r="H582" s="1493"/>
      <c r="I582" s="1493"/>
      <c r="J582" s="813"/>
      <c r="K582" s="814"/>
      <c r="L582" s="1499"/>
      <c r="M582" s="1488"/>
      <c r="N582" s="1488"/>
      <c r="O582" s="1488"/>
      <c r="P582" s="1488"/>
      <c r="Q582" s="1489"/>
      <c r="R582" s="1489"/>
      <c r="S582" s="1489"/>
      <c r="T582" s="1489"/>
      <c r="U582" s="1489"/>
      <c r="V582" s="1489"/>
      <c r="W582" s="1489"/>
      <c r="X582" s="1489"/>
      <c r="Y582" s="1489"/>
      <c r="Z582" s="1489"/>
      <c r="AA582" s="1489"/>
      <c r="AB582" s="1489"/>
      <c r="AC582" s="1489"/>
      <c r="AD582" s="1489"/>
      <c r="AE582" s="1489"/>
      <c r="AF582" s="1489"/>
      <c r="AG582" s="1489"/>
      <c r="AH582" s="1489"/>
      <c r="AI582" s="1489"/>
      <c r="AJ582" s="1489"/>
      <c r="AK582" s="1489"/>
      <c r="AL582" s="1489"/>
      <c r="AM582" s="1489"/>
      <c r="AN582" s="1489"/>
      <c r="AO582" s="1489"/>
      <c r="AP582" s="1489"/>
      <c r="AQ582" s="1489"/>
      <c r="AR582" s="1488"/>
      <c r="AS582" s="1488"/>
      <c r="AT582" s="1488"/>
      <c r="AU582" s="1488"/>
      <c r="AV582" s="1488"/>
      <c r="AW582" s="1488"/>
      <c r="AX582" s="1488"/>
      <c r="AY582" s="1488"/>
    </row>
    <row r="583" spans="3:51" s="1502" customFormat="1">
      <c r="C583" s="1498"/>
      <c r="D583" s="1501"/>
      <c r="E583" s="1500"/>
      <c r="F583" s="814"/>
      <c r="G583" s="1494"/>
      <c r="H583" s="1493"/>
      <c r="I583" s="1493"/>
      <c r="J583" s="813"/>
      <c r="K583" s="814"/>
      <c r="L583" s="1499"/>
      <c r="M583" s="1488"/>
      <c r="N583" s="1488"/>
      <c r="O583" s="1488"/>
      <c r="P583" s="1488"/>
      <c r="Q583" s="1489"/>
      <c r="R583" s="1489"/>
      <c r="S583" s="1489"/>
      <c r="T583" s="1489"/>
      <c r="U583" s="1489"/>
      <c r="V583" s="1489"/>
      <c r="W583" s="1489"/>
      <c r="X583" s="1489"/>
      <c r="Y583" s="1489"/>
      <c r="Z583" s="1489"/>
      <c r="AA583" s="1489"/>
      <c r="AB583" s="1489"/>
      <c r="AC583" s="1489"/>
      <c r="AD583" s="1489"/>
      <c r="AE583" s="1489"/>
      <c r="AF583" s="1489"/>
      <c r="AG583" s="1489"/>
      <c r="AH583" s="1489"/>
      <c r="AI583" s="1489"/>
      <c r="AJ583" s="1489"/>
      <c r="AK583" s="1489"/>
      <c r="AL583" s="1489"/>
      <c r="AM583" s="1489"/>
      <c r="AN583" s="1489"/>
      <c r="AO583" s="1489"/>
      <c r="AP583" s="1489"/>
      <c r="AQ583" s="1489"/>
      <c r="AR583" s="1488"/>
      <c r="AS583" s="1488"/>
      <c r="AT583" s="1488"/>
      <c r="AU583" s="1488"/>
      <c r="AV583" s="1488"/>
      <c r="AW583" s="1488"/>
      <c r="AX583" s="1488"/>
      <c r="AY583" s="1488"/>
    </row>
    <row r="584" spans="3:51" s="1502" customFormat="1">
      <c r="C584" s="1498"/>
      <c r="D584" s="1501"/>
      <c r="E584" s="1500"/>
      <c r="F584" s="814"/>
      <c r="G584" s="1494"/>
      <c r="H584" s="1493"/>
      <c r="I584" s="1493"/>
      <c r="J584" s="813"/>
      <c r="K584" s="814"/>
      <c r="L584" s="1499"/>
      <c r="M584" s="1488"/>
      <c r="N584" s="1488"/>
      <c r="O584" s="1488"/>
      <c r="P584" s="1488"/>
      <c r="Q584" s="1489"/>
      <c r="R584" s="1489"/>
      <c r="S584" s="1489"/>
      <c r="T584" s="1489"/>
      <c r="U584" s="1489"/>
      <c r="V584" s="1489"/>
      <c r="W584" s="1489"/>
      <c r="X584" s="1489"/>
      <c r="Y584" s="1489"/>
      <c r="Z584" s="1489"/>
      <c r="AA584" s="1489"/>
      <c r="AB584" s="1489"/>
      <c r="AC584" s="1489"/>
      <c r="AD584" s="1489"/>
      <c r="AE584" s="1489"/>
      <c r="AF584" s="1489"/>
      <c r="AG584" s="1489"/>
      <c r="AH584" s="1489"/>
      <c r="AI584" s="1489"/>
      <c r="AJ584" s="1489"/>
      <c r="AK584" s="1489"/>
      <c r="AL584" s="1489"/>
      <c r="AM584" s="1489"/>
      <c r="AN584" s="1489"/>
      <c r="AO584" s="1489"/>
      <c r="AP584" s="1489"/>
      <c r="AQ584" s="1489"/>
      <c r="AR584" s="1488"/>
      <c r="AS584" s="1488"/>
      <c r="AT584" s="1488"/>
      <c r="AU584" s="1488"/>
      <c r="AV584" s="1488"/>
      <c r="AW584" s="1488"/>
      <c r="AX584" s="1488"/>
      <c r="AY584" s="1488"/>
    </row>
    <row r="585" spans="3:51" s="1502" customFormat="1">
      <c r="C585" s="1498"/>
      <c r="D585" s="1501"/>
      <c r="E585" s="1500"/>
      <c r="F585" s="814"/>
      <c r="G585" s="1494"/>
      <c r="H585" s="1493"/>
      <c r="I585" s="1493"/>
      <c r="J585" s="813"/>
      <c r="K585" s="814"/>
      <c r="L585" s="1499"/>
      <c r="M585" s="1488"/>
      <c r="N585" s="1488"/>
      <c r="O585" s="1488"/>
      <c r="P585" s="1488"/>
      <c r="Q585" s="1489"/>
      <c r="R585" s="1489"/>
      <c r="S585" s="1489"/>
      <c r="T585" s="1489"/>
      <c r="U585" s="1489"/>
      <c r="V585" s="1489"/>
      <c r="W585" s="1489"/>
      <c r="X585" s="1489"/>
      <c r="Y585" s="1489"/>
      <c r="Z585" s="1489"/>
      <c r="AA585" s="1489"/>
      <c r="AB585" s="1489"/>
      <c r="AC585" s="1489"/>
      <c r="AD585" s="1489"/>
      <c r="AE585" s="1489"/>
      <c r="AF585" s="1489"/>
      <c r="AG585" s="1489"/>
      <c r="AH585" s="1489"/>
      <c r="AI585" s="1489"/>
      <c r="AJ585" s="1489"/>
      <c r="AK585" s="1489"/>
      <c r="AL585" s="1489"/>
      <c r="AM585" s="1489"/>
      <c r="AN585" s="1489"/>
      <c r="AO585" s="1489"/>
      <c r="AP585" s="1489"/>
      <c r="AQ585" s="1489"/>
      <c r="AR585" s="1488"/>
      <c r="AS585" s="1488"/>
      <c r="AT585" s="1488"/>
      <c r="AU585" s="1488"/>
      <c r="AV585" s="1488"/>
      <c r="AW585" s="1488"/>
      <c r="AX585" s="1488"/>
      <c r="AY585" s="1488"/>
    </row>
    <row r="586" spans="3:51" s="1502" customFormat="1">
      <c r="C586" s="1498"/>
      <c r="D586" s="1501"/>
      <c r="E586" s="1500"/>
      <c r="F586" s="814"/>
      <c r="G586" s="1494"/>
      <c r="H586" s="1493"/>
      <c r="I586" s="1493"/>
      <c r="J586" s="813"/>
      <c r="K586" s="814"/>
      <c r="L586" s="1499"/>
      <c r="M586" s="1488"/>
      <c r="N586" s="1488"/>
      <c r="O586" s="1488"/>
      <c r="P586" s="1488"/>
      <c r="Q586" s="1489"/>
      <c r="R586" s="1489"/>
      <c r="S586" s="1489"/>
      <c r="T586" s="1489"/>
      <c r="U586" s="1489"/>
      <c r="V586" s="1489"/>
      <c r="W586" s="1489"/>
      <c r="X586" s="1489"/>
      <c r="Y586" s="1489"/>
      <c r="Z586" s="1489"/>
      <c r="AA586" s="1489"/>
      <c r="AB586" s="1489"/>
      <c r="AC586" s="1489"/>
      <c r="AD586" s="1489"/>
      <c r="AE586" s="1489"/>
      <c r="AF586" s="1489"/>
      <c r="AG586" s="1489"/>
      <c r="AH586" s="1489"/>
      <c r="AI586" s="1489"/>
      <c r="AJ586" s="1489"/>
      <c r="AK586" s="1489"/>
      <c r="AL586" s="1489"/>
      <c r="AM586" s="1489"/>
      <c r="AN586" s="1489"/>
      <c r="AO586" s="1489"/>
      <c r="AP586" s="1489"/>
      <c r="AQ586" s="1489"/>
      <c r="AR586" s="1488"/>
      <c r="AS586" s="1488"/>
      <c r="AT586" s="1488"/>
      <c r="AU586" s="1488"/>
      <c r="AV586" s="1488"/>
      <c r="AW586" s="1488"/>
      <c r="AX586" s="1488"/>
      <c r="AY586" s="1488"/>
    </row>
    <row r="587" spans="3:51" s="1502" customFormat="1">
      <c r="C587" s="1498"/>
      <c r="D587" s="1501"/>
      <c r="E587" s="1500"/>
      <c r="F587" s="814"/>
      <c r="G587" s="1494"/>
      <c r="H587" s="1493"/>
      <c r="I587" s="1493"/>
      <c r="J587" s="813"/>
      <c r="K587" s="814"/>
      <c r="L587" s="1499"/>
      <c r="M587" s="1488"/>
      <c r="N587" s="1488"/>
      <c r="O587" s="1488"/>
      <c r="P587" s="1488"/>
      <c r="Q587" s="1489"/>
      <c r="R587" s="1489"/>
      <c r="S587" s="1489"/>
      <c r="T587" s="1489"/>
      <c r="U587" s="1489"/>
      <c r="V587" s="1489"/>
      <c r="W587" s="1489"/>
      <c r="X587" s="1489"/>
      <c r="Y587" s="1489"/>
      <c r="Z587" s="1489"/>
      <c r="AA587" s="1489"/>
      <c r="AB587" s="1489"/>
      <c r="AC587" s="1489"/>
      <c r="AD587" s="1489"/>
      <c r="AE587" s="1489"/>
      <c r="AF587" s="1489"/>
      <c r="AG587" s="1489"/>
      <c r="AH587" s="1489"/>
      <c r="AI587" s="1489"/>
      <c r="AJ587" s="1489"/>
      <c r="AK587" s="1489"/>
      <c r="AL587" s="1489"/>
      <c r="AM587" s="1489"/>
      <c r="AN587" s="1489"/>
      <c r="AO587" s="1489"/>
      <c r="AP587" s="1489"/>
      <c r="AQ587" s="1489"/>
      <c r="AR587" s="1488"/>
      <c r="AS587" s="1488"/>
      <c r="AT587" s="1488"/>
      <c r="AU587" s="1488"/>
      <c r="AV587" s="1488"/>
      <c r="AW587" s="1488"/>
      <c r="AX587" s="1488"/>
      <c r="AY587" s="1488"/>
    </row>
    <row r="588" spans="3:51" s="1502" customFormat="1">
      <c r="C588" s="1498"/>
      <c r="D588" s="1501"/>
      <c r="E588" s="1500"/>
      <c r="F588" s="814"/>
      <c r="G588" s="1494"/>
      <c r="H588" s="1493"/>
      <c r="I588" s="1493"/>
      <c r="J588" s="813"/>
      <c r="K588" s="814"/>
      <c r="L588" s="1499"/>
      <c r="M588" s="1488"/>
      <c r="N588" s="1488"/>
      <c r="O588" s="1488"/>
      <c r="P588" s="1488"/>
      <c r="Q588" s="1489"/>
      <c r="R588" s="1489"/>
      <c r="S588" s="1489"/>
      <c r="T588" s="1489"/>
      <c r="U588" s="1489"/>
      <c r="V588" s="1489"/>
      <c r="W588" s="1489"/>
      <c r="X588" s="1489"/>
      <c r="Y588" s="1489"/>
      <c r="Z588" s="1489"/>
      <c r="AA588" s="1489"/>
      <c r="AB588" s="1489"/>
      <c r="AC588" s="1489"/>
      <c r="AD588" s="1489"/>
      <c r="AE588" s="1489"/>
      <c r="AF588" s="1489"/>
      <c r="AG588" s="1489"/>
      <c r="AH588" s="1489"/>
      <c r="AI588" s="1489"/>
      <c r="AJ588" s="1489"/>
      <c r="AK588" s="1489"/>
      <c r="AL588" s="1489"/>
      <c r="AM588" s="1489"/>
      <c r="AN588" s="1489"/>
      <c r="AO588" s="1489"/>
      <c r="AP588" s="1489"/>
      <c r="AQ588" s="1489"/>
      <c r="AR588" s="1488"/>
      <c r="AS588" s="1488"/>
      <c r="AT588" s="1488"/>
      <c r="AU588" s="1488"/>
      <c r="AV588" s="1488"/>
      <c r="AW588" s="1488"/>
      <c r="AX588" s="1488"/>
      <c r="AY588" s="1488"/>
    </row>
    <row r="589" spans="3:51" s="1502" customFormat="1">
      <c r="C589" s="1498"/>
      <c r="D589" s="1501"/>
      <c r="E589" s="1500"/>
      <c r="F589" s="814"/>
      <c r="G589" s="1494"/>
      <c r="H589" s="1493"/>
      <c r="I589" s="1493"/>
      <c r="J589" s="813"/>
      <c r="K589" s="814"/>
      <c r="L589" s="1499"/>
      <c r="M589" s="1488"/>
      <c r="N589" s="1488"/>
      <c r="O589" s="1488"/>
      <c r="P589" s="1488"/>
      <c r="Q589" s="1489"/>
      <c r="R589" s="1489"/>
      <c r="S589" s="1489"/>
      <c r="T589" s="1489"/>
      <c r="U589" s="1489"/>
      <c r="V589" s="1489"/>
      <c r="W589" s="1489"/>
      <c r="X589" s="1489"/>
      <c r="Y589" s="1489"/>
      <c r="Z589" s="1489"/>
      <c r="AA589" s="1489"/>
      <c r="AB589" s="1489"/>
      <c r="AC589" s="1489"/>
      <c r="AD589" s="1489"/>
      <c r="AE589" s="1489"/>
      <c r="AF589" s="1489"/>
      <c r="AG589" s="1489"/>
      <c r="AH589" s="1489"/>
      <c r="AI589" s="1489"/>
      <c r="AJ589" s="1489"/>
      <c r="AK589" s="1489"/>
      <c r="AL589" s="1489"/>
      <c r="AM589" s="1489"/>
      <c r="AN589" s="1489"/>
      <c r="AO589" s="1489"/>
      <c r="AP589" s="1489"/>
      <c r="AQ589" s="1489"/>
      <c r="AR589" s="1488"/>
      <c r="AS589" s="1488"/>
      <c r="AT589" s="1488"/>
      <c r="AU589" s="1488"/>
      <c r="AV589" s="1488"/>
      <c r="AW589" s="1488"/>
      <c r="AX589" s="1488"/>
      <c r="AY589" s="1488"/>
    </row>
    <row r="590" spans="3:51" s="1502" customFormat="1">
      <c r="C590" s="1498"/>
      <c r="D590" s="1501"/>
      <c r="E590" s="1500"/>
      <c r="F590" s="814"/>
      <c r="G590" s="1494"/>
      <c r="H590" s="1493"/>
      <c r="I590" s="1493"/>
      <c r="J590" s="813"/>
      <c r="K590" s="814"/>
      <c r="L590" s="1499"/>
      <c r="M590" s="1488"/>
      <c r="N590" s="1488"/>
      <c r="O590" s="1488"/>
      <c r="P590" s="1488"/>
      <c r="Q590" s="1489"/>
      <c r="R590" s="1489"/>
      <c r="S590" s="1489"/>
      <c r="T590" s="1489"/>
      <c r="U590" s="1489"/>
      <c r="V590" s="1489"/>
      <c r="W590" s="1489"/>
      <c r="X590" s="1489"/>
      <c r="Y590" s="1489"/>
      <c r="Z590" s="1489"/>
      <c r="AA590" s="1489"/>
      <c r="AB590" s="1489"/>
      <c r="AC590" s="1489"/>
      <c r="AD590" s="1489"/>
      <c r="AE590" s="1489"/>
      <c r="AF590" s="1489"/>
      <c r="AG590" s="1489"/>
      <c r="AH590" s="1489"/>
      <c r="AI590" s="1489"/>
      <c r="AJ590" s="1489"/>
      <c r="AK590" s="1489"/>
      <c r="AL590" s="1489"/>
      <c r="AM590" s="1489"/>
      <c r="AN590" s="1489"/>
      <c r="AO590" s="1489"/>
      <c r="AP590" s="1489"/>
      <c r="AQ590" s="1489"/>
      <c r="AR590" s="1488"/>
      <c r="AS590" s="1488"/>
      <c r="AT590" s="1488"/>
      <c r="AU590" s="1488"/>
      <c r="AV590" s="1488"/>
      <c r="AW590" s="1488"/>
      <c r="AX590" s="1488"/>
      <c r="AY590" s="1488"/>
    </row>
    <row r="591" spans="3:51" s="1502" customFormat="1">
      <c r="C591" s="1498"/>
      <c r="D591" s="1501"/>
      <c r="E591" s="1500"/>
      <c r="F591" s="814"/>
      <c r="G591" s="1494"/>
      <c r="H591" s="1493"/>
      <c r="I591" s="1493"/>
      <c r="J591" s="813"/>
      <c r="K591" s="814"/>
      <c r="L591" s="1499"/>
      <c r="M591" s="1488"/>
      <c r="N591" s="1488"/>
      <c r="O591" s="1488"/>
      <c r="P591" s="1488"/>
      <c r="Q591" s="1489"/>
      <c r="R591" s="1489"/>
      <c r="S591" s="1489"/>
      <c r="T591" s="1489"/>
      <c r="U591" s="1489"/>
      <c r="V591" s="1489"/>
      <c r="W591" s="1489"/>
      <c r="X591" s="1489"/>
      <c r="Y591" s="1489"/>
      <c r="Z591" s="1489"/>
      <c r="AA591" s="1489"/>
      <c r="AB591" s="1489"/>
      <c r="AC591" s="1489"/>
      <c r="AD591" s="1489"/>
      <c r="AE591" s="1489"/>
      <c r="AF591" s="1489"/>
      <c r="AG591" s="1489"/>
      <c r="AH591" s="1489"/>
      <c r="AI591" s="1489"/>
      <c r="AJ591" s="1489"/>
      <c r="AK591" s="1489"/>
      <c r="AL591" s="1489"/>
      <c r="AM591" s="1489"/>
      <c r="AN591" s="1489"/>
      <c r="AO591" s="1489"/>
      <c r="AP591" s="1489"/>
      <c r="AQ591" s="1489"/>
      <c r="AR591" s="1488"/>
      <c r="AS591" s="1488"/>
      <c r="AT591" s="1488"/>
      <c r="AU591" s="1488"/>
      <c r="AV591" s="1488"/>
      <c r="AW591" s="1488"/>
      <c r="AX591" s="1488"/>
      <c r="AY591" s="1488"/>
    </row>
    <row r="592" spans="3:51" s="1502" customFormat="1">
      <c r="C592" s="1498"/>
      <c r="D592" s="1501"/>
      <c r="E592" s="1500"/>
      <c r="F592" s="814"/>
      <c r="G592" s="1494"/>
      <c r="H592" s="1493"/>
      <c r="I592" s="1493"/>
      <c r="J592" s="813"/>
      <c r="K592" s="814"/>
      <c r="L592" s="1499"/>
      <c r="M592" s="1488"/>
      <c r="N592" s="1488"/>
      <c r="O592" s="1488"/>
      <c r="P592" s="1488"/>
      <c r="Q592" s="1489"/>
      <c r="R592" s="1489"/>
      <c r="S592" s="1489"/>
      <c r="T592" s="1489"/>
      <c r="U592" s="1489"/>
      <c r="V592" s="1489"/>
      <c r="W592" s="1489"/>
      <c r="X592" s="1489"/>
      <c r="Y592" s="1489"/>
      <c r="Z592" s="1489"/>
      <c r="AA592" s="1489"/>
      <c r="AB592" s="1489"/>
      <c r="AC592" s="1489"/>
      <c r="AD592" s="1489"/>
      <c r="AE592" s="1489"/>
      <c r="AF592" s="1489"/>
      <c r="AG592" s="1489"/>
      <c r="AH592" s="1489"/>
      <c r="AI592" s="1489"/>
      <c r="AJ592" s="1489"/>
      <c r="AK592" s="1489"/>
      <c r="AL592" s="1489"/>
      <c r="AM592" s="1489"/>
      <c r="AN592" s="1489"/>
      <c r="AO592" s="1489"/>
      <c r="AP592" s="1489"/>
      <c r="AQ592" s="1489"/>
      <c r="AR592" s="1488"/>
      <c r="AS592" s="1488"/>
      <c r="AT592" s="1488"/>
      <c r="AU592" s="1488"/>
      <c r="AV592" s="1488"/>
      <c r="AW592" s="1488"/>
      <c r="AX592" s="1488"/>
      <c r="AY592" s="1488"/>
    </row>
    <row r="593" spans="3:51" s="1502" customFormat="1">
      <c r="C593" s="1498"/>
      <c r="D593" s="1501"/>
      <c r="E593" s="1500"/>
      <c r="F593" s="814"/>
      <c r="G593" s="1494"/>
      <c r="H593" s="1493"/>
      <c r="I593" s="1493"/>
      <c r="J593" s="813"/>
      <c r="K593" s="814"/>
      <c r="L593" s="1499"/>
      <c r="M593" s="1488"/>
      <c r="N593" s="1488"/>
      <c r="O593" s="1488"/>
      <c r="P593" s="1488"/>
      <c r="Q593" s="1489"/>
      <c r="R593" s="1489"/>
      <c r="S593" s="1489"/>
      <c r="T593" s="1489"/>
      <c r="U593" s="1489"/>
      <c r="V593" s="1489"/>
      <c r="W593" s="1489"/>
      <c r="X593" s="1489"/>
      <c r="Y593" s="1489"/>
      <c r="Z593" s="1489"/>
      <c r="AA593" s="1489"/>
      <c r="AB593" s="1489"/>
      <c r="AC593" s="1489"/>
      <c r="AD593" s="1489"/>
      <c r="AE593" s="1489"/>
      <c r="AF593" s="1489"/>
      <c r="AG593" s="1489"/>
      <c r="AH593" s="1489"/>
      <c r="AI593" s="1489"/>
      <c r="AJ593" s="1489"/>
      <c r="AK593" s="1489"/>
      <c r="AL593" s="1489"/>
      <c r="AM593" s="1489"/>
      <c r="AN593" s="1489"/>
      <c r="AO593" s="1489"/>
      <c r="AP593" s="1489"/>
      <c r="AQ593" s="1489"/>
      <c r="AR593" s="1488"/>
      <c r="AS593" s="1488"/>
      <c r="AT593" s="1488"/>
      <c r="AU593" s="1488"/>
      <c r="AV593" s="1488"/>
      <c r="AW593" s="1488"/>
      <c r="AX593" s="1488"/>
      <c r="AY593" s="1488"/>
    </row>
    <row r="594" spans="3:51" s="1502" customFormat="1">
      <c r="C594" s="1498"/>
      <c r="D594" s="1501"/>
      <c r="E594" s="1500"/>
      <c r="F594" s="814"/>
      <c r="G594" s="1494"/>
      <c r="H594" s="1493"/>
      <c r="I594" s="1493"/>
      <c r="J594" s="813"/>
      <c r="K594" s="814"/>
      <c r="L594" s="1499"/>
      <c r="M594" s="1488"/>
      <c r="N594" s="1488"/>
      <c r="O594" s="1488"/>
      <c r="P594" s="1488"/>
      <c r="Q594" s="1489"/>
      <c r="R594" s="1489"/>
      <c r="S594" s="1489"/>
      <c r="T594" s="1489"/>
      <c r="U594" s="1489"/>
      <c r="V594" s="1489"/>
      <c r="W594" s="1489"/>
      <c r="X594" s="1489"/>
      <c r="Y594" s="1489"/>
      <c r="Z594" s="1489"/>
      <c r="AA594" s="1489"/>
      <c r="AB594" s="1489"/>
      <c r="AC594" s="1489"/>
      <c r="AD594" s="1489"/>
      <c r="AE594" s="1489"/>
      <c r="AF594" s="1489"/>
      <c r="AG594" s="1489"/>
      <c r="AH594" s="1489"/>
      <c r="AI594" s="1489"/>
      <c r="AJ594" s="1489"/>
      <c r="AK594" s="1489"/>
      <c r="AL594" s="1489"/>
      <c r="AM594" s="1489"/>
      <c r="AN594" s="1489"/>
      <c r="AO594" s="1489"/>
      <c r="AP594" s="1489"/>
      <c r="AQ594" s="1489"/>
      <c r="AR594" s="1488"/>
      <c r="AS594" s="1488"/>
      <c r="AT594" s="1488"/>
      <c r="AU594" s="1488"/>
      <c r="AV594" s="1488"/>
      <c r="AW594" s="1488"/>
      <c r="AX594" s="1488"/>
      <c r="AY594" s="1488"/>
    </row>
    <row r="595" spans="3:51" s="1502" customFormat="1">
      <c r="C595" s="1498"/>
      <c r="D595" s="1501"/>
      <c r="E595" s="1500"/>
      <c r="F595" s="814"/>
      <c r="G595" s="1494"/>
      <c r="H595" s="1493"/>
      <c r="I595" s="1493"/>
      <c r="J595" s="813"/>
      <c r="K595" s="814"/>
      <c r="L595" s="1499"/>
      <c r="M595" s="1488"/>
      <c r="N595" s="1488"/>
      <c r="O595" s="1488"/>
      <c r="P595" s="1488"/>
      <c r="Q595" s="1489"/>
      <c r="R595" s="1489"/>
      <c r="S595" s="1489"/>
      <c r="T595" s="1489"/>
      <c r="U595" s="1489"/>
      <c r="V595" s="1489"/>
      <c r="W595" s="1489"/>
      <c r="X595" s="1489"/>
      <c r="Y595" s="1489"/>
      <c r="Z595" s="1489"/>
      <c r="AA595" s="1489"/>
      <c r="AB595" s="1489"/>
      <c r="AC595" s="1489"/>
      <c r="AD595" s="1489"/>
      <c r="AE595" s="1489"/>
      <c r="AF595" s="1489"/>
      <c r="AG595" s="1489"/>
      <c r="AH595" s="1489"/>
      <c r="AI595" s="1489"/>
      <c r="AJ595" s="1489"/>
      <c r="AK595" s="1489"/>
      <c r="AL595" s="1489"/>
      <c r="AM595" s="1489"/>
      <c r="AN595" s="1489"/>
      <c r="AO595" s="1489"/>
      <c r="AP595" s="1489"/>
      <c r="AQ595" s="1489"/>
      <c r="AR595" s="1488"/>
      <c r="AS595" s="1488"/>
      <c r="AT595" s="1488"/>
      <c r="AU595" s="1488"/>
      <c r="AV595" s="1488"/>
      <c r="AW595" s="1488"/>
      <c r="AX595" s="1488"/>
      <c r="AY595" s="1488"/>
    </row>
    <row r="596" spans="3:51" s="1502" customFormat="1">
      <c r="C596" s="1498"/>
      <c r="D596" s="1501"/>
      <c r="E596" s="1500"/>
      <c r="F596" s="814"/>
      <c r="G596" s="1494"/>
      <c r="H596" s="1493"/>
      <c r="I596" s="1493"/>
      <c r="J596" s="813"/>
      <c r="K596" s="814"/>
      <c r="L596" s="1499"/>
      <c r="M596" s="1488"/>
      <c r="N596" s="1488"/>
      <c r="O596" s="1488"/>
      <c r="P596" s="1488"/>
      <c r="Q596" s="1489"/>
      <c r="R596" s="1489"/>
      <c r="S596" s="1489"/>
      <c r="T596" s="1489"/>
      <c r="U596" s="1489"/>
      <c r="V596" s="1489"/>
      <c r="W596" s="1489"/>
      <c r="X596" s="1489"/>
      <c r="Y596" s="1489"/>
      <c r="Z596" s="1489"/>
      <c r="AA596" s="1489"/>
      <c r="AB596" s="1489"/>
      <c r="AC596" s="1489"/>
      <c r="AD596" s="1489"/>
      <c r="AE596" s="1489"/>
      <c r="AF596" s="1489"/>
      <c r="AG596" s="1489"/>
      <c r="AH596" s="1489"/>
      <c r="AI596" s="1489"/>
      <c r="AJ596" s="1489"/>
      <c r="AK596" s="1489"/>
      <c r="AL596" s="1489"/>
      <c r="AM596" s="1489"/>
      <c r="AN596" s="1489"/>
      <c r="AO596" s="1489"/>
      <c r="AP596" s="1489"/>
      <c r="AQ596" s="1489"/>
      <c r="AR596" s="1488"/>
      <c r="AS596" s="1488"/>
      <c r="AT596" s="1488"/>
      <c r="AU596" s="1488"/>
      <c r="AV596" s="1488"/>
      <c r="AW596" s="1488"/>
      <c r="AX596" s="1488"/>
      <c r="AY596" s="1488"/>
    </row>
    <row r="597" spans="3:51" s="1502" customFormat="1">
      <c r="C597" s="1498"/>
      <c r="D597" s="1501"/>
      <c r="E597" s="1500"/>
      <c r="F597" s="814"/>
      <c r="G597" s="1494"/>
      <c r="H597" s="1493"/>
      <c r="I597" s="1493"/>
      <c r="J597" s="813"/>
      <c r="K597" s="814"/>
      <c r="L597" s="1499"/>
      <c r="M597" s="1488"/>
      <c r="N597" s="1488"/>
      <c r="O597" s="1488"/>
      <c r="P597" s="1488"/>
      <c r="Q597" s="1489"/>
      <c r="R597" s="1489"/>
      <c r="S597" s="1489"/>
      <c r="T597" s="1489"/>
      <c r="U597" s="1489"/>
      <c r="V597" s="1489"/>
      <c r="W597" s="1489"/>
      <c r="X597" s="1489"/>
      <c r="Y597" s="1489"/>
      <c r="Z597" s="1489"/>
      <c r="AA597" s="1489"/>
      <c r="AB597" s="1489"/>
      <c r="AC597" s="1489"/>
      <c r="AD597" s="1489"/>
      <c r="AE597" s="1489"/>
      <c r="AF597" s="1489"/>
      <c r="AG597" s="1489"/>
      <c r="AH597" s="1489"/>
      <c r="AI597" s="1489"/>
      <c r="AJ597" s="1489"/>
      <c r="AK597" s="1489"/>
      <c r="AL597" s="1489"/>
      <c r="AM597" s="1489"/>
      <c r="AN597" s="1489"/>
      <c r="AO597" s="1489"/>
      <c r="AP597" s="1489"/>
      <c r="AQ597" s="1489"/>
      <c r="AR597" s="1488"/>
      <c r="AS597" s="1488"/>
      <c r="AT597" s="1488"/>
      <c r="AU597" s="1488"/>
      <c r="AV597" s="1488"/>
      <c r="AW597" s="1488"/>
      <c r="AX597" s="1488"/>
      <c r="AY597" s="1488"/>
    </row>
    <row r="598" spans="3:51" s="1502" customFormat="1">
      <c r="C598" s="1498"/>
      <c r="D598" s="1501"/>
      <c r="E598" s="1500"/>
      <c r="F598" s="814"/>
      <c r="G598" s="1494"/>
      <c r="H598" s="1493"/>
      <c r="I598" s="1493"/>
      <c r="J598" s="813"/>
      <c r="K598" s="814"/>
      <c r="L598" s="1499"/>
      <c r="M598" s="1488"/>
      <c r="N598" s="1488"/>
      <c r="O598" s="1488"/>
      <c r="P598" s="1488"/>
      <c r="Q598" s="1489"/>
      <c r="R598" s="1489"/>
      <c r="S598" s="1489"/>
      <c r="T598" s="1489"/>
      <c r="U598" s="1489"/>
      <c r="V598" s="1489"/>
      <c r="W598" s="1489"/>
      <c r="X598" s="1489"/>
      <c r="Y598" s="1489"/>
      <c r="Z598" s="1489"/>
      <c r="AA598" s="1489"/>
      <c r="AB598" s="1489"/>
      <c r="AC598" s="1489"/>
      <c r="AD598" s="1489"/>
      <c r="AE598" s="1489"/>
      <c r="AF598" s="1489"/>
      <c r="AG598" s="1489"/>
      <c r="AH598" s="1489"/>
      <c r="AI598" s="1489"/>
      <c r="AJ598" s="1489"/>
      <c r="AK598" s="1489"/>
      <c r="AL598" s="1489"/>
      <c r="AM598" s="1489"/>
      <c r="AN598" s="1489"/>
      <c r="AO598" s="1489"/>
      <c r="AP598" s="1489"/>
      <c r="AQ598" s="1489"/>
      <c r="AR598" s="1488"/>
      <c r="AS598" s="1488"/>
      <c r="AT598" s="1488"/>
      <c r="AU598" s="1488"/>
      <c r="AV598" s="1488"/>
      <c r="AW598" s="1488"/>
      <c r="AX598" s="1488"/>
      <c r="AY598" s="1488"/>
    </row>
    <row r="599" spans="3:51" s="1502" customFormat="1">
      <c r="C599" s="1498"/>
      <c r="D599" s="1501"/>
      <c r="E599" s="1500"/>
      <c r="F599" s="814"/>
      <c r="G599" s="1494"/>
      <c r="H599" s="1493"/>
      <c r="I599" s="1493"/>
      <c r="J599" s="813"/>
      <c r="K599" s="814"/>
      <c r="L599" s="1499"/>
      <c r="M599" s="1488"/>
      <c r="N599" s="1488"/>
      <c r="O599" s="1488"/>
      <c r="P599" s="1488"/>
      <c r="Q599" s="1489"/>
      <c r="R599" s="1489"/>
      <c r="S599" s="1489"/>
      <c r="T599" s="1489"/>
      <c r="U599" s="1489"/>
      <c r="V599" s="1489"/>
      <c r="W599" s="1489"/>
      <c r="X599" s="1489"/>
      <c r="Y599" s="1489"/>
      <c r="Z599" s="1489"/>
      <c r="AA599" s="1489"/>
      <c r="AB599" s="1489"/>
      <c r="AC599" s="1489"/>
      <c r="AD599" s="1489"/>
      <c r="AE599" s="1489"/>
      <c r="AF599" s="1489"/>
      <c r="AG599" s="1489"/>
      <c r="AH599" s="1489"/>
      <c r="AI599" s="1489"/>
      <c r="AJ599" s="1489"/>
      <c r="AK599" s="1489"/>
      <c r="AL599" s="1489"/>
      <c r="AM599" s="1489"/>
      <c r="AN599" s="1489"/>
      <c r="AO599" s="1489"/>
      <c r="AP599" s="1489"/>
      <c r="AQ599" s="1489"/>
      <c r="AR599" s="1488"/>
      <c r="AS599" s="1488"/>
      <c r="AT599" s="1488"/>
      <c r="AU599" s="1488"/>
      <c r="AV599" s="1488"/>
      <c r="AW599" s="1488"/>
      <c r="AX599" s="1488"/>
      <c r="AY599" s="1488"/>
    </row>
    <row r="600" spans="3:51" s="1502" customFormat="1">
      <c r="C600" s="1498"/>
      <c r="D600" s="1501"/>
      <c r="E600" s="1500"/>
      <c r="F600" s="814"/>
      <c r="G600" s="1494"/>
      <c r="H600" s="1493"/>
      <c r="I600" s="1493"/>
      <c r="J600" s="813"/>
      <c r="K600" s="814"/>
      <c r="L600" s="1499"/>
      <c r="M600" s="1488"/>
      <c r="N600" s="1488"/>
      <c r="O600" s="1488"/>
      <c r="P600" s="1488"/>
      <c r="Q600" s="1489"/>
      <c r="R600" s="1489"/>
      <c r="S600" s="1489"/>
      <c r="T600" s="1489"/>
      <c r="U600" s="1489"/>
      <c r="V600" s="1489"/>
      <c r="W600" s="1489"/>
      <c r="X600" s="1489"/>
      <c r="Y600" s="1489"/>
      <c r="Z600" s="1489"/>
      <c r="AA600" s="1489"/>
      <c r="AB600" s="1489"/>
      <c r="AC600" s="1489"/>
      <c r="AD600" s="1489"/>
      <c r="AE600" s="1489"/>
      <c r="AF600" s="1489"/>
      <c r="AG600" s="1489"/>
      <c r="AH600" s="1489"/>
      <c r="AI600" s="1489"/>
      <c r="AJ600" s="1489"/>
      <c r="AK600" s="1489"/>
      <c r="AL600" s="1489"/>
      <c r="AM600" s="1489"/>
      <c r="AN600" s="1489"/>
      <c r="AO600" s="1489"/>
      <c r="AP600" s="1489"/>
      <c r="AQ600" s="1489"/>
      <c r="AR600" s="1488"/>
      <c r="AS600" s="1488"/>
      <c r="AT600" s="1488"/>
      <c r="AU600" s="1488"/>
      <c r="AV600" s="1488"/>
      <c r="AW600" s="1488"/>
      <c r="AX600" s="1488"/>
      <c r="AY600" s="1488"/>
    </row>
    <row r="601" spans="3:51" s="1502" customFormat="1">
      <c r="C601" s="1498"/>
      <c r="D601" s="1501"/>
      <c r="E601" s="1500"/>
      <c r="F601" s="814"/>
      <c r="G601" s="1494"/>
      <c r="H601" s="1493"/>
      <c r="I601" s="1493"/>
      <c r="J601" s="813"/>
      <c r="K601" s="814"/>
      <c r="L601" s="1499"/>
      <c r="M601" s="1488"/>
      <c r="N601" s="1488"/>
      <c r="O601" s="1488"/>
      <c r="P601" s="1488"/>
      <c r="Q601" s="1489"/>
      <c r="R601" s="1489"/>
      <c r="S601" s="1489"/>
      <c r="T601" s="1489"/>
      <c r="U601" s="1489"/>
      <c r="V601" s="1489"/>
      <c r="W601" s="1489"/>
      <c r="X601" s="1489"/>
      <c r="Y601" s="1489"/>
      <c r="Z601" s="1489"/>
      <c r="AA601" s="1489"/>
      <c r="AB601" s="1489"/>
      <c r="AC601" s="1489"/>
      <c r="AD601" s="1489"/>
      <c r="AE601" s="1489"/>
      <c r="AF601" s="1489"/>
      <c r="AG601" s="1489"/>
      <c r="AH601" s="1489"/>
      <c r="AI601" s="1489"/>
      <c r="AJ601" s="1489"/>
      <c r="AK601" s="1489"/>
      <c r="AL601" s="1489"/>
      <c r="AM601" s="1489"/>
      <c r="AN601" s="1489"/>
      <c r="AO601" s="1489"/>
      <c r="AP601" s="1489"/>
      <c r="AQ601" s="1489"/>
      <c r="AR601" s="1488"/>
      <c r="AS601" s="1488"/>
      <c r="AT601" s="1488"/>
      <c r="AU601" s="1488"/>
      <c r="AV601" s="1488"/>
      <c r="AW601" s="1488"/>
      <c r="AX601" s="1488"/>
      <c r="AY601" s="1488"/>
    </row>
    <row r="602" spans="3:51" s="1502" customFormat="1">
      <c r="C602" s="1498"/>
      <c r="D602" s="1501"/>
      <c r="E602" s="1500"/>
      <c r="F602" s="814"/>
      <c r="G602" s="1494"/>
      <c r="H602" s="1493"/>
      <c r="I602" s="1493"/>
      <c r="J602" s="813"/>
      <c r="K602" s="814"/>
      <c r="L602" s="1499"/>
      <c r="M602" s="1488"/>
      <c r="N602" s="1488"/>
      <c r="O602" s="1488"/>
      <c r="P602" s="1488"/>
      <c r="Q602" s="1489"/>
      <c r="R602" s="1489"/>
      <c r="S602" s="1489"/>
      <c r="T602" s="1489"/>
      <c r="U602" s="1489"/>
      <c r="V602" s="1489"/>
      <c r="W602" s="1489"/>
      <c r="X602" s="1489"/>
      <c r="Y602" s="1489"/>
      <c r="Z602" s="1489"/>
      <c r="AA602" s="1489"/>
      <c r="AB602" s="1489"/>
      <c r="AC602" s="1489"/>
      <c r="AD602" s="1489"/>
      <c r="AE602" s="1489"/>
      <c r="AF602" s="1489"/>
      <c r="AG602" s="1489"/>
      <c r="AH602" s="1489"/>
      <c r="AI602" s="1489"/>
      <c r="AJ602" s="1489"/>
      <c r="AK602" s="1489"/>
      <c r="AL602" s="1489"/>
      <c r="AM602" s="1489"/>
      <c r="AN602" s="1489"/>
      <c r="AO602" s="1489"/>
      <c r="AP602" s="1489"/>
      <c r="AQ602" s="1489"/>
      <c r="AR602" s="1488"/>
      <c r="AS602" s="1488"/>
      <c r="AT602" s="1488"/>
      <c r="AU602" s="1488"/>
      <c r="AV602" s="1488"/>
      <c r="AW602" s="1488"/>
      <c r="AX602" s="1488"/>
      <c r="AY602" s="1488"/>
    </row>
    <row r="603" spans="3:51" s="1502" customFormat="1">
      <c r="C603" s="1498"/>
      <c r="D603" s="1501"/>
      <c r="E603" s="1500"/>
      <c r="F603" s="814"/>
      <c r="G603" s="1494"/>
      <c r="H603" s="1493"/>
      <c r="I603" s="1493"/>
      <c r="J603" s="813"/>
      <c r="K603" s="814"/>
      <c r="L603" s="1499"/>
      <c r="M603" s="1488"/>
      <c r="N603" s="1488"/>
      <c r="O603" s="1488"/>
      <c r="P603" s="1488"/>
      <c r="Q603" s="1489"/>
      <c r="R603" s="1489"/>
      <c r="S603" s="1489"/>
      <c r="T603" s="1489"/>
      <c r="U603" s="1489"/>
      <c r="V603" s="1489"/>
      <c r="W603" s="1489"/>
      <c r="X603" s="1489"/>
      <c r="Y603" s="1489"/>
      <c r="Z603" s="1489"/>
      <c r="AA603" s="1489"/>
      <c r="AB603" s="1489"/>
      <c r="AC603" s="1489"/>
      <c r="AD603" s="1489"/>
      <c r="AE603" s="1489"/>
      <c r="AF603" s="1489"/>
      <c r="AG603" s="1489"/>
      <c r="AH603" s="1489"/>
      <c r="AI603" s="1489"/>
      <c r="AJ603" s="1489"/>
      <c r="AK603" s="1489"/>
      <c r="AL603" s="1489"/>
      <c r="AM603" s="1489"/>
      <c r="AN603" s="1489"/>
      <c r="AO603" s="1489"/>
      <c r="AP603" s="1489"/>
      <c r="AQ603" s="1489"/>
      <c r="AR603" s="1488"/>
      <c r="AS603" s="1488"/>
      <c r="AT603" s="1488"/>
      <c r="AU603" s="1488"/>
      <c r="AV603" s="1488"/>
      <c r="AW603" s="1488"/>
      <c r="AX603" s="1488"/>
      <c r="AY603" s="1488"/>
    </row>
    <row r="604" spans="3:51" s="1502" customFormat="1">
      <c r="C604" s="1498"/>
      <c r="D604" s="1501"/>
      <c r="E604" s="1500"/>
      <c r="F604" s="814"/>
      <c r="G604" s="1494"/>
      <c r="H604" s="1493"/>
      <c r="I604" s="1493"/>
      <c r="J604" s="813"/>
      <c r="K604" s="814"/>
      <c r="L604" s="1499"/>
      <c r="M604" s="1488"/>
      <c r="N604" s="1488"/>
      <c r="O604" s="1488"/>
      <c r="P604" s="1488"/>
      <c r="Q604" s="1489"/>
      <c r="R604" s="1489"/>
      <c r="S604" s="1489"/>
      <c r="T604" s="1489"/>
      <c r="U604" s="1489"/>
      <c r="V604" s="1489"/>
      <c r="W604" s="1489"/>
      <c r="X604" s="1489"/>
      <c r="Y604" s="1489"/>
      <c r="Z604" s="1489"/>
      <c r="AA604" s="1489"/>
      <c r="AB604" s="1489"/>
      <c r="AC604" s="1489"/>
      <c r="AD604" s="1489"/>
      <c r="AE604" s="1489"/>
      <c r="AF604" s="1489"/>
      <c r="AG604" s="1489"/>
      <c r="AH604" s="1489"/>
      <c r="AI604" s="1489"/>
      <c r="AJ604" s="1489"/>
      <c r="AK604" s="1489"/>
      <c r="AL604" s="1489"/>
      <c r="AM604" s="1489"/>
      <c r="AN604" s="1489"/>
      <c r="AO604" s="1489"/>
      <c r="AP604" s="1489"/>
      <c r="AQ604" s="1489"/>
      <c r="AR604" s="1488"/>
      <c r="AS604" s="1488"/>
      <c r="AT604" s="1488"/>
      <c r="AU604" s="1488"/>
      <c r="AV604" s="1488"/>
      <c r="AW604" s="1488"/>
      <c r="AX604" s="1488"/>
      <c r="AY604" s="1488"/>
    </row>
    <row r="605" spans="3:51" s="1502" customFormat="1">
      <c r="C605" s="1498"/>
      <c r="D605" s="1501"/>
      <c r="E605" s="1500"/>
      <c r="F605" s="814"/>
      <c r="G605" s="1494"/>
      <c r="H605" s="1493"/>
      <c r="I605" s="1493"/>
      <c r="J605" s="813"/>
      <c r="K605" s="814"/>
      <c r="L605" s="1499"/>
      <c r="M605" s="1488"/>
      <c r="N605" s="1488"/>
      <c r="O605" s="1488"/>
      <c r="P605" s="1488"/>
      <c r="Q605" s="1489"/>
      <c r="R605" s="1489"/>
      <c r="S605" s="1489"/>
      <c r="T605" s="1489"/>
      <c r="U605" s="1489"/>
      <c r="V605" s="1489"/>
      <c r="W605" s="1489"/>
      <c r="X605" s="1489"/>
      <c r="Y605" s="1489"/>
      <c r="Z605" s="1489"/>
      <c r="AA605" s="1489"/>
      <c r="AB605" s="1489"/>
      <c r="AC605" s="1489"/>
      <c r="AD605" s="1489"/>
      <c r="AE605" s="1489"/>
      <c r="AF605" s="1489"/>
      <c r="AG605" s="1489"/>
      <c r="AH605" s="1489"/>
      <c r="AI605" s="1489"/>
      <c r="AJ605" s="1489"/>
      <c r="AK605" s="1489"/>
      <c r="AL605" s="1489"/>
      <c r="AM605" s="1489"/>
      <c r="AN605" s="1489"/>
      <c r="AO605" s="1489"/>
      <c r="AP605" s="1489"/>
      <c r="AQ605" s="1489"/>
      <c r="AR605" s="1488"/>
      <c r="AS605" s="1488"/>
      <c r="AT605" s="1488"/>
      <c r="AU605" s="1488"/>
      <c r="AV605" s="1488"/>
      <c r="AW605" s="1488"/>
      <c r="AX605" s="1488"/>
      <c r="AY605" s="1488"/>
    </row>
    <row r="606" spans="3:51" s="1502" customFormat="1">
      <c r="C606" s="1498"/>
      <c r="D606" s="1501"/>
      <c r="E606" s="1500"/>
      <c r="F606" s="814"/>
      <c r="G606" s="1494"/>
      <c r="H606" s="1493"/>
      <c r="I606" s="1493"/>
      <c r="J606" s="813"/>
      <c r="K606" s="814"/>
      <c r="L606" s="1499"/>
      <c r="M606" s="1488"/>
      <c r="N606" s="1488"/>
      <c r="O606" s="1488"/>
      <c r="P606" s="1488"/>
      <c r="Q606" s="1489"/>
      <c r="R606" s="1489"/>
      <c r="S606" s="1489"/>
      <c r="T606" s="1489"/>
      <c r="U606" s="1489"/>
      <c r="V606" s="1489"/>
      <c r="W606" s="1489"/>
      <c r="X606" s="1489"/>
      <c r="Y606" s="1489"/>
      <c r="Z606" s="1489"/>
      <c r="AA606" s="1489"/>
      <c r="AB606" s="1489"/>
      <c r="AC606" s="1489"/>
      <c r="AD606" s="1489"/>
      <c r="AE606" s="1489"/>
      <c r="AF606" s="1489"/>
      <c r="AG606" s="1489"/>
      <c r="AH606" s="1489"/>
      <c r="AI606" s="1489"/>
      <c r="AJ606" s="1489"/>
      <c r="AK606" s="1489"/>
      <c r="AL606" s="1489"/>
      <c r="AM606" s="1489"/>
      <c r="AN606" s="1489"/>
      <c r="AO606" s="1489"/>
      <c r="AP606" s="1489"/>
      <c r="AQ606" s="1489"/>
      <c r="AR606" s="1488"/>
      <c r="AS606" s="1488"/>
      <c r="AT606" s="1488"/>
      <c r="AU606" s="1488"/>
      <c r="AV606" s="1488"/>
      <c r="AW606" s="1488"/>
      <c r="AX606" s="1488"/>
      <c r="AY606" s="1488"/>
    </row>
    <row r="607" spans="3:51" s="1502" customFormat="1">
      <c r="C607" s="1498"/>
      <c r="D607" s="1501"/>
      <c r="E607" s="1500"/>
      <c r="F607" s="814"/>
      <c r="G607" s="1494"/>
      <c r="H607" s="1493"/>
      <c r="I607" s="1493"/>
      <c r="J607" s="813"/>
      <c r="K607" s="814"/>
      <c r="L607" s="1499"/>
      <c r="M607" s="1488"/>
      <c r="N607" s="1488"/>
      <c r="O607" s="1488"/>
      <c r="P607" s="1488"/>
      <c r="Q607" s="1489"/>
      <c r="R607" s="1489"/>
      <c r="S607" s="1489"/>
      <c r="T607" s="1489"/>
      <c r="U607" s="1489"/>
      <c r="V607" s="1489"/>
      <c r="W607" s="1489"/>
      <c r="X607" s="1489"/>
      <c r="Y607" s="1489"/>
      <c r="Z607" s="1489"/>
      <c r="AA607" s="1489"/>
      <c r="AB607" s="1489"/>
      <c r="AC607" s="1489"/>
      <c r="AD607" s="1489"/>
      <c r="AE607" s="1489"/>
      <c r="AF607" s="1489"/>
      <c r="AG607" s="1489"/>
      <c r="AH607" s="1489"/>
      <c r="AI607" s="1489"/>
      <c r="AJ607" s="1489"/>
      <c r="AK607" s="1489"/>
      <c r="AL607" s="1489"/>
      <c r="AM607" s="1489"/>
      <c r="AN607" s="1489"/>
      <c r="AO607" s="1489"/>
      <c r="AP607" s="1489"/>
      <c r="AQ607" s="1489"/>
      <c r="AR607" s="1488"/>
      <c r="AS607" s="1488"/>
      <c r="AT607" s="1488"/>
      <c r="AU607" s="1488"/>
      <c r="AV607" s="1488"/>
      <c r="AW607" s="1488"/>
      <c r="AX607" s="1488"/>
      <c r="AY607" s="1488"/>
    </row>
    <row r="608" spans="3:51" s="1502" customFormat="1">
      <c r="C608" s="1498"/>
      <c r="D608" s="1501"/>
      <c r="E608" s="1500"/>
      <c r="F608" s="814"/>
      <c r="G608" s="1494"/>
      <c r="H608" s="1493"/>
      <c r="I608" s="1493"/>
      <c r="J608" s="813"/>
      <c r="K608" s="814"/>
      <c r="L608" s="1499"/>
      <c r="M608" s="1488"/>
      <c r="N608" s="1488"/>
      <c r="O608" s="1488"/>
      <c r="P608" s="1488"/>
      <c r="Q608" s="1489"/>
      <c r="R608" s="1489"/>
      <c r="S608" s="1489"/>
      <c r="T608" s="1489"/>
      <c r="U608" s="1489"/>
      <c r="V608" s="1489"/>
      <c r="W608" s="1489"/>
      <c r="X608" s="1489"/>
      <c r="Y608" s="1489"/>
      <c r="Z608" s="1489"/>
      <c r="AA608" s="1489"/>
      <c r="AB608" s="1489"/>
      <c r="AC608" s="1489"/>
      <c r="AD608" s="1489"/>
      <c r="AE608" s="1489"/>
      <c r="AF608" s="1489"/>
      <c r="AG608" s="1489"/>
      <c r="AH608" s="1489"/>
      <c r="AI608" s="1489"/>
      <c r="AJ608" s="1489"/>
      <c r="AK608" s="1489"/>
      <c r="AL608" s="1489"/>
      <c r="AM608" s="1489"/>
      <c r="AN608" s="1489"/>
      <c r="AO608" s="1489"/>
      <c r="AP608" s="1489"/>
      <c r="AQ608" s="1489"/>
      <c r="AR608" s="1488"/>
      <c r="AS608" s="1488"/>
      <c r="AT608" s="1488"/>
      <c r="AU608" s="1488"/>
      <c r="AV608" s="1488"/>
      <c r="AW608" s="1488"/>
      <c r="AX608" s="1488"/>
      <c r="AY608" s="1488"/>
    </row>
    <row r="609" spans="3:51" s="1502" customFormat="1">
      <c r="C609" s="1498"/>
      <c r="D609" s="1501"/>
      <c r="E609" s="1500"/>
      <c r="F609" s="814"/>
      <c r="G609" s="1494"/>
      <c r="H609" s="1493"/>
      <c r="I609" s="1493"/>
      <c r="J609" s="813"/>
      <c r="K609" s="814"/>
      <c r="L609" s="1499"/>
      <c r="M609" s="1488"/>
      <c r="N609" s="1488"/>
      <c r="O609" s="1488"/>
      <c r="P609" s="1488"/>
      <c r="Q609" s="1489"/>
      <c r="R609" s="1489"/>
      <c r="S609" s="1489"/>
      <c r="T609" s="1489"/>
      <c r="U609" s="1489"/>
      <c r="V609" s="1489"/>
      <c r="W609" s="1489"/>
      <c r="X609" s="1489"/>
      <c r="Y609" s="1489"/>
      <c r="Z609" s="1489"/>
      <c r="AA609" s="1489"/>
      <c r="AB609" s="1489"/>
      <c r="AC609" s="1489"/>
      <c r="AD609" s="1489"/>
      <c r="AE609" s="1489"/>
      <c r="AF609" s="1489"/>
      <c r="AG609" s="1489"/>
      <c r="AH609" s="1489"/>
      <c r="AI609" s="1489"/>
      <c r="AJ609" s="1489"/>
      <c r="AK609" s="1489"/>
      <c r="AL609" s="1489"/>
      <c r="AM609" s="1489"/>
      <c r="AN609" s="1489"/>
      <c r="AO609" s="1489"/>
      <c r="AP609" s="1489"/>
      <c r="AQ609" s="1489"/>
      <c r="AR609" s="1488"/>
      <c r="AS609" s="1488"/>
      <c r="AT609" s="1488"/>
      <c r="AU609" s="1488"/>
      <c r="AV609" s="1488"/>
      <c r="AW609" s="1488"/>
      <c r="AX609" s="1488"/>
      <c r="AY609" s="1488"/>
    </row>
    <row r="610" spans="3:51" s="1502" customFormat="1">
      <c r="C610" s="1498"/>
      <c r="D610" s="1501"/>
      <c r="E610" s="1500"/>
      <c r="F610" s="814"/>
      <c r="G610" s="1494"/>
      <c r="H610" s="1493"/>
      <c r="I610" s="1493"/>
      <c r="J610" s="813"/>
      <c r="K610" s="814"/>
      <c r="L610" s="1499"/>
      <c r="M610" s="1488"/>
      <c r="N610" s="1488"/>
      <c r="O610" s="1488"/>
      <c r="P610" s="1488"/>
      <c r="Q610" s="1489"/>
      <c r="R610" s="1489"/>
      <c r="S610" s="1489"/>
      <c r="T610" s="1489"/>
      <c r="U610" s="1489"/>
      <c r="V610" s="1489"/>
      <c r="W610" s="1489"/>
      <c r="X610" s="1489"/>
      <c r="Y610" s="1489"/>
      <c r="Z610" s="1489"/>
      <c r="AA610" s="1489"/>
      <c r="AB610" s="1489"/>
      <c r="AC610" s="1489"/>
      <c r="AD610" s="1489"/>
      <c r="AE610" s="1489"/>
      <c r="AF610" s="1489"/>
      <c r="AG610" s="1489"/>
      <c r="AH610" s="1489"/>
      <c r="AI610" s="1489"/>
      <c r="AJ610" s="1489"/>
      <c r="AK610" s="1489"/>
      <c r="AL610" s="1489"/>
      <c r="AM610" s="1489"/>
      <c r="AN610" s="1489"/>
      <c r="AO610" s="1489"/>
      <c r="AP610" s="1489"/>
      <c r="AQ610" s="1489"/>
      <c r="AR610" s="1488"/>
      <c r="AS610" s="1488"/>
      <c r="AT610" s="1488"/>
      <c r="AU610" s="1488"/>
      <c r="AV610" s="1488"/>
      <c r="AW610" s="1488"/>
      <c r="AX610" s="1488"/>
      <c r="AY610" s="1488"/>
    </row>
    <row r="611" spans="3:51" s="1502" customFormat="1">
      <c r="C611" s="1498"/>
      <c r="D611" s="1501"/>
      <c r="E611" s="1500"/>
      <c r="F611" s="814"/>
      <c r="G611" s="1494"/>
      <c r="H611" s="1493"/>
      <c r="I611" s="1493"/>
      <c r="J611" s="813"/>
      <c r="K611" s="814"/>
      <c r="L611" s="1499"/>
      <c r="M611" s="1488"/>
      <c r="N611" s="1488"/>
      <c r="O611" s="1488"/>
      <c r="P611" s="1488"/>
      <c r="Q611" s="1489"/>
      <c r="R611" s="1489"/>
      <c r="S611" s="1489"/>
      <c r="T611" s="1489"/>
      <c r="U611" s="1489"/>
      <c r="V611" s="1489"/>
      <c r="W611" s="1489"/>
      <c r="X611" s="1489"/>
      <c r="Y611" s="1489"/>
      <c r="Z611" s="1489"/>
      <c r="AA611" s="1489"/>
      <c r="AB611" s="1489"/>
      <c r="AC611" s="1489"/>
      <c r="AD611" s="1489"/>
      <c r="AE611" s="1489"/>
      <c r="AF611" s="1489"/>
      <c r="AG611" s="1489"/>
      <c r="AH611" s="1489"/>
      <c r="AI611" s="1489"/>
      <c r="AJ611" s="1489"/>
      <c r="AK611" s="1489"/>
      <c r="AL611" s="1489"/>
      <c r="AM611" s="1489"/>
      <c r="AN611" s="1489"/>
      <c r="AO611" s="1489"/>
      <c r="AP611" s="1489"/>
      <c r="AQ611" s="1489"/>
      <c r="AR611" s="1488"/>
      <c r="AS611" s="1488"/>
      <c r="AT611" s="1488"/>
      <c r="AU611" s="1488"/>
      <c r="AV611" s="1488"/>
      <c r="AW611" s="1488"/>
      <c r="AX611" s="1488"/>
      <c r="AY611" s="1488"/>
    </row>
    <row r="612" spans="3:51" s="1502" customFormat="1">
      <c r="C612" s="1498"/>
      <c r="D612" s="1501"/>
      <c r="E612" s="1500"/>
      <c r="F612" s="814"/>
      <c r="G612" s="1494"/>
      <c r="H612" s="1493"/>
      <c r="I612" s="1493"/>
      <c r="J612" s="813"/>
      <c r="K612" s="814"/>
      <c r="L612" s="1499"/>
      <c r="M612" s="1488"/>
      <c r="N612" s="1488"/>
      <c r="O612" s="1488"/>
      <c r="P612" s="1488"/>
      <c r="Q612" s="1489"/>
      <c r="R612" s="1489"/>
      <c r="S612" s="1489"/>
      <c r="T612" s="1489"/>
      <c r="U612" s="1489"/>
      <c r="V612" s="1489"/>
      <c r="W612" s="1489"/>
      <c r="X612" s="1489"/>
      <c r="Y612" s="1489"/>
      <c r="Z612" s="1489"/>
      <c r="AA612" s="1489"/>
      <c r="AB612" s="1489"/>
      <c r="AC612" s="1489"/>
      <c r="AD612" s="1489"/>
      <c r="AE612" s="1489"/>
      <c r="AF612" s="1489"/>
      <c r="AG612" s="1489"/>
      <c r="AH612" s="1489"/>
      <c r="AI612" s="1489"/>
      <c r="AJ612" s="1489"/>
      <c r="AK612" s="1489"/>
      <c r="AL612" s="1489"/>
      <c r="AM612" s="1489"/>
      <c r="AN612" s="1489"/>
      <c r="AO612" s="1489"/>
      <c r="AP612" s="1489"/>
      <c r="AQ612" s="1489"/>
      <c r="AR612" s="1488"/>
      <c r="AS612" s="1488"/>
      <c r="AT612" s="1488"/>
      <c r="AU612" s="1488"/>
      <c r="AV612" s="1488"/>
      <c r="AW612" s="1488"/>
      <c r="AX612" s="1488"/>
      <c r="AY612" s="1488"/>
    </row>
    <row r="613" spans="3:51" s="1502" customFormat="1">
      <c r="C613" s="1498"/>
      <c r="D613" s="1501"/>
      <c r="E613" s="1500"/>
      <c r="F613" s="814"/>
      <c r="G613" s="1494"/>
      <c r="H613" s="1493"/>
      <c r="I613" s="1493"/>
      <c r="J613" s="813"/>
      <c r="K613" s="814"/>
      <c r="L613" s="1499"/>
      <c r="M613" s="1488"/>
      <c r="N613" s="1488"/>
      <c r="O613" s="1488"/>
      <c r="P613" s="1488"/>
      <c r="Q613" s="1489"/>
      <c r="R613" s="1489"/>
      <c r="S613" s="1489"/>
      <c r="T613" s="1489"/>
      <c r="U613" s="1489"/>
      <c r="V613" s="1489"/>
      <c r="W613" s="1489"/>
      <c r="X613" s="1489"/>
      <c r="Y613" s="1489"/>
      <c r="Z613" s="1489"/>
      <c r="AA613" s="1489"/>
      <c r="AB613" s="1489"/>
      <c r="AC613" s="1489"/>
      <c r="AD613" s="1489"/>
      <c r="AE613" s="1489"/>
      <c r="AF613" s="1489"/>
      <c r="AG613" s="1489"/>
      <c r="AH613" s="1489"/>
      <c r="AI613" s="1489"/>
      <c r="AJ613" s="1489"/>
      <c r="AK613" s="1489"/>
      <c r="AL613" s="1489"/>
      <c r="AM613" s="1489"/>
      <c r="AN613" s="1489"/>
      <c r="AO613" s="1489"/>
      <c r="AP613" s="1489"/>
      <c r="AQ613" s="1489"/>
      <c r="AR613" s="1488"/>
      <c r="AS613" s="1488"/>
      <c r="AT613" s="1488"/>
      <c r="AU613" s="1488"/>
      <c r="AV613" s="1488"/>
      <c r="AW613" s="1488"/>
      <c r="AX613" s="1488"/>
      <c r="AY613" s="1488"/>
    </row>
    <row r="614" spans="3:51" s="1502" customFormat="1">
      <c r="C614" s="1498"/>
      <c r="D614" s="1501"/>
      <c r="E614" s="1500"/>
      <c r="F614" s="814"/>
      <c r="G614" s="1494"/>
      <c r="H614" s="1493"/>
      <c r="I614" s="1493"/>
      <c r="J614" s="813"/>
      <c r="K614" s="814"/>
      <c r="L614" s="1499"/>
      <c r="M614" s="1488"/>
      <c r="N614" s="1488"/>
      <c r="O614" s="1488"/>
      <c r="P614" s="1488"/>
      <c r="Q614" s="1489"/>
      <c r="R614" s="1489"/>
      <c r="S614" s="1489"/>
      <c r="T614" s="1489"/>
      <c r="U614" s="1489"/>
      <c r="V614" s="1489"/>
      <c r="W614" s="1489"/>
      <c r="X614" s="1489"/>
      <c r="Y614" s="1489"/>
      <c r="Z614" s="1489"/>
      <c r="AA614" s="1489"/>
      <c r="AB614" s="1489"/>
      <c r="AC614" s="1489"/>
      <c r="AD614" s="1489"/>
      <c r="AE614" s="1489"/>
      <c r="AF614" s="1489"/>
      <c r="AG614" s="1489"/>
      <c r="AH614" s="1489"/>
      <c r="AI614" s="1489"/>
      <c r="AJ614" s="1489"/>
      <c r="AK614" s="1489"/>
      <c r="AL614" s="1489"/>
      <c r="AM614" s="1489"/>
      <c r="AN614" s="1489"/>
      <c r="AO614" s="1489"/>
      <c r="AP614" s="1489"/>
      <c r="AQ614" s="1489"/>
      <c r="AR614" s="1488"/>
      <c r="AS614" s="1488"/>
      <c r="AT614" s="1488"/>
      <c r="AU614" s="1488"/>
      <c r="AV614" s="1488"/>
      <c r="AW614" s="1488"/>
      <c r="AX614" s="1488"/>
      <c r="AY614" s="1488"/>
    </row>
    <row r="615" spans="3:51" s="1502" customFormat="1">
      <c r="C615" s="1498"/>
      <c r="D615" s="1501"/>
      <c r="E615" s="1500"/>
      <c r="F615" s="814"/>
      <c r="G615" s="1494"/>
      <c r="H615" s="1493"/>
      <c r="I615" s="1493"/>
      <c r="J615" s="813"/>
      <c r="K615" s="814"/>
      <c r="L615" s="1499"/>
      <c r="M615" s="1488"/>
      <c r="N615" s="1488"/>
      <c r="O615" s="1488"/>
      <c r="P615" s="1488"/>
      <c r="Q615" s="1489"/>
      <c r="R615" s="1489"/>
      <c r="S615" s="1489"/>
      <c r="T615" s="1489"/>
      <c r="U615" s="1489"/>
      <c r="V615" s="1489"/>
      <c r="W615" s="1489"/>
      <c r="X615" s="1489"/>
      <c r="Y615" s="1489"/>
      <c r="Z615" s="1489"/>
      <c r="AA615" s="1489"/>
      <c r="AB615" s="1489"/>
      <c r="AC615" s="1489"/>
      <c r="AD615" s="1489"/>
      <c r="AE615" s="1489"/>
      <c r="AF615" s="1489"/>
      <c r="AG615" s="1489"/>
      <c r="AH615" s="1489"/>
      <c r="AI615" s="1489"/>
      <c r="AJ615" s="1489"/>
      <c r="AK615" s="1489"/>
      <c r="AL615" s="1489"/>
      <c r="AM615" s="1489"/>
      <c r="AN615" s="1489"/>
      <c r="AO615" s="1489"/>
      <c r="AP615" s="1489"/>
      <c r="AQ615" s="1489"/>
      <c r="AR615" s="1488"/>
      <c r="AS615" s="1488"/>
      <c r="AT615" s="1488"/>
      <c r="AU615" s="1488"/>
      <c r="AV615" s="1488"/>
      <c r="AW615" s="1488"/>
      <c r="AX615" s="1488"/>
      <c r="AY615" s="1488"/>
    </row>
    <row r="616" spans="3:51" s="1502" customFormat="1">
      <c r="C616" s="1498"/>
      <c r="D616" s="1501"/>
      <c r="E616" s="1500"/>
      <c r="F616" s="814"/>
      <c r="G616" s="1494"/>
      <c r="H616" s="1493"/>
      <c r="I616" s="1493"/>
      <c r="J616" s="813"/>
      <c r="K616" s="814"/>
      <c r="L616" s="1499"/>
      <c r="M616" s="1488"/>
      <c r="N616" s="1488"/>
      <c r="O616" s="1488"/>
      <c r="P616" s="1488"/>
      <c r="Q616" s="1489"/>
      <c r="R616" s="1489"/>
      <c r="S616" s="1489"/>
      <c r="T616" s="1489"/>
      <c r="U616" s="1489"/>
      <c r="V616" s="1489"/>
      <c r="W616" s="1489"/>
      <c r="X616" s="1489"/>
      <c r="Y616" s="1489"/>
      <c r="Z616" s="1489"/>
      <c r="AA616" s="1489"/>
      <c r="AB616" s="1489"/>
      <c r="AC616" s="1489"/>
      <c r="AD616" s="1489"/>
      <c r="AE616" s="1489"/>
      <c r="AF616" s="1489"/>
      <c r="AG616" s="1489"/>
      <c r="AH616" s="1489"/>
      <c r="AI616" s="1489"/>
      <c r="AJ616" s="1489"/>
      <c r="AK616" s="1489"/>
      <c r="AL616" s="1489"/>
      <c r="AM616" s="1489"/>
      <c r="AN616" s="1489"/>
      <c r="AO616" s="1489"/>
      <c r="AP616" s="1489"/>
      <c r="AQ616" s="1489"/>
      <c r="AR616" s="1488"/>
      <c r="AS616" s="1488"/>
      <c r="AT616" s="1488"/>
      <c r="AU616" s="1488"/>
      <c r="AV616" s="1488"/>
      <c r="AW616" s="1488"/>
      <c r="AX616" s="1488"/>
      <c r="AY616" s="1488"/>
    </row>
    <row r="617" spans="3:51" s="1502" customFormat="1">
      <c r="C617" s="1498"/>
      <c r="D617" s="1501"/>
      <c r="E617" s="1500"/>
      <c r="F617" s="814"/>
      <c r="G617" s="1494"/>
      <c r="H617" s="1493"/>
      <c r="I617" s="1493"/>
      <c r="J617" s="813"/>
      <c r="K617" s="814"/>
      <c r="L617" s="1499"/>
      <c r="M617" s="1488"/>
      <c r="N617" s="1488"/>
      <c r="O617" s="1488"/>
      <c r="P617" s="1488"/>
      <c r="Q617" s="1489"/>
      <c r="R617" s="1489"/>
      <c r="S617" s="1489"/>
      <c r="T617" s="1489"/>
      <c r="U617" s="1489"/>
      <c r="V617" s="1489"/>
      <c r="W617" s="1489"/>
      <c r="X617" s="1489"/>
      <c r="Y617" s="1489"/>
      <c r="Z617" s="1489"/>
      <c r="AA617" s="1489"/>
      <c r="AB617" s="1489"/>
      <c r="AC617" s="1489"/>
      <c r="AD617" s="1489"/>
      <c r="AE617" s="1489"/>
      <c r="AF617" s="1489"/>
      <c r="AG617" s="1489"/>
      <c r="AH617" s="1489"/>
      <c r="AI617" s="1489"/>
      <c r="AJ617" s="1489"/>
      <c r="AK617" s="1489"/>
      <c r="AL617" s="1489"/>
      <c r="AM617" s="1489"/>
      <c r="AN617" s="1489"/>
      <c r="AO617" s="1489"/>
      <c r="AP617" s="1489"/>
      <c r="AQ617" s="1489"/>
      <c r="AR617" s="1488"/>
      <c r="AS617" s="1488"/>
      <c r="AT617" s="1488"/>
      <c r="AU617" s="1488"/>
      <c r="AV617" s="1488"/>
      <c r="AW617" s="1488"/>
      <c r="AX617" s="1488"/>
      <c r="AY617" s="1488"/>
    </row>
    <row r="618" spans="3:51" s="1502" customFormat="1">
      <c r="C618" s="1498"/>
      <c r="D618" s="1501"/>
      <c r="E618" s="1500"/>
      <c r="F618" s="814"/>
      <c r="G618" s="1494"/>
      <c r="H618" s="1493"/>
      <c r="I618" s="1493"/>
      <c r="J618" s="813"/>
      <c r="K618" s="814"/>
      <c r="L618" s="1499"/>
      <c r="M618" s="1488"/>
      <c r="N618" s="1488"/>
      <c r="O618" s="1488"/>
      <c r="P618" s="1488"/>
      <c r="Q618" s="1489"/>
      <c r="R618" s="1489"/>
      <c r="S618" s="1489"/>
      <c r="T618" s="1489"/>
      <c r="U618" s="1489"/>
      <c r="V618" s="1489"/>
      <c r="W618" s="1489"/>
      <c r="X618" s="1489"/>
      <c r="Y618" s="1489"/>
      <c r="Z618" s="1489"/>
      <c r="AA618" s="1489"/>
      <c r="AB618" s="1489"/>
      <c r="AC618" s="1489"/>
      <c r="AD618" s="1489"/>
      <c r="AE618" s="1489"/>
      <c r="AF618" s="1489"/>
      <c r="AG618" s="1489"/>
      <c r="AH618" s="1489"/>
      <c r="AI618" s="1489"/>
      <c r="AJ618" s="1489"/>
      <c r="AK618" s="1489"/>
      <c r="AL618" s="1489"/>
      <c r="AM618" s="1489"/>
      <c r="AN618" s="1489"/>
      <c r="AO618" s="1489"/>
      <c r="AP618" s="1489"/>
      <c r="AQ618" s="1489"/>
      <c r="AR618" s="1488"/>
      <c r="AS618" s="1488"/>
      <c r="AT618" s="1488"/>
      <c r="AU618" s="1488"/>
      <c r="AV618" s="1488"/>
      <c r="AW618" s="1488"/>
      <c r="AX618" s="1488"/>
      <c r="AY618" s="1488"/>
    </row>
    <row r="619" spans="3:51" s="1502" customFormat="1">
      <c r="C619" s="1498"/>
      <c r="D619" s="1501"/>
      <c r="E619" s="1500"/>
      <c r="F619" s="814"/>
      <c r="G619" s="1494"/>
      <c r="H619" s="1493"/>
      <c r="I619" s="1493"/>
      <c r="J619" s="813"/>
      <c r="K619" s="814"/>
      <c r="L619" s="1499"/>
      <c r="M619" s="1488"/>
      <c r="N619" s="1488"/>
      <c r="O619" s="1488"/>
      <c r="P619" s="1488"/>
      <c r="Q619" s="1489"/>
      <c r="R619" s="1489"/>
      <c r="S619" s="1489"/>
      <c r="T619" s="1489"/>
      <c r="U619" s="1489"/>
      <c r="V619" s="1489"/>
      <c r="W619" s="1489"/>
      <c r="X619" s="1489"/>
      <c r="Y619" s="1489"/>
      <c r="Z619" s="1489"/>
      <c r="AA619" s="1489"/>
      <c r="AB619" s="1489"/>
      <c r="AC619" s="1489"/>
      <c r="AD619" s="1489"/>
      <c r="AE619" s="1489"/>
      <c r="AF619" s="1489"/>
      <c r="AG619" s="1489"/>
      <c r="AH619" s="1489"/>
      <c r="AI619" s="1489"/>
      <c r="AJ619" s="1489"/>
      <c r="AK619" s="1489"/>
      <c r="AL619" s="1489"/>
      <c r="AM619" s="1489"/>
      <c r="AN619" s="1489"/>
      <c r="AO619" s="1489"/>
      <c r="AP619" s="1489"/>
      <c r="AQ619" s="1489"/>
      <c r="AR619" s="1488"/>
      <c r="AS619" s="1488"/>
      <c r="AT619" s="1488"/>
      <c r="AU619" s="1488"/>
      <c r="AV619" s="1488"/>
      <c r="AW619" s="1488"/>
      <c r="AX619" s="1488"/>
      <c r="AY619" s="1488"/>
    </row>
    <row r="620" spans="3:51" s="1502" customFormat="1">
      <c r="C620" s="1498"/>
      <c r="D620" s="1501"/>
      <c r="E620" s="1500"/>
      <c r="F620" s="814"/>
      <c r="G620" s="1494"/>
      <c r="H620" s="1493"/>
      <c r="I620" s="1493"/>
      <c r="J620" s="813"/>
      <c r="K620" s="814"/>
      <c r="L620" s="1499"/>
      <c r="M620" s="1488"/>
      <c r="N620" s="1488"/>
      <c r="O620" s="1488"/>
      <c r="P620" s="1488"/>
      <c r="Q620" s="1489"/>
      <c r="R620" s="1489"/>
      <c r="S620" s="1489"/>
      <c r="T620" s="1489"/>
      <c r="U620" s="1489"/>
      <c r="V620" s="1489"/>
      <c r="W620" s="1489"/>
      <c r="X620" s="1489"/>
      <c r="Y620" s="1489"/>
      <c r="Z620" s="1489"/>
      <c r="AA620" s="1489"/>
      <c r="AB620" s="1489"/>
      <c r="AC620" s="1489"/>
      <c r="AD620" s="1489"/>
      <c r="AE620" s="1489"/>
      <c r="AF620" s="1489"/>
      <c r="AG620" s="1489"/>
      <c r="AH620" s="1489"/>
      <c r="AI620" s="1489"/>
      <c r="AJ620" s="1489"/>
      <c r="AK620" s="1489"/>
      <c r="AL620" s="1489"/>
      <c r="AM620" s="1489"/>
      <c r="AN620" s="1489"/>
      <c r="AO620" s="1489"/>
      <c r="AP620" s="1489"/>
      <c r="AQ620" s="1489"/>
      <c r="AR620" s="1488"/>
      <c r="AS620" s="1488"/>
      <c r="AT620" s="1488"/>
      <c r="AU620" s="1488"/>
      <c r="AV620" s="1488"/>
      <c r="AW620" s="1488"/>
      <c r="AX620" s="1488"/>
      <c r="AY620" s="1488"/>
    </row>
    <row r="621" spans="3:51" s="1502" customFormat="1">
      <c r="C621" s="1498"/>
      <c r="D621" s="1501"/>
      <c r="E621" s="1500"/>
      <c r="F621" s="814"/>
      <c r="G621" s="1494"/>
      <c r="H621" s="1493"/>
      <c r="I621" s="1493"/>
      <c r="J621" s="813"/>
      <c r="K621" s="814"/>
      <c r="L621" s="1499"/>
      <c r="M621" s="1488"/>
      <c r="N621" s="1488"/>
      <c r="O621" s="1488"/>
      <c r="P621" s="1488"/>
      <c r="Q621" s="1489"/>
      <c r="R621" s="1489"/>
      <c r="S621" s="1489"/>
      <c r="T621" s="1489"/>
      <c r="U621" s="1489"/>
      <c r="V621" s="1489"/>
      <c r="W621" s="1489"/>
      <c r="X621" s="1489"/>
      <c r="Y621" s="1489"/>
      <c r="Z621" s="1489"/>
      <c r="AA621" s="1489"/>
      <c r="AB621" s="1489"/>
      <c r="AC621" s="1489"/>
      <c r="AD621" s="1489"/>
      <c r="AE621" s="1489"/>
      <c r="AF621" s="1489"/>
      <c r="AG621" s="1489"/>
      <c r="AH621" s="1489"/>
      <c r="AI621" s="1489"/>
      <c r="AJ621" s="1489"/>
      <c r="AK621" s="1489"/>
      <c r="AL621" s="1489"/>
      <c r="AM621" s="1489"/>
      <c r="AN621" s="1489"/>
      <c r="AO621" s="1489"/>
      <c r="AP621" s="1489"/>
      <c r="AQ621" s="1489"/>
      <c r="AR621" s="1488"/>
      <c r="AS621" s="1488"/>
      <c r="AT621" s="1488"/>
      <c r="AU621" s="1488"/>
      <c r="AV621" s="1488"/>
      <c r="AW621" s="1488"/>
      <c r="AX621" s="1488"/>
      <c r="AY621" s="1488"/>
    </row>
    <row r="622" spans="3:51" s="1502" customFormat="1">
      <c r="C622" s="1498"/>
      <c r="D622" s="1501"/>
      <c r="E622" s="1500"/>
      <c r="F622" s="814"/>
      <c r="G622" s="1494"/>
      <c r="H622" s="1493"/>
      <c r="I622" s="1493"/>
      <c r="J622" s="813"/>
      <c r="K622" s="814"/>
      <c r="L622" s="1499"/>
      <c r="M622" s="1488"/>
      <c r="N622" s="1488"/>
      <c r="O622" s="1488"/>
      <c r="P622" s="1488"/>
      <c r="Q622" s="1489"/>
      <c r="R622" s="1489"/>
      <c r="S622" s="1489"/>
      <c r="T622" s="1489"/>
      <c r="U622" s="1489"/>
      <c r="V622" s="1489"/>
      <c r="W622" s="1489"/>
      <c r="X622" s="1489"/>
      <c r="Y622" s="1489"/>
      <c r="Z622" s="1489"/>
      <c r="AA622" s="1489"/>
      <c r="AB622" s="1489"/>
      <c r="AC622" s="1489"/>
      <c r="AD622" s="1489"/>
      <c r="AE622" s="1489"/>
      <c r="AF622" s="1489"/>
      <c r="AG622" s="1489"/>
      <c r="AH622" s="1489"/>
      <c r="AI622" s="1489"/>
      <c r="AJ622" s="1489"/>
      <c r="AK622" s="1489"/>
      <c r="AL622" s="1489"/>
      <c r="AM622" s="1489"/>
      <c r="AN622" s="1489"/>
      <c r="AO622" s="1489"/>
      <c r="AP622" s="1489"/>
      <c r="AQ622" s="1489"/>
      <c r="AR622" s="1488"/>
      <c r="AS622" s="1488"/>
      <c r="AT622" s="1488"/>
      <c r="AU622" s="1488"/>
      <c r="AV622" s="1488"/>
      <c r="AW622" s="1488"/>
      <c r="AX622" s="1488"/>
      <c r="AY622" s="1488"/>
    </row>
    <row r="623" spans="3:51" s="1502" customFormat="1">
      <c r="C623" s="1498"/>
      <c r="D623" s="1501"/>
      <c r="E623" s="1500"/>
      <c r="F623" s="814"/>
      <c r="G623" s="1494"/>
      <c r="H623" s="1493"/>
      <c r="I623" s="1493"/>
      <c r="J623" s="813"/>
      <c r="K623" s="814"/>
      <c r="L623" s="1499"/>
      <c r="M623" s="1488"/>
      <c r="N623" s="1488"/>
      <c r="O623" s="1488"/>
      <c r="P623" s="1488"/>
      <c r="Q623" s="1489"/>
      <c r="R623" s="1489"/>
      <c r="S623" s="1489"/>
      <c r="T623" s="1489"/>
      <c r="U623" s="1489"/>
      <c r="V623" s="1489"/>
      <c r="W623" s="1489"/>
      <c r="X623" s="1489"/>
      <c r="Y623" s="1489"/>
      <c r="Z623" s="1489"/>
      <c r="AA623" s="1489"/>
      <c r="AB623" s="1489"/>
      <c r="AC623" s="1489"/>
      <c r="AD623" s="1489"/>
      <c r="AE623" s="1489"/>
      <c r="AF623" s="1489"/>
      <c r="AG623" s="1489"/>
      <c r="AH623" s="1489"/>
      <c r="AI623" s="1489"/>
      <c r="AJ623" s="1489"/>
      <c r="AK623" s="1489"/>
      <c r="AL623" s="1489"/>
      <c r="AM623" s="1489"/>
      <c r="AN623" s="1489"/>
      <c r="AO623" s="1489"/>
      <c r="AP623" s="1489"/>
      <c r="AQ623" s="1489"/>
      <c r="AR623" s="1488"/>
      <c r="AS623" s="1488"/>
      <c r="AT623" s="1488"/>
      <c r="AU623" s="1488"/>
      <c r="AV623" s="1488"/>
      <c r="AW623" s="1488"/>
      <c r="AX623" s="1488"/>
      <c r="AY623" s="1488"/>
    </row>
    <row r="624" spans="3:51" s="1502" customFormat="1">
      <c r="C624" s="1498"/>
      <c r="D624" s="1501"/>
      <c r="E624" s="1500"/>
      <c r="F624" s="814"/>
      <c r="G624" s="1494"/>
      <c r="H624" s="1493"/>
      <c r="I624" s="1493"/>
      <c r="J624" s="813"/>
      <c r="K624" s="814"/>
      <c r="L624" s="1499"/>
      <c r="M624" s="1488"/>
      <c r="N624" s="1488"/>
      <c r="O624" s="1488"/>
      <c r="P624" s="1488"/>
      <c r="Q624" s="1489"/>
      <c r="R624" s="1489"/>
      <c r="S624" s="1489"/>
      <c r="T624" s="1489"/>
      <c r="U624" s="1489"/>
      <c r="V624" s="1489"/>
      <c r="W624" s="1489"/>
      <c r="X624" s="1489"/>
      <c r="Y624" s="1489"/>
      <c r="Z624" s="1489"/>
      <c r="AA624" s="1489"/>
      <c r="AB624" s="1489"/>
      <c r="AC624" s="1489"/>
      <c r="AD624" s="1489"/>
      <c r="AE624" s="1489"/>
      <c r="AF624" s="1489"/>
      <c r="AG624" s="1489"/>
      <c r="AH624" s="1489"/>
      <c r="AI624" s="1489"/>
      <c r="AJ624" s="1489"/>
      <c r="AK624" s="1489"/>
      <c r="AL624" s="1489"/>
      <c r="AM624" s="1489"/>
      <c r="AN624" s="1489"/>
      <c r="AO624" s="1489"/>
      <c r="AP624" s="1489"/>
      <c r="AQ624" s="1489"/>
      <c r="AR624" s="1488"/>
      <c r="AS624" s="1488"/>
      <c r="AT624" s="1488"/>
      <c r="AU624" s="1488"/>
      <c r="AV624" s="1488"/>
      <c r="AW624" s="1488"/>
      <c r="AX624" s="1488"/>
      <c r="AY624" s="1488"/>
    </row>
    <row r="625" spans="3:51" s="1502" customFormat="1">
      <c r="C625" s="1498"/>
      <c r="D625" s="1501"/>
      <c r="E625" s="1500"/>
      <c r="F625" s="814"/>
      <c r="G625" s="1494"/>
      <c r="H625" s="1493"/>
      <c r="I625" s="1493"/>
      <c r="J625" s="813"/>
      <c r="K625" s="814"/>
      <c r="L625" s="1499"/>
      <c r="M625" s="1488"/>
      <c r="N625" s="1488"/>
      <c r="O625" s="1488"/>
      <c r="P625" s="1488"/>
      <c r="Q625" s="1489"/>
      <c r="R625" s="1489"/>
      <c r="S625" s="1489"/>
      <c r="T625" s="1489"/>
      <c r="U625" s="1489"/>
      <c r="V625" s="1489"/>
      <c r="W625" s="1489"/>
      <c r="X625" s="1489"/>
      <c r="Y625" s="1489"/>
      <c r="Z625" s="1489"/>
      <c r="AA625" s="1489"/>
      <c r="AB625" s="1489"/>
      <c r="AC625" s="1489"/>
      <c r="AD625" s="1489"/>
      <c r="AE625" s="1489"/>
      <c r="AF625" s="1489"/>
      <c r="AG625" s="1489"/>
      <c r="AH625" s="1489"/>
      <c r="AI625" s="1489"/>
      <c r="AJ625" s="1489"/>
      <c r="AK625" s="1489"/>
      <c r="AL625" s="1489"/>
      <c r="AM625" s="1489"/>
      <c r="AN625" s="1489"/>
      <c r="AO625" s="1489"/>
      <c r="AP625" s="1489"/>
      <c r="AQ625" s="1489"/>
      <c r="AR625" s="1488"/>
      <c r="AS625" s="1488"/>
      <c r="AT625" s="1488"/>
      <c r="AU625" s="1488"/>
      <c r="AV625" s="1488"/>
      <c r="AW625" s="1488"/>
      <c r="AX625" s="1488"/>
      <c r="AY625" s="1488"/>
    </row>
    <row r="626" spans="3:51" s="1502" customFormat="1">
      <c r="C626" s="1498"/>
      <c r="D626" s="1501"/>
      <c r="E626" s="1500"/>
      <c r="F626" s="814"/>
      <c r="G626" s="1494"/>
      <c r="H626" s="1493"/>
      <c r="I626" s="1493"/>
      <c r="J626" s="813"/>
      <c r="K626" s="814"/>
      <c r="L626" s="1499"/>
      <c r="M626" s="1488"/>
      <c r="N626" s="1488"/>
      <c r="O626" s="1488"/>
      <c r="P626" s="1488"/>
      <c r="Q626" s="1489"/>
      <c r="R626" s="1489"/>
      <c r="S626" s="1489"/>
      <c r="T626" s="1489"/>
      <c r="U626" s="1489"/>
      <c r="V626" s="1489"/>
      <c r="W626" s="1489"/>
      <c r="X626" s="1489"/>
      <c r="Y626" s="1489"/>
      <c r="Z626" s="1489"/>
      <c r="AA626" s="1489"/>
      <c r="AB626" s="1489"/>
      <c r="AC626" s="1489"/>
      <c r="AD626" s="1489"/>
      <c r="AE626" s="1489"/>
      <c r="AF626" s="1489"/>
      <c r="AG626" s="1489"/>
      <c r="AH626" s="1489"/>
      <c r="AI626" s="1489"/>
      <c r="AJ626" s="1489"/>
      <c r="AK626" s="1489"/>
      <c r="AL626" s="1489"/>
      <c r="AM626" s="1489"/>
      <c r="AN626" s="1489"/>
      <c r="AO626" s="1489"/>
      <c r="AP626" s="1489"/>
      <c r="AQ626" s="1489"/>
      <c r="AR626" s="1488"/>
      <c r="AS626" s="1488"/>
      <c r="AT626" s="1488"/>
      <c r="AU626" s="1488"/>
      <c r="AV626" s="1488"/>
      <c r="AW626" s="1488"/>
      <c r="AX626" s="1488"/>
      <c r="AY626" s="1488"/>
    </row>
    <row r="627" spans="3:51" s="1502" customFormat="1">
      <c r="C627" s="1498"/>
      <c r="D627" s="1501"/>
      <c r="E627" s="1500"/>
      <c r="F627" s="814"/>
      <c r="G627" s="1494"/>
      <c r="H627" s="1493"/>
      <c r="I627" s="1493"/>
      <c r="J627" s="813"/>
      <c r="K627" s="814"/>
      <c r="L627" s="1499"/>
      <c r="M627" s="1488"/>
      <c r="N627" s="1488"/>
      <c r="O627" s="1488"/>
      <c r="P627" s="1488"/>
      <c r="Q627" s="1489"/>
      <c r="R627" s="1489"/>
      <c r="S627" s="1489"/>
      <c r="T627" s="1489"/>
      <c r="U627" s="1489"/>
      <c r="V627" s="1489"/>
      <c r="W627" s="1489"/>
      <c r="X627" s="1489"/>
      <c r="Y627" s="1489"/>
      <c r="Z627" s="1489"/>
      <c r="AA627" s="1489"/>
      <c r="AB627" s="1489"/>
      <c r="AC627" s="1489"/>
      <c r="AD627" s="1489"/>
      <c r="AE627" s="1489"/>
      <c r="AF627" s="1489"/>
      <c r="AG627" s="1489"/>
      <c r="AH627" s="1489"/>
      <c r="AI627" s="1489"/>
      <c r="AJ627" s="1489"/>
      <c r="AK627" s="1489"/>
      <c r="AL627" s="1489"/>
      <c r="AM627" s="1489"/>
      <c r="AN627" s="1489"/>
      <c r="AO627" s="1489"/>
      <c r="AP627" s="1489"/>
      <c r="AQ627" s="1489"/>
      <c r="AR627" s="1488"/>
      <c r="AS627" s="1488"/>
      <c r="AT627" s="1488"/>
      <c r="AU627" s="1488"/>
      <c r="AV627" s="1488"/>
      <c r="AW627" s="1488"/>
      <c r="AX627" s="1488"/>
      <c r="AY627" s="1488"/>
    </row>
    <row r="628" spans="3:51" s="1502" customFormat="1">
      <c r="C628" s="1498"/>
      <c r="D628" s="1501"/>
      <c r="E628" s="1500"/>
      <c r="F628" s="814"/>
      <c r="G628" s="1494"/>
      <c r="H628" s="1493"/>
      <c r="I628" s="1493"/>
      <c r="J628" s="813"/>
      <c r="K628" s="814"/>
      <c r="L628" s="1499"/>
      <c r="M628" s="1488"/>
      <c r="N628" s="1488"/>
      <c r="O628" s="1488"/>
      <c r="P628" s="1488"/>
      <c r="Q628" s="1489"/>
      <c r="R628" s="1489"/>
      <c r="S628" s="1489"/>
      <c r="T628" s="1489"/>
      <c r="U628" s="1489"/>
      <c r="V628" s="1489"/>
      <c r="W628" s="1489"/>
      <c r="X628" s="1489"/>
      <c r="Y628" s="1489"/>
      <c r="Z628" s="1489"/>
      <c r="AA628" s="1489"/>
      <c r="AB628" s="1489"/>
      <c r="AC628" s="1489"/>
      <c r="AD628" s="1489"/>
      <c r="AE628" s="1489"/>
      <c r="AF628" s="1489"/>
      <c r="AG628" s="1489"/>
      <c r="AH628" s="1489"/>
      <c r="AI628" s="1489"/>
      <c r="AJ628" s="1489"/>
      <c r="AK628" s="1489"/>
      <c r="AL628" s="1489"/>
      <c r="AM628" s="1489"/>
      <c r="AN628" s="1489"/>
      <c r="AO628" s="1489"/>
      <c r="AP628" s="1489"/>
      <c r="AQ628" s="1489"/>
      <c r="AR628" s="1488"/>
      <c r="AS628" s="1488"/>
      <c r="AT628" s="1488"/>
      <c r="AU628" s="1488"/>
      <c r="AV628" s="1488"/>
      <c r="AW628" s="1488"/>
      <c r="AX628" s="1488"/>
      <c r="AY628" s="1488"/>
    </row>
    <row r="629" spans="3:51" s="1502" customFormat="1">
      <c r="C629" s="1498"/>
      <c r="D629" s="1501"/>
      <c r="E629" s="1500"/>
      <c r="F629" s="814"/>
      <c r="G629" s="1494"/>
      <c r="H629" s="1493"/>
      <c r="I629" s="1493"/>
      <c r="J629" s="813"/>
      <c r="K629" s="814"/>
      <c r="L629" s="1499"/>
      <c r="M629" s="1488"/>
      <c r="N629" s="1488"/>
      <c r="O629" s="1488"/>
      <c r="P629" s="1488"/>
      <c r="Q629" s="1489"/>
      <c r="R629" s="1489"/>
      <c r="S629" s="1489"/>
      <c r="T629" s="1489"/>
      <c r="U629" s="1489"/>
      <c r="V629" s="1489"/>
      <c r="W629" s="1489"/>
      <c r="X629" s="1489"/>
      <c r="Y629" s="1489"/>
      <c r="Z629" s="1489"/>
      <c r="AA629" s="1489"/>
      <c r="AB629" s="1489"/>
      <c r="AC629" s="1489"/>
      <c r="AD629" s="1489"/>
      <c r="AE629" s="1489"/>
      <c r="AF629" s="1489"/>
      <c r="AG629" s="1489"/>
      <c r="AH629" s="1489"/>
      <c r="AI629" s="1489"/>
      <c r="AJ629" s="1489"/>
      <c r="AK629" s="1489"/>
      <c r="AL629" s="1489"/>
      <c r="AM629" s="1489"/>
      <c r="AN629" s="1489"/>
      <c r="AO629" s="1489"/>
      <c r="AP629" s="1489"/>
      <c r="AQ629" s="1489"/>
      <c r="AR629" s="1488"/>
      <c r="AS629" s="1488"/>
      <c r="AT629" s="1488"/>
      <c r="AU629" s="1488"/>
      <c r="AV629" s="1488"/>
      <c r="AW629" s="1488"/>
      <c r="AX629" s="1488"/>
      <c r="AY629" s="1488"/>
    </row>
    <row r="630" spans="3:51" s="1502" customFormat="1">
      <c r="C630" s="1498"/>
      <c r="D630" s="1501"/>
      <c r="E630" s="1500"/>
      <c r="F630" s="814"/>
      <c r="G630" s="1494"/>
      <c r="H630" s="1493"/>
      <c r="I630" s="1493"/>
      <c r="J630" s="813"/>
      <c r="K630" s="814"/>
      <c r="L630" s="1499"/>
      <c r="M630" s="1488"/>
      <c r="N630" s="1488"/>
      <c r="O630" s="1488"/>
      <c r="P630" s="1488"/>
      <c r="Q630" s="1489"/>
      <c r="R630" s="1489"/>
      <c r="S630" s="1489"/>
      <c r="T630" s="1489"/>
      <c r="U630" s="1489"/>
      <c r="V630" s="1489"/>
      <c r="W630" s="1489"/>
      <c r="X630" s="1489"/>
      <c r="Y630" s="1489"/>
      <c r="Z630" s="1489"/>
      <c r="AA630" s="1489"/>
      <c r="AB630" s="1489"/>
      <c r="AC630" s="1489"/>
      <c r="AD630" s="1489"/>
      <c r="AE630" s="1489"/>
      <c r="AF630" s="1489"/>
      <c r="AG630" s="1489"/>
      <c r="AH630" s="1489"/>
      <c r="AI630" s="1489"/>
      <c r="AJ630" s="1489"/>
      <c r="AK630" s="1489"/>
      <c r="AL630" s="1489"/>
      <c r="AM630" s="1489"/>
      <c r="AN630" s="1489"/>
      <c r="AO630" s="1489"/>
      <c r="AP630" s="1489"/>
      <c r="AQ630" s="1489"/>
      <c r="AR630" s="1488"/>
      <c r="AS630" s="1488"/>
      <c r="AT630" s="1488"/>
      <c r="AU630" s="1488"/>
      <c r="AV630" s="1488"/>
      <c r="AW630" s="1488"/>
      <c r="AX630" s="1488"/>
      <c r="AY630" s="1488"/>
    </row>
    <row r="631" spans="3:51" s="1502" customFormat="1">
      <c r="C631" s="1498"/>
      <c r="D631" s="1501"/>
      <c r="E631" s="1500"/>
      <c r="F631" s="814"/>
      <c r="G631" s="1494"/>
      <c r="H631" s="1493"/>
      <c r="I631" s="1493"/>
      <c r="J631" s="813"/>
      <c r="K631" s="814"/>
      <c r="L631" s="1499"/>
      <c r="M631" s="1488"/>
      <c r="N631" s="1488"/>
      <c r="O631" s="1488"/>
      <c r="P631" s="1488"/>
      <c r="Q631" s="1489"/>
      <c r="R631" s="1489"/>
      <c r="S631" s="1489"/>
      <c r="T631" s="1489"/>
      <c r="U631" s="1489"/>
      <c r="V631" s="1489"/>
      <c r="W631" s="1489"/>
      <c r="X631" s="1489"/>
      <c r="Y631" s="1489"/>
      <c r="Z631" s="1489"/>
      <c r="AA631" s="1489"/>
      <c r="AB631" s="1489"/>
      <c r="AC631" s="1489"/>
      <c r="AD631" s="1489"/>
      <c r="AE631" s="1489"/>
      <c r="AF631" s="1489"/>
      <c r="AG631" s="1489"/>
      <c r="AH631" s="1489"/>
      <c r="AI631" s="1489"/>
      <c r="AJ631" s="1489"/>
      <c r="AK631" s="1489"/>
      <c r="AL631" s="1489"/>
      <c r="AM631" s="1489"/>
      <c r="AN631" s="1489"/>
      <c r="AO631" s="1489"/>
      <c r="AP631" s="1489"/>
      <c r="AQ631" s="1489"/>
      <c r="AR631" s="1488"/>
      <c r="AS631" s="1488"/>
      <c r="AT631" s="1488"/>
      <c r="AU631" s="1488"/>
      <c r="AV631" s="1488"/>
      <c r="AW631" s="1488"/>
      <c r="AX631" s="1488"/>
      <c r="AY631" s="1488"/>
    </row>
    <row r="632" spans="3:51" s="1502" customFormat="1">
      <c r="C632" s="1498"/>
      <c r="D632" s="1501"/>
      <c r="E632" s="1500"/>
      <c r="F632" s="814"/>
      <c r="G632" s="1494"/>
      <c r="H632" s="1493"/>
      <c r="I632" s="1493"/>
      <c r="J632" s="813"/>
      <c r="K632" s="814"/>
      <c r="L632" s="1499"/>
      <c r="M632" s="1488"/>
      <c r="N632" s="1488"/>
      <c r="O632" s="1488"/>
      <c r="P632" s="1488"/>
      <c r="Q632" s="1489"/>
      <c r="R632" s="1489"/>
      <c r="S632" s="1489"/>
      <c r="T632" s="1489"/>
      <c r="U632" s="1489"/>
      <c r="V632" s="1489"/>
      <c r="W632" s="1489"/>
      <c r="X632" s="1489"/>
      <c r="Y632" s="1489"/>
      <c r="Z632" s="1489"/>
      <c r="AA632" s="1489"/>
      <c r="AB632" s="1489"/>
      <c r="AC632" s="1489"/>
      <c r="AD632" s="1489"/>
      <c r="AE632" s="1489"/>
      <c r="AF632" s="1489"/>
      <c r="AG632" s="1489"/>
      <c r="AH632" s="1489"/>
      <c r="AI632" s="1489"/>
      <c r="AJ632" s="1489"/>
      <c r="AK632" s="1489"/>
      <c r="AL632" s="1489"/>
      <c r="AM632" s="1489"/>
      <c r="AN632" s="1489"/>
      <c r="AO632" s="1489"/>
      <c r="AP632" s="1489"/>
      <c r="AQ632" s="1489"/>
      <c r="AR632" s="1488"/>
      <c r="AS632" s="1488"/>
      <c r="AT632" s="1488"/>
      <c r="AU632" s="1488"/>
      <c r="AV632" s="1488"/>
      <c r="AW632" s="1488"/>
      <c r="AX632" s="1488"/>
      <c r="AY632" s="1488"/>
    </row>
    <row r="633" spans="3:51" s="1502" customFormat="1">
      <c r="C633" s="1498"/>
      <c r="D633" s="1501"/>
      <c r="E633" s="1500"/>
      <c r="F633" s="814"/>
      <c r="G633" s="1494"/>
      <c r="H633" s="1493"/>
      <c r="I633" s="1493"/>
      <c r="J633" s="813"/>
      <c r="K633" s="814"/>
      <c r="L633" s="1499"/>
      <c r="M633" s="1488"/>
      <c r="N633" s="1488"/>
      <c r="O633" s="1488"/>
      <c r="P633" s="1488"/>
      <c r="Q633" s="1489"/>
      <c r="R633" s="1489"/>
      <c r="S633" s="1489"/>
      <c r="T633" s="1489"/>
      <c r="U633" s="1489"/>
      <c r="V633" s="1489"/>
      <c r="W633" s="1489"/>
      <c r="X633" s="1489"/>
      <c r="Y633" s="1489"/>
      <c r="Z633" s="1489"/>
      <c r="AA633" s="1489"/>
      <c r="AB633" s="1489"/>
      <c r="AC633" s="1489"/>
      <c r="AD633" s="1489"/>
      <c r="AE633" s="1489"/>
      <c r="AF633" s="1489"/>
      <c r="AG633" s="1489"/>
      <c r="AH633" s="1489"/>
      <c r="AI633" s="1489"/>
      <c r="AJ633" s="1489"/>
      <c r="AK633" s="1489"/>
      <c r="AL633" s="1489"/>
      <c r="AM633" s="1489"/>
      <c r="AN633" s="1489"/>
      <c r="AO633" s="1489"/>
      <c r="AP633" s="1489"/>
      <c r="AQ633" s="1489"/>
      <c r="AR633" s="1488"/>
      <c r="AS633" s="1488"/>
      <c r="AT633" s="1488"/>
      <c r="AU633" s="1488"/>
      <c r="AV633" s="1488"/>
      <c r="AW633" s="1488"/>
      <c r="AX633" s="1488"/>
      <c r="AY633" s="1488"/>
    </row>
    <row r="634" spans="3:51" s="1502" customFormat="1">
      <c r="C634" s="1498"/>
      <c r="D634" s="1501"/>
      <c r="E634" s="1500"/>
      <c r="F634" s="814"/>
      <c r="G634" s="1494"/>
      <c r="H634" s="1493"/>
      <c r="I634" s="1493"/>
      <c r="J634" s="813"/>
      <c r="K634" s="814"/>
      <c r="L634" s="1499"/>
      <c r="M634" s="1488"/>
      <c r="N634" s="1488"/>
      <c r="O634" s="1488"/>
      <c r="P634" s="1488"/>
      <c r="Q634" s="1489"/>
      <c r="R634" s="1489"/>
      <c r="S634" s="1489"/>
      <c r="T634" s="1489"/>
      <c r="U634" s="1489"/>
      <c r="V634" s="1489"/>
      <c r="W634" s="1489"/>
      <c r="X634" s="1489"/>
      <c r="Y634" s="1489"/>
      <c r="Z634" s="1489"/>
      <c r="AA634" s="1489"/>
      <c r="AB634" s="1489"/>
      <c r="AC634" s="1489"/>
      <c r="AD634" s="1489"/>
      <c r="AE634" s="1489"/>
      <c r="AF634" s="1489"/>
      <c r="AG634" s="1489"/>
      <c r="AH634" s="1489"/>
      <c r="AI634" s="1489"/>
      <c r="AJ634" s="1489"/>
      <c r="AK634" s="1489"/>
      <c r="AL634" s="1489"/>
      <c r="AM634" s="1489"/>
      <c r="AN634" s="1489"/>
      <c r="AO634" s="1489"/>
      <c r="AP634" s="1489"/>
      <c r="AQ634" s="1489"/>
      <c r="AR634" s="1488"/>
      <c r="AS634" s="1488"/>
      <c r="AT634" s="1488"/>
      <c r="AU634" s="1488"/>
      <c r="AV634" s="1488"/>
      <c r="AW634" s="1488"/>
      <c r="AX634" s="1488"/>
      <c r="AY634" s="1488"/>
    </row>
    <row r="635" spans="3:51" s="1502" customFormat="1">
      <c r="C635" s="1498"/>
      <c r="D635" s="1501"/>
      <c r="E635" s="1500"/>
      <c r="F635" s="814"/>
      <c r="G635" s="1494"/>
      <c r="H635" s="1493"/>
      <c r="I635" s="1493"/>
      <c r="J635" s="813"/>
      <c r="K635" s="814"/>
      <c r="L635" s="1499"/>
      <c r="M635" s="1488"/>
      <c r="N635" s="1488"/>
      <c r="O635" s="1488"/>
      <c r="P635" s="1488"/>
      <c r="Q635" s="1489"/>
      <c r="R635" s="1489"/>
      <c r="S635" s="1489"/>
      <c r="T635" s="1489"/>
      <c r="U635" s="1489"/>
      <c r="V635" s="1489"/>
      <c r="W635" s="1489"/>
      <c r="X635" s="1489"/>
      <c r="Y635" s="1489"/>
      <c r="Z635" s="1489"/>
      <c r="AA635" s="1489"/>
      <c r="AB635" s="1489"/>
      <c r="AC635" s="1489"/>
      <c r="AD635" s="1489"/>
      <c r="AE635" s="1489"/>
      <c r="AF635" s="1489"/>
      <c r="AG635" s="1489"/>
      <c r="AH635" s="1489"/>
      <c r="AI635" s="1489"/>
      <c r="AJ635" s="1489"/>
      <c r="AK635" s="1489"/>
      <c r="AL635" s="1489"/>
      <c r="AM635" s="1489"/>
      <c r="AN635" s="1489"/>
      <c r="AO635" s="1489"/>
      <c r="AP635" s="1489"/>
      <c r="AQ635" s="1489"/>
      <c r="AR635" s="1488"/>
      <c r="AS635" s="1488"/>
      <c r="AT635" s="1488"/>
      <c r="AU635" s="1488"/>
      <c r="AV635" s="1488"/>
      <c r="AW635" s="1488"/>
      <c r="AX635" s="1488"/>
      <c r="AY635" s="1488"/>
    </row>
    <row r="636" spans="3:51" s="1502" customFormat="1">
      <c r="C636" s="1498"/>
      <c r="D636" s="1501"/>
      <c r="E636" s="1500"/>
      <c r="F636" s="814"/>
      <c r="G636" s="1494"/>
      <c r="H636" s="1493"/>
      <c r="I636" s="1493"/>
      <c r="J636" s="813"/>
      <c r="K636" s="814"/>
      <c r="L636" s="1499"/>
      <c r="M636" s="1488"/>
      <c r="N636" s="1488"/>
      <c r="O636" s="1488"/>
      <c r="P636" s="1488"/>
      <c r="Q636" s="1489"/>
      <c r="R636" s="1489"/>
      <c r="S636" s="1489"/>
      <c r="T636" s="1489"/>
      <c r="U636" s="1489"/>
      <c r="V636" s="1489"/>
      <c r="W636" s="1489"/>
      <c r="X636" s="1489"/>
      <c r="Y636" s="1489"/>
      <c r="Z636" s="1489"/>
      <c r="AA636" s="1489"/>
      <c r="AB636" s="1489"/>
      <c r="AC636" s="1489"/>
      <c r="AD636" s="1489"/>
      <c r="AE636" s="1489"/>
      <c r="AF636" s="1489"/>
      <c r="AG636" s="1489"/>
      <c r="AH636" s="1489"/>
      <c r="AI636" s="1489"/>
      <c r="AJ636" s="1489"/>
      <c r="AK636" s="1489"/>
      <c r="AL636" s="1489"/>
      <c r="AM636" s="1489"/>
      <c r="AN636" s="1489"/>
      <c r="AO636" s="1489"/>
      <c r="AP636" s="1489"/>
      <c r="AQ636" s="1489"/>
      <c r="AR636" s="1488"/>
      <c r="AS636" s="1488"/>
      <c r="AT636" s="1488"/>
      <c r="AU636" s="1488"/>
      <c r="AV636" s="1488"/>
      <c r="AW636" s="1488"/>
      <c r="AX636" s="1488"/>
      <c r="AY636" s="1488"/>
    </row>
    <row r="637" spans="3:51" s="1502" customFormat="1">
      <c r="C637" s="1498"/>
      <c r="D637" s="1501"/>
      <c r="E637" s="1500"/>
      <c r="F637" s="814"/>
      <c r="G637" s="1494"/>
      <c r="H637" s="1493"/>
      <c r="I637" s="1493"/>
      <c r="J637" s="813"/>
      <c r="K637" s="814"/>
      <c r="L637" s="1499"/>
      <c r="M637" s="1488"/>
      <c r="N637" s="1488"/>
      <c r="O637" s="1488"/>
      <c r="P637" s="1488"/>
      <c r="Q637" s="1489"/>
      <c r="R637" s="1489"/>
      <c r="S637" s="1489"/>
      <c r="T637" s="1489"/>
      <c r="U637" s="1489"/>
      <c r="V637" s="1489"/>
      <c r="W637" s="1489"/>
      <c r="X637" s="1489"/>
      <c r="Y637" s="1489"/>
      <c r="Z637" s="1489"/>
      <c r="AA637" s="1489"/>
      <c r="AB637" s="1489"/>
      <c r="AC637" s="1489"/>
      <c r="AD637" s="1489"/>
      <c r="AE637" s="1489"/>
      <c r="AF637" s="1489"/>
      <c r="AG637" s="1489"/>
      <c r="AH637" s="1489"/>
      <c r="AI637" s="1489"/>
      <c r="AJ637" s="1489"/>
      <c r="AK637" s="1489"/>
      <c r="AL637" s="1489"/>
      <c r="AM637" s="1489"/>
      <c r="AN637" s="1489"/>
      <c r="AO637" s="1489"/>
      <c r="AP637" s="1489"/>
      <c r="AQ637" s="1489"/>
      <c r="AR637" s="1488"/>
      <c r="AS637" s="1488"/>
      <c r="AT637" s="1488"/>
      <c r="AU637" s="1488"/>
      <c r="AV637" s="1488"/>
      <c r="AW637" s="1488"/>
      <c r="AX637" s="1488"/>
      <c r="AY637" s="1488"/>
    </row>
    <row r="638" spans="3:51" s="1502" customFormat="1">
      <c r="C638" s="1498"/>
      <c r="D638" s="1501"/>
      <c r="E638" s="1500"/>
      <c r="F638" s="814"/>
      <c r="G638" s="1494"/>
      <c r="H638" s="1493"/>
      <c r="I638" s="1493"/>
      <c r="J638" s="813"/>
      <c r="K638" s="814"/>
      <c r="L638" s="1499"/>
      <c r="M638" s="1488"/>
      <c r="N638" s="1488"/>
      <c r="O638" s="1488"/>
      <c r="P638" s="1488"/>
      <c r="Q638" s="1489"/>
      <c r="R638" s="1489"/>
      <c r="S638" s="1489"/>
      <c r="T638" s="1489"/>
      <c r="U638" s="1489"/>
      <c r="V638" s="1489"/>
      <c r="W638" s="1489"/>
      <c r="X638" s="1489"/>
      <c r="Y638" s="1489"/>
      <c r="Z638" s="1489"/>
      <c r="AA638" s="1489"/>
      <c r="AB638" s="1489"/>
      <c r="AC638" s="1489"/>
      <c r="AD638" s="1489"/>
      <c r="AE638" s="1489"/>
      <c r="AF638" s="1489"/>
      <c r="AG638" s="1489"/>
      <c r="AH638" s="1489"/>
      <c r="AI638" s="1489"/>
      <c r="AJ638" s="1489"/>
      <c r="AK638" s="1489"/>
      <c r="AL638" s="1489"/>
      <c r="AM638" s="1489"/>
      <c r="AN638" s="1489"/>
      <c r="AO638" s="1489"/>
      <c r="AP638" s="1489"/>
      <c r="AQ638" s="1489"/>
      <c r="AR638" s="1488"/>
      <c r="AS638" s="1488"/>
      <c r="AT638" s="1488"/>
      <c r="AU638" s="1488"/>
      <c r="AV638" s="1488"/>
      <c r="AW638" s="1488"/>
      <c r="AX638" s="1488"/>
      <c r="AY638" s="1488"/>
    </row>
    <row r="639" spans="3:51" s="1502" customFormat="1">
      <c r="C639" s="1498"/>
      <c r="D639" s="1501"/>
      <c r="E639" s="1500"/>
      <c r="F639" s="814"/>
      <c r="G639" s="1494"/>
      <c r="H639" s="1493"/>
      <c r="I639" s="1493"/>
      <c r="J639" s="813"/>
      <c r="K639" s="814"/>
      <c r="L639" s="1499"/>
      <c r="M639" s="1488"/>
      <c r="N639" s="1488"/>
      <c r="O639" s="1488"/>
      <c r="P639" s="1488"/>
      <c r="Q639" s="1489"/>
      <c r="R639" s="1489"/>
      <c r="S639" s="1489"/>
      <c r="T639" s="1489"/>
      <c r="U639" s="1489"/>
      <c r="V639" s="1489"/>
      <c r="W639" s="1489"/>
      <c r="X639" s="1489"/>
      <c r="Y639" s="1489"/>
      <c r="Z639" s="1489"/>
      <c r="AA639" s="1489"/>
      <c r="AB639" s="1489"/>
      <c r="AC639" s="1489"/>
      <c r="AD639" s="1489"/>
      <c r="AE639" s="1489"/>
      <c r="AF639" s="1489"/>
      <c r="AG639" s="1489"/>
      <c r="AH639" s="1489"/>
      <c r="AI639" s="1489"/>
      <c r="AJ639" s="1489"/>
      <c r="AK639" s="1489"/>
      <c r="AL639" s="1489"/>
      <c r="AM639" s="1489"/>
      <c r="AN639" s="1489"/>
      <c r="AO639" s="1489"/>
      <c r="AP639" s="1489"/>
      <c r="AQ639" s="1489"/>
      <c r="AR639" s="1488"/>
      <c r="AS639" s="1488"/>
      <c r="AT639" s="1488"/>
      <c r="AU639" s="1488"/>
      <c r="AV639" s="1488"/>
      <c r="AW639" s="1488"/>
      <c r="AX639" s="1488"/>
      <c r="AY639" s="1488"/>
    </row>
    <row r="640" spans="3:51" s="1502" customFormat="1">
      <c r="C640" s="1498"/>
      <c r="D640" s="1501"/>
      <c r="E640" s="1500"/>
      <c r="F640" s="814"/>
      <c r="G640" s="1494"/>
      <c r="H640" s="1493"/>
      <c r="I640" s="1493"/>
      <c r="J640" s="813"/>
      <c r="K640" s="814"/>
      <c r="L640" s="1499"/>
      <c r="M640" s="1488"/>
      <c r="N640" s="1488"/>
      <c r="O640" s="1488"/>
      <c r="P640" s="1488"/>
      <c r="Q640" s="1489"/>
      <c r="R640" s="1489"/>
      <c r="S640" s="1489"/>
      <c r="T640" s="1489"/>
      <c r="U640" s="1489"/>
      <c r="V640" s="1489"/>
      <c r="W640" s="1489"/>
      <c r="X640" s="1489"/>
      <c r="Y640" s="1489"/>
      <c r="Z640" s="1489"/>
      <c r="AA640" s="1489"/>
      <c r="AB640" s="1489"/>
      <c r="AC640" s="1489"/>
      <c r="AD640" s="1489"/>
      <c r="AE640" s="1489"/>
      <c r="AF640" s="1489"/>
      <c r="AG640" s="1489"/>
      <c r="AH640" s="1489"/>
      <c r="AI640" s="1489"/>
      <c r="AJ640" s="1489"/>
      <c r="AK640" s="1489"/>
      <c r="AL640" s="1489"/>
      <c r="AM640" s="1489"/>
      <c r="AN640" s="1489"/>
      <c r="AO640" s="1489"/>
      <c r="AP640" s="1489"/>
      <c r="AQ640" s="1489"/>
      <c r="AR640" s="1488"/>
      <c r="AS640" s="1488"/>
      <c r="AT640" s="1488"/>
      <c r="AU640" s="1488"/>
      <c r="AV640" s="1488"/>
      <c r="AW640" s="1488"/>
      <c r="AX640" s="1488"/>
      <c r="AY640" s="1488"/>
    </row>
    <row r="641" spans="3:51" s="1502" customFormat="1">
      <c r="C641" s="1498"/>
      <c r="D641" s="1501"/>
      <c r="E641" s="1500"/>
      <c r="F641" s="814"/>
      <c r="G641" s="1494"/>
      <c r="H641" s="1493"/>
      <c r="I641" s="1493"/>
      <c r="J641" s="813"/>
      <c r="K641" s="814"/>
      <c r="L641" s="1499"/>
      <c r="M641" s="1488"/>
      <c r="N641" s="1488"/>
      <c r="O641" s="1488"/>
      <c r="P641" s="1488"/>
      <c r="Q641" s="1489"/>
      <c r="R641" s="1489"/>
      <c r="S641" s="1489"/>
      <c r="T641" s="1489"/>
      <c r="U641" s="1489"/>
      <c r="V641" s="1489"/>
      <c r="W641" s="1489"/>
      <c r="X641" s="1489"/>
      <c r="Y641" s="1489"/>
      <c r="Z641" s="1489"/>
      <c r="AA641" s="1489"/>
      <c r="AB641" s="1489"/>
      <c r="AC641" s="1489"/>
      <c r="AD641" s="1489"/>
      <c r="AE641" s="1489"/>
      <c r="AF641" s="1489"/>
      <c r="AG641" s="1489"/>
      <c r="AH641" s="1489"/>
      <c r="AI641" s="1489"/>
      <c r="AJ641" s="1489"/>
      <c r="AK641" s="1489"/>
      <c r="AL641" s="1489"/>
      <c r="AM641" s="1489"/>
      <c r="AN641" s="1489"/>
      <c r="AO641" s="1489"/>
      <c r="AP641" s="1489"/>
      <c r="AQ641" s="1489"/>
      <c r="AR641" s="1488"/>
      <c r="AS641" s="1488"/>
      <c r="AT641" s="1488"/>
      <c r="AU641" s="1488"/>
      <c r="AV641" s="1488"/>
      <c r="AW641" s="1488"/>
      <c r="AX641" s="1488"/>
      <c r="AY641" s="1488"/>
    </row>
    <row r="642" spans="3:51" s="1502" customFormat="1">
      <c r="C642" s="1498"/>
      <c r="D642" s="1501"/>
      <c r="E642" s="1500"/>
      <c r="F642" s="814"/>
      <c r="G642" s="1494"/>
      <c r="H642" s="1493"/>
      <c r="I642" s="1493"/>
      <c r="J642" s="813"/>
      <c r="K642" s="814"/>
      <c r="L642" s="1499"/>
      <c r="M642" s="1488"/>
      <c r="N642" s="1488"/>
      <c r="O642" s="1488"/>
      <c r="P642" s="1488"/>
      <c r="Q642" s="1489"/>
      <c r="R642" s="1489"/>
      <c r="S642" s="1489"/>
      <c r="T642" s="1489"/>
      <c r="U642" s="1489"/>
      <c r="V642" s="1489"/>
      <c r="W642" s="1489"/>
      <c r="X642" s="1489"/>
      <c r="Y642" s="1489"/>
      <c r="Z642" s="1489"/>
      <c r="AA642" s="1489"/>
      <c r="AB642" s="1489"/>
      <c r="AC642" s="1489"/>
      <c r="AD642" s="1489"/>
      <c r="AE642" s="1489"/>
      <c r="AF642" s="1489"/>
      <c r="AG642" s="1489"/>
      <c r="AH642" s="1489"/>
      <c r="AI642" s="1489"/>
      <c r="AJ642" s="1489"/>
      <c r="AK642" s="1489"/>
      <c r="AL642" s="1489"/>
      <c r="AM642" s="1489"/>
      <c r="AN642" s="1489"/>
      <c r="AO642" s="1489"/>
      <c r="AP642" s="1489"/>
      <c r="AQ642" s="1489"/>
      <c r="AR642" s="1488"/>
      <c r="AS642" s="1488"/>
      <c r="AT642" s="1488"/>
      <c r="AU642" s="1488"/>
      <c r="AV642" s="1488"/>
      <c r="AW642" s="1488"/>
      <c r="AX642" s="1488"/>
      <c r="AY642" s="1488"/>
    </row>
    <row r="643" spans="3:51" s="1502" customFormat="1">
      <c r="C643" s="1498"/>
      <c r="D643" s="1501"/>
      <c r="E643" s="1500"/>
      <c r="F643" s="814"/>
      <c r="G643" s="1494"/>
      <c r="H643" s="1493"/>
      <c r="I643" s="1493"/>
      <c r="J643" s="813"/>
      <c r="K643" s="814"/>
      <c r="L643" s="1499"/>
      <c r="M643" s="1488"/>
      <c r="N643" s="1488"/>
      <c r="O643" s="1488"/>
      <c r="P643" s="1488"/>
      <c r="Q643" s="1489"/>
      <c r="R643" s="1489"/>
      <c r="S643" s="1489"/>
      <c r="T643" s="1489"/>
      <c r="U643" s="1489"/>
      <c r="V643" s="1489"/>
      <c r="W643" s="1489"/>
      <c r="X643" s="1489"/>
      <c r="Y643" s="1489"/>
      <c r="Z643" s="1489"/>
      <c r="AA643" s="1489"/>
      <c r="AB643" s="1489"/>
      <c r="AC643" s="1489"/>
      <c r="AD643" s="1489"/>
      <c r="AE643" s="1489"/>
      <c r="AF643" s="1489"/>
      <c r="AG643" s="1489"/>
      <c r="AH643" s="1489"/>
      <c r="AI643" s="1489"/>
      <c r="AJ643" s="1489"/>
      <c r="AK643" s="1489"/>
      <c r="AL643" s="1489"/>
      <c r="AM643" s="1489"/>
      <c r="AN643" s="1489"/>
      <c r="AO643" s="1489"/>
      <c r="AP643" s="1489"/>
      <c r="AQ643" s="1489"/>
      <c r="AR643" s="1488"/>
      <c r="AS643" s="1488"/>
      <c r="AT643" s="1488"/>
      <c r="AU643" s="1488"/>
      <c r="AV643" s="1488"/>
      <c r="AW643" s="1488"/>
      <c r="AX643" s="1488"/>
      <c r="AY643" s="1488"/>
    </row>
    <row r="644" spans="3:51" s="1502" customFormat="1">
      <c r="C644" s="1498"/>
      <c r="D644" s="1501"/>
      <c r="E644" s="1500"/>
      <c r="F644" s="814"/>
      <c r="G644" s="1494"/>
      <c r="H644" s="1493"/>
      <c r="I644" s="1493"/>
      <c r="J644" s="813"/>
      <c r="K644" s="814"/>
      <c r="L644" s="1499"/>
      <c r="M644" s="1488"/>
      <c r="N644" s="1488"/>
      <c r="O644" s="1488"/>
      <c r="P644" s="1488"/>
      <c r="Q644" s="1489"/>
      <c r="R644" s="1489"/>
      <c r="S644" s="1489"/>
      <c r="T644" s="1489"/>
      <c r="U644" s="1489"/>
      <c r="V644" s="1489"/>
      <c r="W644" s="1489"/>
      <c r="X644" s="1489"/>
      <c r="Y644" s="1489"/>
      <c r="Z644" s="1489"/>
      <c r="AA644" s="1489"/>
      <c r="AB644" s="1489"/>
      <c r="AC644" s="1489"/>
      <c r="AD644" s="1489"/>
      <c r="AE644" s="1489"/>
      <c r="AF644" s="1489"/>
      <c r="AG644" s="1489"/>
      <c r="AH644" s="1489"/>
      <c r="AI644" s="1489"/>
      <c r="AJ644" s="1489"/>
      <c r="AK644" s="1489"/>
      <c r="AL644" s="1489"/>
      <c r="AM644" s="1489"/>
      <c r="AN644" s="1489"/>
      <c r="AO644" s="1489"/>
      <c r="AP644" s="1489"/>
      <c r="AQ644" s="1489"/>
      <c r="AR644" s="1488"/>
      <c r="AS644" s="1488"/>
      <c r="AT644" s="1488"/>
      <c r="AU644" s="1488"/>
      <c r="AV644" s="1488"/>
      <c r="AW644" s="1488"/>
      <c r="AX644" s="1488"/>
      <c r="AY644" s="1488"/>
    </row>
    <row r="645" spans="3:51" s="1502" customFormat="1">
      <c r="C645" s="1498"/>
      <c r="D645" s="1501"/>
      <c r="E645" s="1500"/>
      <c r="F645" s="814"/>
      <c r="G645" s="1494"/>
      <c r="H645" s="1493"/>
      <c r="I645" s="1493"/>
      <c r="J645" s="813"/>
      <c r="K645" s="814"/>
      <c r="L645" s="1499"/>
      <c r="M645" s="1488"/>
      <c r="N645" s="1488"/>
      <c r="O645" s="1488"/>
      <c r="P645" s="1488"/>
      <c r="Q645" s="1489"/>
      <c r="R645" s="1489"/>
      <c r="S645" s="1489"/>
      <c r="T645" s="1489"/>
      <c r="U645" s="1489"/>
      <c r="V645" s="1489"/>
      <c r="W645" s="1489"/>
      <c r="X645" s="1489"/>
      <c r="Y645" s="1489"/>
      <c r="Z645" s="1489"/>
      <c r="AA645" s="1489"/>
      <c r="AB645" s="1489"/>
      <c r="AC645" s="1489"/>
      <c r="AD645" s="1489"/>
      <c r="AE645" s="1489"/>
      <c r="AF645" s="1489"/>
      <c r="AG645" s="1489"/>
      <c r="AH645" s="1489"/>
      <c r="AI645" s="1489"/>
      <c r="AJ645" s="1489"/>
      <c r="AK645" s="1489"/>
      <c r="AL645" s="1489"/>
      <c r="AM645" s="1489"/>
      <c r="AN645" s="1489"/>
      <c r="AO645" s="1489"/>
      <c r="AP645" s="1489"/>
      <c r="AQ645" s="1489"/>
      <c r="AR645" s="1488"/>
      <c r="AS645" s="1488"/>
      <c r="AT645" s="1488"/>
      <c r="AU645" s="1488"/>
      <c r="AV645" s="1488"/>
      <c r="AW645" s="1488"/>
      <c r="AX645" s="1488"/>
      <c r="AY645" s="1488"/>
    </row>
    <row r="646" spans="3:51" s="1502" customFormat="1">
      <c r="C646" s="1498"/>
      <c r="D646" s="1501"/>
      <c r="E646" s="1500"/>
      <c r="F646" s="814"/>
      <c r="G646" s="1494"/>
      <c r="H646" s="1493"/>
      <c r="I646" s="1493"/>
      <c r="J646" s="813"/>
      <c r="K646" s="814"/>
      <c r="L646" s="1499"/>
      <c r="M646" s="1488"/>
      <c r="N646" s="1488"/>
      <c r="O646" s="1488"/>
      <c r="P646" s="1488"/>
      <c r="Q646" s="1489"/>
      <c r="R646" s="1489"/>
      <c r="S646" s="1489"/>
      <c r="T646" s="1489"/>
      <c r="U646" s="1489"/>
      <c r="V646" s="1489"/>
      <c r="W646" s="1489"/>
      <c r="X646" s="1489"/>
      <c r="Y646" s="1489"/>
      <c r="Z646" s="1489"/>
      <c r="AA646" s="1489"/>
      <c r="AB646" s="1489"/>
      <c r="AC646" s="1489"/>
      <c r="AD646" s="1489"/>
      <c r="AE646" s="1489"/>
      <c r="AF646" s="1489"/>
      <c r="AG646" s="1489"/>
      <c r="AH646" s="1489"/>
      <c r="AI646" s="1489"/>
      <c r="AJ646" s="1489"/>
      <c r="AK646" s="1489"/>
      <c r="AL646" s="1489"/>
      <c r="AM646" s="1489"/>
      <c r="AN646" s="1489"/>
      <c r="AO646" s="1489"/>
      <c r="AP646" s="1489"/>
      <c r="AQ646" s="1489"/>
      <c r="AR646" s="1488"/>
      <c r="AS646" s="1488"/>
      <c r="AT646" s="1488"/>
      <c r="AU646" s="1488"/>
      <c r="AV646" s="1488"/>
      <c r="AW646" s="1488"/>
      <c r="AX646" s="1488"/>
      <c r="AY646" s="1488"/>
    </row>
    <row r="647" spans="3:51" s="1502" customFormat="1">
      <c r="C647" s="1498"/>
      <c r="D647" s="1501"/>
      <c r="E647" s="1500"/>
      <c r="F647" s="814"/>
      <c r="G647" s="1494"/>
      <c r="H647" s="1493"/>
      <c r="I647" s="1493"/>
      <c r="J647" s="813"/>
      <c r="K647" s="814"/>
      <c r="L647" s="1499"/>
      <c r="M647" s="1488"/>
      <c r="N647" s="1488"/>
      <c r="O647" s="1488"/>
      <c r="P647" s="1488"/>
      <c r="Q647" s="1489"/>
      <c r="R647" s="1489"/>
      <c r="S647" s="1489"/>
      <c r="T647" s="1489"/>
      <c r="U647" s="1489"/>
      <c r="V647" s="1489"/>
      <c r="W647" s="1489"/>
      <c r="X647" s="1489"/>
      <c r="Y647" s="1489"/>
      <c r="Z647" s="1489"/>
      <c r="AA647" s="1489"/>
      <c r="AB647" s="1489"/>
      <c r="AC647" s="1489"/>
      <c r="AD647" s="1489"/>
      <c r="AE647" s="1489"/>
      <c r="AF647" s="1489"/>
      <c r="AG647" s="1489"/>
      <c r="AH647" s="1489"/>
      <c r="AI647" s="1489"/>
      <c r="AJ647" s="1489"/>
      <c r="AK647" s="1489"/>
      <c r="AL647" s="1489"/>
      <c r="AM647" s="1489"/>
      <c r="AN647" s="1489"/>
      <c r="AO647" s="1489"/>
      <c r="AP647" s="1489"/>
      <c r="AQ647" s="1489"/>
      <c r="AR647" s="1488"/>
      <c r="AS647" s="1488"/>
      <c r="AT647" s="1488"/>
      <c r="AU647" s="1488"/>
      <c r="AV647" s="1488"/>
      <c r="AW647" s="1488"/>
      <c r="AX647" s="1488"/>
      <c r="AY647" s="1488"/>
    </row>
    <row r="648" spans="3:51" s="1502" customFormat="1">
      <c r="C648" s="1498"/>
      <c r="D648" s="1501"/>
      <c r="E648" s="1500"/>
      <c r="F648" s="814"/>
      <c r="G648" s="1494"/>
      <c r="H648" s="1493"/>
      <c r="I648" s="1493"/>
      <c r="J648" s="813"/>
      <c r="K648" s="814"/>
      <c r="L648" s="1499"/>
      <c r="M648" s="1488"/>
      <c r="N648" s="1488"/>
      <c r="O648" s="1488"/>
      <c r="P648" s="1488"/>
      <c r="Q648" s="1489"/>
      <c r="R648" s="1489"/>
      <c r="S648" s="1489"/>
      <c r="T648" s="1489"/>
      <c r="U648" s="1489"/>
      <c r="V648" s="1489"/>
      <c r="W648" s="1489"/>
      <c r="X648" s="1489"/>
      <c r="Y648" s="1489"/>
      <c r="Z648" s="1489"/>
      <c r="AA648" s="1489"/>
      <c r="AB648" s="1489"/>
      <c r="AC648" s="1489"/>
      <c r="AD648" s="1489"/>
      <c r="AE648" s="1489"/>
      <c r="AF648" s="1489"/>
      <c r="AG648" s="1489"/>
      <c r="AH648" s="1489"/>
      <c r="AI648" s="1489"/>
      <c r="AJ648" s="1489"/>
      <c r="AK648" s="1489"/>
      <c r="AL648" s="1489"/>
      <c r="AM648" s="1489"/>
      <c r="AN648" s="1489"/>
      <c r="AO648" s="1489"/>
      <c r="AP648" s="1489"/>
      <c r="AQ648" s="1489"/>
      <c r="AR648" s="1488"/>
      <c r="AS648" s="1488"/>
      <c r="AT648" s="1488"/>
      <c r="AU648" s="1488"/>
      <c r="AV648" s="1488"/>
      <c r="AW648" s="1488"/>
      <c r="AX648" s="1488"/>
      <c r="AY648" s="1488"/>
    </row>
    <row r="649" spans="3:51" s="1502" customFormat="1">
      <c r="C649" s="1498"/>
      <c r="D649" s="1501"/>
      <c r="E649" s="1500"/>
      <c r="F649" s="814"/>
      <c r="G649" s="1494"/>
      <c r="H649" s="1493"/>
      <c r="I649" s="1493"/>
      <c r="J649" s="813"/>
      <c r="K649" s="814"/>
      <c r="L649" s="1499"/>
      <c r="M649" s="1488"/>
      <c r="N649" s="1488"/>
      <c r="O649" s="1488"/>
      <c r="P649" s="1488"/>
      <c r="Q649" s="1489"/>
      <c r="R649" s="1489"/>
      <c r="S649" s="1489"/>
      <c r="T649" s="1489"/>
      <c r="U649" s="1489"/>
      <c r="V649" s="1489"/>
      <c r="W649" s="1489"/>
      <c r="X649" s="1489"/>
      <c r="Y649" s="1489"/>
      <c r="Z649" s="1489"/>
      <c r="AA649" s="1489"/>
      <c r="AB649" s="1489"/>
      <c r="AC649" s="1489"/>
      <c r="AD649" s="1489"/>
      <c r="AE649" s="1489"/>
      <c r="AF649" s="1489"/>
      <c r="AG649" s="1489"/>
      <c r="AH649" s="1489"/>
      <c r="AI649" s="1489"/>
      <c r="AJ649" s="1489"/>
      <c r="AK649" s="1489"/>
      <c r="AL649" s="1489"/>
      <c r="AM649" s="1489"/>
      <c r="AN649" s="1489"/>
      <c r="AO649" s="1489"/>
      <c r="AP649" s="1489"/>
      <c r="AQ649" s="1489"/>
      <c r="AR649" s="1488"/>
      <c r="AS649" s="1488"/>
      <c r="AT649" s="1488"/>
      <c r="AU649" s="1488"/>
      <c r="AV649" s="1488"/>
      <c r="AW649" s="1488"/>
      <c r="AX649" s="1488"/>
      <c r="AY649" s="1488"/>
    </row>
    <row r="650" spans="3:51" s="1502" customFormat="1">
      <c r="C650" s="1498"/>
      <c r="D650" s="1501"/>
      <c r="E650" s="1500"/>
      <c r="F650" s="814"/>
      <c r="G650" s="1494"/>
      <c r="H650" s="1493"/>
      <c r="I650" s="1493"/>
      <c r="J650" s="813"/>
      <c r="K650" s="814"/>
      <c r="L650" s="1499"/>
      <c r="M650" s="1488"/>
      <c r="N650" s="1488"/>
      <c r="O650" s="1488"/>
      <c r="P650" s="1488"/>
      <c r="Q650" s="1489"/>
      <c r="R650" s="1489"/>
      <c r="S650" s="1489"/>
      <c r="T650" s="1489"/>
      <c r="U650" s="1489"/>
      <c r="V650" s="1489"/>
      <c r="W650" s="1489"/>
      <c r="X650" s="1489"/>
      <c r="Y650" s="1489"/>
      <c r="Z650" s="1489"/>
      <c r="AA650" s="1489"/>
      <c r="AB650" s="1489"/>
      <c r="AC650" s="1489"/>
      <c r="AD650" s="1489"/>
      <c r="AE650" s="1489"/>
      <c r="AF650" s="1489"/>
      <c r="AG650" s="1489"/>
      <c r="AH650" s="1489"/>
      <c r="AI650" s="1489"/>
      <c r="AJ650" s="1489"/>
      <c r="AK650" s="1489"/>
      <c r="AL650" s="1489"/>
      <c r="AM650" s="1489"/>
      <c r="AN650" s="1489"/>
      <c r="AO650" s="1489"/>
      <c r="AP650" s="1489"/>
      <c r="AQ650" s="1489"/>
      <c r="AR650" s="1488"/>
      <c r="AS650" s="1488"/>
      <c r="AT650" s="1488"/>
      <c r="AU650" s="1488"/>
      <c r="AV650" s="1488"/>
      <c r="AW650" s="1488"/>
      <c r="AX650" s="1488"/>
      <c r="AY650" s="1488"/>
    </row>
    <row r="651" spans="3:51" s="1502" customFormat="1">
      <c r="C651" s="1498"/>
      <c r="D651" s="1501"/>
      <c r="E651" s="1500"/>
      <c r="F651" s="814"/>
      <c r="G651" s="1494"/>
      <c r="H651" s="1493"/>
      <c r="I651" s="1493"/>
      <c r="J651" s="813"/>
      <c r="K651" s="814"/>
      <c r="L651" s="1499"/>
      <c r="M651" s="1488"/>
      <c r="N651" s="1488"/>
      <c r="O651" s="1488"/>
      <c r="P651" s="1488"/>
      <c r="Q651" s="1489"/>
      <c r="R651" s="1489"/>
      <c r="S651" s="1489"/>
      <c r="T651" s="1489"/>
      <c r="U651" s="1489"/>
      <c r="V651" s="1489"/>
      <c r="W651" s="1489"/>
      <c r="X651" s="1489"/>
      <c r="Y651" s="1489"/>
      <c r="Z651" s="1489"/>
      <c r="AA651" s="1489"/>
      <c r="AB651" s="1489"/>
      <c r="AC651" s="1489"/>
      <c r="AD651" s="1489"/>
      <c r="AE651" s="1489"/>
      <c r="AF651" s="1489"/>
      <c r="AG651" s="1489"/>
      <c r="AH651" s="1489"/>
      <c r="AI651" s="1489"/>
      <c r="AJ651" s="1489"/>
      <c r="AK651" s="1489"/>
      <c r="AL651" s="1489"/>
      <c r="AM651" s="1489"/>
      <c r="AN651" s="1489"/>
      <c r="AO651" s="1489"/>
      <c r="AP651" s="1489"/>
      <c r="AQ651" s="1489"/>
      <c r="AR651" s="1488"/>
      <c r="AS651" s="1488"/>
      <c r="AT651" s="1488"/>
      <c r="AU651" s="1488"/>
      <c r="AV651" s="1488"/>
      <c r="AW651" s="1488"/>
      <c r="AX651" s="1488"/>
      <c r="AY651" s="1488"/>
    </row>
    <row r="652" spans="3:51" s="1502" customFormat="1">
      <c r="C652" s="1498"/>
      <c r="D652" s="1501"/>
      <c r="E652" s="1500"/>
      <c r="F652" s="814"/>
      <c r="G652" s="1494"/>
      <c r="H652" s="1493"/>
      <c r="I652" s="1493"/>
      <c r="J652" s="813"/>
      <c r="K652" s="814"/>
      <c r="L652" s="1499"/>
      <c r="M652" s="1488"/>
      <c r="N652" s="1488"/>
      <c r="O652" s="1488"/>
      <c r="P652" s="1488"/>
      <c r="Q652" s="1489"/>
      <c r="R652" s="1489"/>
      <c r="S652" s="1489"/>
      <c r="T652" s="1489"/>
      <c r="U652" s="1489"/>
      <c r="V652" s="1489"/>
      <c r="W652" s="1489"/>
      <c r="X652" s="1489"/>
      <c r="Y652" s="1489"/>
      <c r="Z652" s="1489"/>
      <c r="AA652" s="1489"/>
      <c r="AB652" s="1489"/>
      <c r="AC652" s="1489"/>
      <c r="AD652" s="1489"/>
      <c r="AE652" s="1489"/>
      <c r="AF652" s="1489"/>
      <c r="AG652" s="1489"/>
      <c r="AH652" s="1489"/>
      <c r="AI652" s="1489"/>
      <c r="AJ652" s="1489"/>
      <c r="AK652" s="1489"/>
      <c r="AL652" s="1489"/>
      <c r="AM652" s="1489"/>
      <c r="AN652" s="1489"/>
      <c r="AO652" s="1489"/>
      <c r="AP652" s="1489"/>
      <c r="AQ652" s="1489"/>
      <c r="AR652" s="1488"/>
      <c r="AS652" s="1488"/>
      <c r="AT652" s="1488"/>
      <c r="AU652" s="1488"/>
      <c r="AV652" s="1488"/>
      <c r="AW652" s="1488"/>
      <c r="AX652" s="1488"/>
      <c r="AY652" s="1488"/>
    </row>
    <row r="653" spans="3:51" s="1502" customFormat="1">
      <c r="C653" s="1498"/>
      <c r="D653" s="1501"/>
      <c r="E653" s="1500"/>
      <c r="F653" s="814"/>
      <c r="G653" s="1494"/>
      <c r="H653" s="1493"/>
      <c r="I653" s="1493"/>
      <c r="J653" s="813"/>
      <c r="K653" s="814"/>
      <c r="L653" s="1499"/>
      <c r="M653" s="1488"/>
      <c r="N653" s="1488"/>
      <c r="O653" s="1488"/>
      <c r="P653" s="1488"/>
      <c r="Q653" s="1489"/>
      <c r="R653" s="1489"/>
      <c r="S653" s="1489"/>
      <c r="T653" s="1489"/>
      <c r="U653" s="1489"/>
      <c r="V653" s="1489"/>
      <c r="W653" s="1489"/>
      <c r="X653" s="1489"/>
      <c r="Y653" s="1489"/>
      <c r="Z653" s="1489"/>
      <c r="AA653" s="1489"/>
      <c r="AB653" s="1489"/>
      <c r="AC653" s="1489"/>
      <c r="AD653" s="1489"/>
      <c r="AE653" s="1489"/>
      <c r="AF653" s="1489"/>
      <c r="AG653" s="1489"/>
      <c r="AH653" s="1489"/>
      <c r="AI653" s="1489"/>
      <c r="AJ653" s="1489"/>
      <c r="AK653" s="1489"/>
      <c r="AL653" s="1489"/>
      <c r="AM653" s="1489"/>
      <c r="AN653" s="1489"/>
      <c r="AO653" s="1489"/>
      <c r="AP653" s="1489"/>
      <c r="AQ653" s="1489"/>
      <c r="AR653" s="1488"/>
      <c r="AS653" s="1488"/>
      <c r="AT653" s="1488"/>
      <c r="AU653" s="1488"/>
      <c r="AV653" s="1488"/>
      <c r="AW653" s="1488"/>
      <c r="AX653" s="1488"/>
      <c r="AY653" s="1488"/>
    </row>
    <row r="654" spans="3:51" s="1502" customFormat="1">
      <c r="C654" s="1498"/>
      <c r="D654" s="1501"/>
      <c r="E654" s="1500"/>
      <c r="F654" s="814"/>
      <c r="G654" s="1494"/>
      <c r="H654" s="1493"/>
      <c r="I654" s="1493"/>
      <c r="J654" s="813"/>
      <c r="K654" s="814"/>
      <c r="L654" s="1499"/>
      <c r="M654" s="1488"/>
      <c r="N654" s="1488"/>
      <c r="O654" s="1488"/>
      <c r="P654" s="1488"/>
      <c r="Q654" s="1489"/>
      <c r="R654" s="1489"/>
      <c r="S654" s="1489"/>
      <c r="T654" s="1489"/>
      <c r="U654" s="1489"/>
      <c r="V654" s="1489"/>
      <c r="W654" s="1489"/>
      <c r="X654" s="1489"/>
      <c r="Y654" s="1489"/>
      <c r="Z654" s="1489"/>
      <c r="AA654" s="1489"/>
      <c r="AB654" s="1489"/>
      <c r="AC654" s="1489"/>
      <c r="AD654" s="1489"/>
      <c r="AE654" s="1489"/>
      <c r="AF654" s="1489"/>
      <c r="AG654" s="1489"/>
      <c r="AH654" s="1489"/>
      <c r="AI654" s="1489"/>
      <c r="AJ654" s="1489"/>
      <c r="AK654" s="1489"/>
      <c r="AL654" s="1489"/>
      <c r="AM654" s="1489"/>
      <c r="AN654" s="1489"/>
      <c r="AO654" s="1489"/>
      <c r="AP654" s="1489"/>
      <c r="AQ654" s="1489"/>
      <c r="AR654" s="1488"/>
      <c r="AS654" s="1488"/>
      <c r="AT654" s="1488"/>
      <c r="AU654" s="1488"/>
      <c r="AV654" s="1488"/>
      <c r="AW654" s="1488"/>
      <c r="AX654" s="1488"/>
      <c r="AY654" s="1488"/>
    </row>
    <row r="655" spans="3:51" s="1502" customFormat="1">
      <c r="C655" s="1498"/>
      <c r="D655" s="1501"/>
      <c r="E655" s="1500"/>
      <c r="F655" s="814"/>
      <c r="G655" s="1494"/>
      <c r="H655" s="1493"/>
      <c r="I655" s="1493"/>
      <c r="J655" s="813"/>
      <c r="K655" s="814"/>
      <c r="L655" s="1499"/>
      <c r="M655" s="1488"/>
      <c r="N655" s="1488"/>
      <c r="O655" s="1488"/>
      <c r="P655" s="1488"/>
      <c r="Q655" s="1489"/>
      <c r="R655" s="1489"/>
      <c r="S655" s="1489"/>
      <c r="T655" s="1489"/>
      <c r="U655" s="1489"/>
      <c r="V655" s="1489"/>
      <c r="W655" s="1489"/>
      <c r="X655" s="1489"/>
      <c r="Y655" s="1489"/>
      <c r="Z655" s="1489"/>
      <c r="AA655" s="1489"/>
      <c r="AB655" s="1489"/>
      <c r="AC655" s="1489"/>
      <c r="AD655" s="1489"/>
      <c r="AE655" s="1489"/>
      <c r="AF655" s="1489"/>
      <c r="AG655" s="1489"/>
      <c r="AH655" s="1489"/>
      <c r="AI655" s="1489"/>
      <c r="AJ655" s="1489"/>
      <c r="AK655" s="1489"/>
      <c r="AL655" s="1489"/>
      <c r="AM655" s="1489"/>
      <c r="AN655" s="1489"/>
      <c r="AO655" s="1489"/>
      <c r="AP655" s="1489"/>
      <c r="AQ655" s="1489"/>
      <c r="AR655" s="1488"/>
      <c r="AS655" s="1488"/>
      <c r="AT655" s="1488"/>
      <c r="AU655" s="1488"/>
      <c r="AV655" s="1488"/>
      <c r="AW655" s="1488"/>
      <c r="AX655" s="1488"/>
      <c r="AY655" s="1488"/>
    </row>
    <row r="656" spans="3:51" s="1502" customFormat="1">
      <c r="C656" s="1498"/>
      <c r="D656" s="1501"/>
      <c r="E656" s="1500"/>
      <c r="F656" s="814"/>
      <c r="G656" s="1494"/>
      <c r="H656" s="1493"/>
      <c r="I656" s="1493"/>
      <c r="J656" s="813"/>
      <c r="K656" s="814"/>
      <c r="L656" s="1499"/>
      <c r="M656" s="1488"/>
      <c r="N656" s="1488"/>
      <c r="O656" s="1488"/>
      <c r="P656" s="1488"/>
      <c r="Q656" s="1489"/>
      <c r="R656" s="1489"/>
      <c r="S656" s="1489"/>
      <c r="T656" s="1489"/>
      <c r="U656" s="1489"/>
      <c r="V656" s="1489"/>
      <c r="W656" s="1489"/>
      <c r="X656" s="1489"/>
      <c r="Y656" s="1489"/>
      <c r="Z656" s="1489"/>
      <c r="AA656" s="1489"/>
      <c r="AB656" s="1489"/>
      <c r="AC656" s="1489"/>
      <c r="AD656" s="1489"/>
      <c r="AE656" s="1489"/>
      <c r="AF656" s="1489"/>
      <c r="AG656" s="1489"/>
      <c r="AH656" s="1489"/>
      <c r="AI656" s="1489"/>
      <c r="AJ656" s="1489"/>
      <c r="AK656" s="1489"/>
      <c r="AL656" s="1489"/>
      <c r="AM656" s="1489"/>
      <c r="AN656" s="1489"/>
      <c r="AO656" s="1489"/>
      <c r="AP656" s="1489"/>
      <c r="AQ656" s="1489"/>
      <c r="AR656" s="1488"/>
      <c r="AS656" s="1488"/>
      <c r="AT656" s="1488"/>
      <c r="AU656" s="1488"/>
      <c r="AV656" s="1488"/>
      <c r="AW656" s="1488"/>
      <c r="AX656" s="1488"/>
      <c r="AY656" s="1488"/>
    </row>
    <row r="657" spans="3:51" s="1502" customFormat="1">
      <c r="C657" s="1498"/>
      <c r="D657" s="1501"/>
      <c r="E657" s="1500"/>
      <c r="F657" s="814"/>
      <c r="G657" s="1494"/>
      <c r="H657" s="1493"/>
      <c r="I657" s="1493"/>
      <c r="J657" s="813"/>
      <c r="K657" s="814"/>
      <c r="L657" s="1499"/>
      <c r="M657" s="1488"/>
      <c r="N657" s="1488"/>
      <c r="O657" s="1488"/>
      <c r="P657" s="1488"/>
      <c r="Q657" s="1489"/>
      <c r="R657" s="1489"/>
      <c r="S657" s="1489"/>
      <c r="T657" s="1489"/>
      <c r="U657" s="1489"/>
      <c r="V657" s="1489"/>
      <c r="W657" s="1489"/>
      <c r="X657" s="1489"/>
      <c r="Y657" s="1489"/>
      <c r="Z657" s="1489"/>
      <c r="AA657" s="1489"/>
      <c r="AB657" s="1489"/>
      <c r="AC657" s="1489"/>
      <c r="AD657" s="1489"/>
      <c r="AE657" s="1489"/>
      <c r="AF657" s="1489"/>
      <c r="AG657" s="1489"/>
      <c r="AH657" s="1489"/>
      <c r="AI657" s="1489"/>
      <c r="AJ657" s="1489"/>
      <c r="AK657" s="1489"/>
      <c r="AL657" s="1489"/>
      <c r="AM657" s="1489"/>
      <c r="AN657" s="1489"/>
      <c r="AO657" s="1489"/>
      <c r="AP657" s="1489"/>
      <c r="AQ657" s="1489"/>
      <c r="AR657" s="1488"/>
      <c r="AS657" s="1488"/>
      <c r="AT657" s="1488"/>
      <c r="AU657" s="1488"/>
      <c r="AV657" s="1488"/>
      <c r="AW657" s="1488"/>
      <c r="AX657" s="1488"/>
      <c r="AY657" s="1488"/>
    </row>
    <row r="658" spans="3:51" s="1502" customFormat="1">
      <c r="C658" s="1498"/>
      <c r="D658" s="1501"/>
      <c r="E658" s="1500"/>
      <c r="F658" s="814"/>
      <c r="G658" s="1494"/>
      <c r="H658" s="1493"/>
      <c r="I658" s="1493"/>
      <c r="J658" s="813"/>
      <c r="K658" s="814"/>
      <c r="L658" s="1499"/>
      <c r="M658" s="1488"/>
      <c r="N658" s="1488"/>
      <c r="O658" s="1488"/>
      <c r="P658" s="1488"/>
      <c r="Q658" s="1489"/>
      <c r="R658" s="1489"/>
      <c r="S658" s="1489"/>
      <c r="T658" s="1489"/>
      <c r="U658" s="1489"/>
      <c r="V658" s="1489"/>
      <c r="W658" s="1489"/>
      <c r="X658" s="1489"/>
      <c r="Y658" s="1489"/>
      <c r="Z658" s="1489"/>
      <c r="AA658" s="1489"/>
      <c r="AB658" s="1489"/>
      <c r="AC658" s="1489"/>
      <c r="AD658" s="1489"/>
      <c r="AE658" s="1489"/>
      <c r="AF658" s="1489"/>
      <c r="AG658" s="1489"/>
      <c r="AH658" s="1489"/>
      <c r="AI658" s="1489"/>
      <c r="AJ658" s="1489"/>
      <c r="AK658" s="1489"/>
      <c r="AL658" s="1489"/>
      <c r="AM658" s="1489"/>
      <c r="AN658" s="1489"/>
      <c r="AO658" s="1489"/>
      <c r="AP658" s="1489"/>
      <c r="AQ658" s="1489"/>
      <c r="AR658" s="1488"/>
      <c r="AS658" s="1488"/>
      <c r="AT658" s="1488"/>
      <c r="AU658" s="1488"/>
      <c r="AV658" s="1488"/>
      <c r="AW658" s="1488"/>
      <c r="AX658" s="1488"/>
      <c r="AY658" s="1488"/>
    </row>
    <row r="659" spans="3:51" s="1502" customFormat="1">
      <c r="C659" s="1498"/>
      <c r="D659" s="1501"/>
      <c r="E659" s="1500"/>
      <c r="F659" s="814"/>
      <c r="G659" s="1494"/>
      <c r="H659" s="1493"/>
      <c r="I659" s="1493"/>
      <c r="J659" s="813"/>
      <c r="K659" s="814"/>
      <c r="L659" s="1499"/>
      <c r="M659" s="1488"/>
      <c r="N659" s="1488"/>
      <c r="O659" s="1488"/>
      <c r="P659" s="1488"/>
      <c r="Q659" s="1489"/>
      <c r="R659" s="1489"/>
      <c r="S659" s="1489"/>
      <c r="T659" s="1489"/>
      <c r="U659" s="1489"/>
      <c r="V659" s="1489"/>
      <c r="W659" s="1489"/>
      <c r="X659" s="1489"/>
      <c r="Y659" s="1489"/>
      <c r="Z659" s="1489"/>
      <c r="AA659" s="1489"/>
      <c r="AB659" s="1489"/>
      <c r="AC659" s="1489"/>
      <c r="AD659" s="1489"/>
      <c r="AE659" s="1489"/>
      <c r="AF659" s="1489"/>
      <c r="AG659" s="1489"/>
      <c r="AH659" s="1489"/>
      <c r="AI659" s="1489"/>
      <c r="AJ659" s="1489"/>
      <c r="AK659" s="1489"/>
      <c r="AL659" s="1489"/>
      <c r="AM659" s="1489"/>
      <c r="AN659" s="1489"/>
      <c r="AO659" s="1489"/>
      <c r="AP659" s="1489"/>
      <c r="AQ659" s="1489"/>
      <c r="AR659" s="1488"/>
      <c r="AS659" s="1488"/>
      <c r="AT659" s="1488"/>
      <c r="AU659" s="1488"/>
      <c r="AV659" s="1488"/>
      <c r="AW659" s="1488"/>
      <c r="AX659" s="1488"/>
      <c r="AY659" s="1488"/>
    </row>
    <row r="660" spans="3:51" s="1502" customFormat="1">
      <c r="C660" s="1498"/>
      <c r="D660" s="1501"/>
      <c r="E660" s="1500"/>
      <c r="F660" s="814"/>
      <c r="G660" s="1494"/>
      <c r="H660" s="1493"/>
      <c r="I660" s="1493"/>
      <c r="J660" s="813"/>
      <c r="K660" s="814"/>
      <c r="L660" s="1499"/>
      <c r="M660" s="1488"/>
      <c r="N660" s="1488"/>
      <c r="O660" s="1488"/>
      <c r="P660" s="1488"/>
      <c r="Q660" s="1489"/>
      <c r="R660" s="1489"/>
      <c r="S660" s="1489"/>
      <c r="T660" s="1489"/>
      <c r="U660" s="1489"/>
      <c r="V660" s="1489"/>
      <c r="W660" s="1489"/>
      <c r="X660" s="1489"/>
      <c r="Y660" s="1489"/>
      <c r="Z660" s="1489"/>
      <c r="AA660" s="1489"/>
      <c r="AB660" s="1489"/>
      <c r="AC660" s="1489"/>
      <c r="AD660" s="1489"/>
      <c r="AE660" s="1489"/>
      <c r="AF660" s="1489"/>
      <c r="AG660" s="1489"/>
      <c r="AH660" s="1489"/>
      <c r="AI660" s="1489"/>
      <c r="AJ660" s="1489"/>
      <c r="AK660" s="1489"/>
      <c r="AL660" s="1489"/>
      <c r="AM660" s="1489"/>
      <c r="AN660" s="1489"/>
      <c r="AO660" s="1489"/>
      <c r="AP660" s="1489"/>
      <c r="AQ660" s="1489"/>
      <c r="AR660" s="1488"/>
      <c r="AS660" s="1488"/>
      <c r="AT660" s="1488"/>
      <c r="AU660" s="1488"/>
      <c r="AV660" s="1488"/>
      <c r="AW660" s="1488"/>
      <c r="AX660" s="1488"/>
      <c r="AY660" s="1488"/>
    </row>
    <row r="661" spans="3:51" s="1502" customFormat="1">
      <c r="C661" s="1498"/>
      <c r="D661" s="1501"/>
      <c r="E661" s="1500"/>
      <c r="F661" s="814"/>
      <c r="G661" s="1494"/>
      <c r="H661" s="1493"/>
      <c r="I661" s="1493"/>
      <c r="J661" s="813"/>
      <c r="K661" s="814"/>
      <c r="L661" s="1499"/>
      <c r="M661" s="1488"/>
      <c r="N661" s="1488"/>
      <c r="O661" s="1488"/>
      <c r="P661" s="1488"/>
      <c r="Q661" s="1489"/>
      <c r="R661" s="1489"/>
      <c r="S661" s="1489"/>
      <c r="T661" s="1489"/>
      <c r="U661" s="1489"/>
      <c r="V661" s="1489"/>
      <c r="W661" s="1489"/>
      <c r="X661" s="1489"/>
      <c r="Y661" s="1489"/>
      <c r="Z661" s="1489"/>
      <c r="AA661" s="1489"/>
      <c r="AB661" s="1489"/>
      <c r="AC661" s="1489"/>
      <c r="AD661" s="1489"/>
      <c r="AE661" s="1489"/>
      <c r="AF661" s="1489"/>
      <c r="AG661" s="1489"/>
      <c r="AH661" s="1489"/>
      <c r="AI661" s="1489"/>
      <c r="AJ661" s="1489"/>
      <c r="AK661" s="1489"/>
      <c r="AL661" s="1489"/>
      <c r="AM661" s="1489"/>
      <c r="AN661" s="1489"/>
      <c r="AO661" s="1489"/>
      <c r="AP661" s="1489"/>
      <c r="AQ661" s="1489"/>
      <c r="AR661" s="1488"/>
      <c r="AS661" s="1488"/>
      <c r="AT661" s="1488"/>
      <c r="AU661" s="1488"/>
      <c r="AV661" s="1488"/>
      <c r="AW661" s="1488"/>
      <c r="AX661" s="1488"/>
      <c r="AY661" s="1488"/>
    </row>
    <row r="662" spans="3:51" s="1502" customFormat="1">
      <c r="C662" s="1498"/>
      <c r="D662" s="1501"/>
      <c r="E662" s="1500"/>
      <c r="F662" s="814"/>
      <c r="G662" s="1494"/>
      <c r="H662" s="1493"/>
      <c r="I662" s="1493"/>
      <c r="J662" s="813"/>
      <c r="K662" s="814"/>
      <c r="L662" s="1499"/>
      <c r="M662" s="1488"/>
      <c r="N662" s="1488"/>
      <c r="O662" s="1488"/>
      <c r="P662" s="1488"/>
      <c r="Q662" s="1489"/>
      <c r="R662" s="1489"/>
      <c r="S662" s="1489"/>
      <c r="T662" s="1489"/>
      <c r="U662" s="1489"/>
      <c r="V662" s="1489"/>
      <c r="W662" s="1489"/>
      <c r="X662" s="1489"/>
      <c r="Y662" s="1489"/>
      <c r="Z662" s="1489"/>
      <c r="AA662" s="1489"/>
      <c r="AB662" s="1489"/>
      <c r="AC662" s="1489"/>
      <c r="AD662" s="1489"/>
      <c r="AE662" s="1489"/>
      <c r="AF662" s="1489"/>
      <c r="AG662" s="1489"/>
      <c r="AH662" s="1489"/>
      <c r="AI662" s="1489"/>
      <c r="AJ662" s="1489"/>
      <c r="AK662" s="1489"/>
      <c r="AL662" s="1489"/>
      <c r="AM662" s="1489"/>
      <c r="AN662" s="1489"/>
      <c r="AO662" s="1489"/>
      <c r="AP662" s="1489"/>
      <c r="AQ662" s="1489"/>
      <c r="AR662" s="1488"/>
      <c r="AS662" s="1488"/>
      <c r="AT662" s="1488"/>
      <c r="AU662" s="1488"/>
      <c r="AV662" s="1488"/>
      <c r="AW662" s="1488"/>
      <c r="AX662" s="1488"/>
      <c r="AY662" s="1488"/>
    </row>
    <row r="663" spans="3:51" s="1502" customFormat="1">
      <c r="C663" s="1498"/>
      <c r="D663" s="1501"/>
      <c r="E663" s="1500"/>
      <c r="F663" s="814"/>
      <c r="G663" s="1494"/>
      <c r="H663" s="1493"/>
      <c r="I663" s="1493"/>
      <c r="J663" s="813"/>
      <c r="K663" s="814"/>
      <c r="L663" s="1499"/>
      <c r="M663" s="1488"/>
      <c r="N663" s="1488"/>
      <c r="O663" s="1488"/>
      <c r="P663" s="1488"/>
      <c r="Q663" s="1489"/>
      <c r="R663" s="1489"/>
      <c r="S663" s="1489"/>
      <c r="T663" s="1489"/>
      <c r="U663" s="1489"/>
      <c r="V663" s="1489"/>
      <c r="W663" s="1489"/>
      <c r="X663" s="1489"/>
      <c r="Y663" s="1489"/>
      <c r="Z663" s="1489"/>
      <c r="AA663" s="1489"/>
      <c r="AB663" s="1489"/>
      <c r="AC663" s="1489"/>
      <c r="AD663" s="1489"/>
      <c r="AE663" s="1489"/>
      <c r="AF663" s="1489"/>
      <c r="AG663" s="1489"/>
      <c r="AH663" s="1489"/>
      <c r="AI663" s="1489"/>
      <c r="AJ663" s="1489"/>
      <c r="AK663" s="1489"/>
      <c r="AL663" s="1489"/>
      <c r="AM663" s="1489"/>
      <c r="AN663" s="1489"/>
      <c r="AO663" s="1489"/>
      <c r="AP663" s="1489"/>
      <c r="AQ663" s="1489"/>
      <c r="AR663" s="1488"/>
      <c r="AS663" s="1488"/>
      <c r="AT663" s="1488"/>
      <c r="AU663" s="1488"/>
      <c r="AV663" s="1488"/>
      <c r="AW663" s="1488"/>
      <c r="AX663" s="1488"/>
      <c r="AY663" s="1488"/>
    </row>
    <row r="664" spans="3:51" s="1502" customFormat="1">
      <c r="C664" s="1498"/>
      <c r="D664" s="1501"/>
      <c r="E664" s="1500"/>
      <c r="F664" s="814"/>
      <c r="G664" s="1494"/>
      <c r="H664" s="1493"/>
      <c r="I664" s="1493"/>
      <c r="J664" s="813"/>
      <c r="K664" s="814"/>
      <c r="L664" s="1499"/>
      <c r="M664" s="1488"/>
      <c r="N664" s="1488"/>
      <c r="O664" s="1488"/>
      <c r="P664" s="1488"/>
      <c r="Q664" s="1489"/>
      <c r="R664" s="1489"/>
      <c r="S664" s="1489"/>
      <c r="T664" s="1489"/>
      <c r="U664" s="1489"/>
      <c r="V664" s="1489"/>
      <c r="W664" s="1489"/>
      <c r="X664" s="1489"/>
      <c r="Y664" s="1489"/>
      <c r="Z664" s="1489"/>
      <c r="AA664" s="1489"/>
      <c r="AB664" s="1489"/>
      <c r="AC664" s="1489"/>
      <c r="AD664" s="1489"/>
      <c r="AE664" s="1489"/>
      <c r="AF664" s="1489"/>
      <c r="AG664" s="1489"/>
      <c r="AH664" s="1489"/>
      <c r="AI664" s="1489"/>
      <c r="AJ664" s="1489"/>
      <c r="AK664" s="1489"/>
      <c r="AL664" s="1489"/>
      <c r="AM664" s="1489"/>
      <c r="AN664" s="1489"/>
      <c r="AO664" s="1489"/>
      <c r="AP664" s="1489"/>
      <c r="AQ664" s="1489"/>
      <c r="AR664" s="1488"/>
      <c r="AS664" s="1488"/>
      <c r="AT664" s="1488"/>
      <c r="AU664" s="1488"/>
      <c r="AV664" s="1488"/>
      <c r="AW664" s="1488"/>
      <c r="AX664" s="1488"/>
      <c r="AY664" s="1488"/>
    </row>
    <row r="665" spans="3:51" s="1502" customFormat="1">
      <c r="C665" s="1498"/>
      <c r="D665" s="1501"/>
      <c r="E665" s="1500"/>
      <c r="F665" s="814"/>
      <c r="G665" s="1494"/>
      <c r="H665" s="1493"/>
      <c r="I665" s="1493"/>
      <c r="J665" s="813"/>
      <c r="K665" s="814"/>
      <c r="L665" s="1499"/>
      <c r="M665" s="1488"/>
      <c r="N665" s="1488"/>
      <c r="O665" s="1488"/>
      <c r="P665" s="1488"/>
      <c r="Q665" s="1489"/>
      <c r="R665" s="1489"/>
      <c r="S665" s="1489"/>
      <c r="T665" s="1489"/>
      <c r="U665" s="1489"/>
      <c r="V665" s="1489"/>
      <c r="W665" s="1489"/>
      <c r="X665" s="1489"/>
      <c r="Y665" s="1489"/>
      <c r="Z665" s="1489"/>
      <c r="AA665" s="1489"/>
      <c r="AB665" s="1489"/>
      <c r="AC665" s="1489"/>
      <c r="AD665" s="1489"/>
      <c r="AE665" s="1489"/>
      <c r="AF665" s="1489"/>
      <c r="AG665" s="1489"/>
      <c r="AH665" s="1489"/>
      <c r="AI665" s="1489"/>
      <c r="AJ665" s="1489"/>
      <c r="AK665" s="1489"/>
      <c r="AL665" s="1489"/>
      <c r="AM665" s="1489"/>
      <c r="AN665" s="1489"/>
      <c r="AO665" s="1489"/>
      <c r="AP665" s="1489"/>
      <c r="AQ665" s="1489"/>
      <c r="AR665" s="1488"/>
      <c r="AS665" s="1488"/>
      <c r="AT665" s="1488"/>
      <c r="AU665" s="1488"/>
      <c r="AV665" s="1488"/>
      <c r="AW665" s="1488"/>
      <c r="AX665" s="1488"/>
      <c r="AY665" s="1488"/>
    </row>
    <row r="666" spans="3:51" s="1502" customFormat="1">
      <c r="C666" s="1498"/>
      <c r="D666" s="1501"/>
      <c r="E666" s="1500"/>
      <c r="F666" s="814"/>
      <c r="G666" s="1494"/>
      <c r="H666" s="1493"/>
      <c r="I666" s="1493"/>
      <c r="J666" s="813"/>
      <c r="K666" s="814"/>
      <c r="L666" s="1499"/>
      <c r="M666" s="1488"/>
      <c r="N666" s="1488"/>
      <c r="O666" s="1488"/>
      <c r="P666" s="1488"/>
      <c r="Q666" s="1489"/>
      <c r="R666" s="1489"/>
      <c r="S666" s="1489"/>
      <c r="T666" s="1489"/>
      <c r="U666" s="1489"/>
      <c r="V666" s="1489"/>
      <c r="W666" s="1489"/>
      <c r="X666" s="1489"/>
      <c r="Y666" s="1489"/>
      <c r="Z666" s="1489"/>
      <c r="AA666" s="1489"/>
      <c r="AB666" s="1489"/>
      <c r="AC666" s="1489"/>
      <c r="AD666" s="1489"/>
      <c r="AE666" s="1489"/>
      <c r="AF666" s="1489"/>
      <c r="AG666" s="1489"/>
      <c r="AH666" s="1489"/>
      <c r="AI666" s="1489"/>
      <c r="AJ666" s="1489"/>
      <c r="AK666" s="1489"/>
      <c r="AL666" s="1489"/>
      <c r="AM666" s="1489"/>
      <c r="AN666" s="1489"/>
      <c r="AO666" s="1489"/>
      <c r="AP666" s="1489"/>
      <c r="AQ666" s="1489"/>
      <c r="AR666" s="1488"/>
      <c r="AS666" s="1488"/>
      <c r="AT666" s="1488"/>
      <c r="AU666" s="1488"/>
      <c r="AV666" s="1488"/>
      <c r="AW666" s="1488"/>
      <c r="AX666" s="1488"/>
      <c r="AY666" s="1488"/>
    </row>
    <row r="667" spans="3:51" s="1502" customFormat="1">
      <c r="C667" s="1498"/>
      <c r="D667" s="1501"/>
      <c r="E667" s="1500"/>
      <c r="F667" s="814"/>
      <c r="G667" s="1494"/>
      <c r="H667" s="1493"/>
      <c r="I667" s="1493"/>
      <c r="J667" s="813"/>
      <c r="K667" s="814"/>
      <c r="L667" s="1499"/>
      <c r="M667" s="1488"/>
      <c r="N667" s="1488"/>
      <c r="O667" s="1488"/>
      <c r="P667" s="1488"/>
      <c r="Q667" s="1489"/>
      <c r="R667" s="1489"/>
      <c r="S667" s="1489"/>
      <c r="T667" s="1489"/>
      <c r="U667" s="1489"/>
      <c r="V667" s="1489"/>
      <c r="W667" s="1489"/>
      <c r="X667" s="1489"/>
      <c r="Y667" s="1489"/>
      <c r="Z667" s="1489"/>
      <c r="AA667" s="1489"/>
      <c r="AB667" s="1489"/>
      <c r="AC667" s="1489"/>
      <c r="AD667" s="1489"/>
      <c r="AE667" s="1489"/>
      <c r="AF667" s="1489"/>
      <c r="AG667" s="1489"/>
      <c r="AH667" s="1489"/>
      <c r="AI667" s="1489"/>
      <c r="AJ667" s="1489"/>
      <c r="AK667" s="1489"/>
      <c r="AL667" s="1489"/>
      <c r="AM667" s="1489"/>
      <c r="AN667" s="1489"/>
      <c r="AO667" s="1489"/>
      <c r="AP667" s="1489"/>
      <c r="AQ667" s="1489"/>
      <c r="AR667" s="1488"/>
      <c r="AS667" s="1488"/>
      <c r="AT667" s="1488"/>
      <c r="AU667" s="1488"/>
      <c r="AV667" s="1488"/>
      <c r="AW667" s="1488"/>
      <c r="AX667" s="1488"/>
      <c r="AY667" s="1488"/>
    </row>
    <row r="668" spans="3:51" s="1502" customFormat="1">
      <c r="C668" s="1498"/>
      <c r="D668" s="1501"/>
      <c r="E668" s="1500"/>
      <c r="F668" s="814"/>
      <c r="G668" s="1494"/>
      <c r="H668" s="1493"/>
      <c r="I668" s="1493"/>
      <c r="J668" s="813"/>
      <c r="K668" s="814"/>
      <c r="L668" s="1499"/>
      <c r="M668" s="1488"/>
      <c r="N668" s="1488"/>
      <c r="O668" s="1488"/>
      <c r="P668" s="1488"/>
      <c r="Q668" s="1489"/>
      <c r="R668" s="1489"/>
      <c r="S668" s="1489"/>
      <c r="T668" s="1489"/>
      <c r="U668" s="1489"/>
      <c r="V668" s="1489"/>
      <c r="W668" s="1489"/>
      <c r="X668" s="1489"/>
      <c r="Y668" s="1489"/>
      <c r="Z668" s="1489"/>
      <c r="AA668" s="1489"/>
      <c r="AB668" s="1489"/>
      <c r="AC668" s="1489"/>
      <c r="AD668" s="1489"/>
      <c r="AE668" s="1489"/>
      <c r="AF668" s="1489"/>
      <c r="AG668" s="1489"/>
      <c r="AH668" s="1489"/>
      <c r="AI668" s="1489"/>
      <c r="AJ668" s="1489"/>
      <c r="AK668" s="1489"/>
      <c r="AL668" s="1489"/>
      <c r="AM668" s="1489"/>
      <c r="AN668" s="1489"/>
      <c r="AO668" s="1489"/>
      <c r="AP668" s="1489"/>
      <c r="AQ668" s="1489"/>
      <c r="AR668" s="1488"/>
      <c r="AS668" s="1488"/>
      <c r="AT668" s="1488"/>
      <c r="AU668" s="1488"/>
      <c r="AV668" s="1488"/>
      <c r="AW668" s="1488"/>
      <c r="AX668" s="1488"/>
      <c r="AY668" s="1488"/>
    </row>
    <row r="669" spans="3:51" s="1502" customFormat="1">
      <c r="C669" s="1498"/>
      <c r="D669" s="1501"/>
      <c r="E669" s="1500"/>
      <c r="F669" s="814"/>
      <c r="G669" s="1494"/>
      <c r="H669" s="1493"/>
      <c r="I669" s="1493"/>
      <c r="J669" s="813"/>
      <c r="K669" s="814"/>
      <c r="L669" s="1499"/>
      <c r="M669" s="1488"/>
      <c r="N669" s="1488"/>
      <c r="O669" s="1488"/>
      <c r="P669" s="1488"/>
      <c r="Q669" s="1489"/>
      <c r="R669" s="1489"/>
      <c r="S669" s="1489"/>
      <c r="T669" s="1489"/>
      <c r="U669" s="1489"/>
      <c r="V669" s="1489"/>
      <c r="W669" s="1489"/>
      <c r="X669" s="1489"/>
      <c r="Y669" s="1489"/>
      <c r="Z669" s="1489"/>
      <c r="AA669" s="1489"/>
      <c r="AB669" s="1489"/>
      <c r="AC669" s="1489"/>
      <c r="AD669" s="1489"/>
      <c r="AE669" s="1489"/>
      <c r="AF669" s="1489"/>
      <c r="AG669" s="1489"/>
      <c r="AH669" s="1489"/>
      <c r="AI669" s="1489"/>
      <c r="AJ669" s="1489"/>
      <c r="AK669" s="1489"/>
      <c r="AL669" s="1489"/>
      <c r="AM669" s="1489"/>
      <c r="AN669" s="1489"/>
      <c r="AO669" s="1489"/>
      <c r="AP669" s="1489"/>
      <c r="AQ669" s="1489"/>
      <c r="AR669" s="1488"/>
      <c r="AS669" s="1488"/>
      <c r="AT669" s="1488"/>
      <c r="AU669" s="1488"/>
      <c r="AV669" s="1488"/>
      <c r="AW669" s="1488"/>
      <c r="AX669" s="1488"/>
      <c r="AY669" s="1488"/>
    </row>
    <row r="670" spans="3:51" s="1502" customFormat="1">
      <c r="C670" s="1498"/>
      <c r="D670" s="1501"/>
      <c r="E670" s="1500"/>
      <c r="F670" s="814"/>
      <c r="G670" s="1494"/>
      <c r="H670" s="1493"/>
      <c r="I670" s="1493"/>
      <c r="J670" s="813"/>
      <c r="K670" s="814"/>
      <c r="L670" s="1499"/>
      <c r="M670" s="1488"/>
      <c r="N670" s="1488"/>
      <c r="O670" s="1488"/>
      <c r="P670" s="1488"/>
      <c r="Q670" s="1489"/>
      <c r="R670" s="1489"/>
      <c r="S670" s="1489"/>
      <c r="T670" s="1489"/>
      <c r="U670" s="1489"/>
      <c r="V670" s="1489"/>
      <c r="W670" s="1489"/>
      <c r="X670" s="1489"/>
      <c r="Y670" s="1489"/>
      <c r="Z670" s="1489"/>
      <c r="AA670" s="1489"/>
      <c r="AB670" s="1489"/>
      <c r="AC670" s="1489"/>
      <c r="AD670" s="1489"/>
      <c r="AE670" s="1489"/>
      <c r="AF670" s="1489"/>
      <c r="AG670" s="1489"/>
      <c r="AH670" s="1489"/>
      <c r="AI670" s="1489"/>
      <c r="AJ670" s="1489"/>
      <c r="AK670" s="1489"/>
      <c r="AL670" s="1489"/>
      <c r="AM670" s="1489"/>
      <c r="AN670" s="1489"/>
      <c r="AO670" s="1489"/>
      <c r="AP670" s="1489"/>
      <c r="AQ670" s="1489"/>
      <c r="AR670" s="1488"/>
      <c r="AS670" s="1488"/>
      <c r="AT670" s="1488"/>
      <c r="AU670" s="1488"/>
      <c r="AV670" s="1488"/>
      <c r="AW670" s="1488"/>
      <c r="AX670" s="1488"/>
      <c r="AY670" s="1488"/>
    </row>
    <row r="671" spans="3:51" s="1502" customFormat="1">
      <c r="C671" s="1498"/>
      <c r="D671" s="1501"/>
      <c r="E671" s="1500"/>
      <c r="F671" s="814"/>
      <c r="G671" s="1494"/>
      <c r="H671" s="1493"/>
      <c r="I671" s="1493"/>
      <c r="J671" s="813"/>
      <c r="K671" s="814"/>
      <c r="L671" s="1499"/>
      <c r="M671" s="1488"/>
      <c r="N671" s="1488"/>
      <c r="O671" s="1488"/>
      <c r="P671" s="1488"/>
      <c r="Q671" s="1489"/>
      <c r="R671" s="1489"/>
      <c r="S671" s="1489"/>
      <c r="T671" s="1489"/>
      <c r="U671" s="1489"/>
      <c r="V671" s="1489"/>
      <c r="W671" s="1489"/>
      <c r="X671" s="1489"/>
      <c r="Y671" s="1489"/>
      <c r="Z671" s="1489"/>
      <c r="AA671" s="1489"/>
      <c r="AB671" s="1489"/>
      <c r="AC671" s="1489"/>
      <c r="AD671" s="1489"/>
      <c r="AE671" s="1489"/>
      <c r="AF671" s="1489"/>
      <c r="AG671" s="1489"/>
      <c r="AH671" s="1489"/>
      <c r="AI671" s="1489"/>
      <c r="AJ671" s="1489"/>
      <c r="AK671" s="1489"/>
      <c r="AL671" s="1489"/>
      <c r="AM671" s="1489"/>
      <c r="AN671" s="1489"/>
      <c r="AO671" s="1489"/>
      <c r="AP671" s="1489"/>
      <c r="AQ671" s="1489"/>
      <c r="AR671" s="1488"/>
      <c r="AS671" s="1488"/>
      <c r="AT671" s="1488"/>
      <c r="AU671" s="1488"/>
      <c r="AV671" s="1488"/>
      <c r="AW671" s="1488"/>
      <c r="AX671" s="1488"/>
      <c r="AY671" s="1488"/>
    </row>
    <row r="672" spans="3:51" s="1502" customFormat="1">
      <c r="C672" s="1498"/>
      <c r="D672" s="1501"/>
      <c r="E672" s="1500"/>
      <c r="F672" s="814"/>
      <c r="G672" s="1494"/>
      <c r="H672" s="1493"/>
      <c r="I672" s="1493"/>
      <c r="J672" s="813"/>
      <c r="K672" s="814"/>
      <c r="L672" s="1499"/>
      <c r="M672" s="1488"/>
      <c r="N672" s="1488"/>
      <c r="O672" s="1488"/>
      <c r="P672" s="1488"/>
      <c r="Q672" s="1489"/>
      <c r="R672" s="1489"/>
      <c r="S672" s="1489"/>
      <c r="T672" s="1489"/>
      <c r="U672" s="1489"/>
      <c r="V672" s="1489"/>
      <c r="W672" s="1489"/>
      <c r="X672" s="1489"/>
      <c r="Y672" s="1489"/>
      <c r="Z672" s="1489"/>
      <c r="AA672" s="1489"/>
      <c r="AB672" s="1489"/>
      <c r="AC672" s="1489"/>
      <c r="AD672" s="1489"/>
      <c r="AE672" s="1489"/>
      <c r="AF672" s="1489"/>
      <c r="AG672" s="1489"/>
      <c r="AH672" s="1489"/>
      <c r="AI672" s="1489"/>
      <c r="AJ672" s="1489"/>
      <c r="AK672" s="1489"/>
      <c r="AL672" s="1489"/>
      <c r="AM672" s="1489"/>
      <c r="AN672" s="1489"/>
      <c r="AO672" s="1489"/>
      <c r="AP672" s="1489"/>
      <c r="AQ672" s="1489"/>
      <c r="AR672" s="1488"/>
      <c r="AS672" s="1488"/>
      <c r="AT672" s="1488"/>
      <c r="AU672" s="1488"/>
      <c r="AV672" s="1488"/>
      <c r="AW672" s="1488"/>
      <c r="AX672" s="1488"/>
      <c r="AY672" s="1488"/>
    </row>
    <row r="673" spans="3:51" s="1502" customFormat="1">
      <c r="C673" s="1498"/>
      <c r="D673" s="1501"/>
      <c r="E673" s="1500"/>
      <c r="F673" s="814"/>
      <c r="G673" s="1494"/>
      <c r="H673" s="1493"/>
      <c r="I673" s="1493"/>
      <c r="J673" s="813"/>
      <c r="K673" s="814"/>
      <c r="L673" s="1499"/>
      <c r="M673" s="1488"/>
      <c r="N673" s="1488"/>
      <c r="O673" s="1488"/>
      <c r="P673" s="1488"/>
      <c r="Q673" s="1489"/>
      <c r="R673" s="1489"/>
      <c r="S673" s="1489"/>
      <c r="T673" s="1489"/>
      <c r="U673" s="1489"/>
      <c r="V673" s="1489"/>
      <c r="W673" s="1489"/>
      <c r="X673" s="1489"/>
      <c r="Y673" s="1489"/>
      <c r="Z673" s="1489"/>
      <c r="AA673" s="1489"/>
      <c r="AB673" s="1489"/>
      <c r="AC673" s="1489"/>
      <c r="AD673" s="1489"/>
      <c r="AE673" s="1489"/>
      <c r="AF673" s="1489"/>
      <c r="AG673" s="1489"/>
      <c r="AH673" s="1489"/>
      <c r="AI673" s="1489"/>
      <c r="AJ673" s="1489"/>
      <c r="AK673" s="1489"/>
      <c r="AL673" s="1489"/>
      <c r="AM673" s="1489"/>
      <c r="AN673" s="1489"/>
      <c r="AO673" s="1489"/>
      <c r="AP673" s="1489"/>
      <c r="AQ673" s="1489"/>
      <c r="AR673" s="1488"/>
      <c r="AS673" s="1488"/>
      <c r="AT673" s="1488"/>
      <c r="AU673" s="1488"/>
      <c r="AV673" s="1488"/>
      <c r="AW673" s="1488"/>
      <c r="AX673" s="1488"/>
      <c r="AY673" s="1488"/>
    </row>
    <row r="674" spans="3:51" s="1502" customFormat="1">
      <c r="C674" s="1498"/>
      <c r="D674" s="1501"/>
      <c r="E674" s="1500"/>
      <c r="F674" s="814"/>
      <c r="G674" s="1494"/>
      <c r="H674" s="1493"/>
      <c r="I674" s="1493"/>
      <c r="J674" s="813"/>
      <c r="K674" s="814"/>
      <c r="L674" s="1499"/>
      <c r="M674" s="1488"/>
      <c r="N674" s="1488"/>
      <c r="O674" s="1488"/>
      <c r="P674" s="1488"/>
      <c r="Q674" s="1489"/>
      <c r="R674" s="1489"/>
      <c r="S674" s="1489"/>
      <c r="T674" s="1489"/>
      <c r="U674" s="1489"/>
      <c r="V674" s="1489"/>
      <c r="W674" s="1489"/>
      <c r="X674" s="1489"/>
      <c r="Y674" s="1489"/>
      <c r="Z674" s="1489"/>
      <c r="AA674" s="1489"/>
      <c r="AB674" s="1489"/>
      <c r="AC674" s="1489"/>
      <c r="AD674" s="1489"/>
      <c r="AE674" s="1489"/>
      <c r="AF674" s="1489"/>
      <c r="AG674" s="1489"/>
      <c r="AH674" s="1489"/>
      <c r="AI674" s="1489"/>
      <c r="AJ674" s="1489"/>
      <c r="AK674" s="1489"/>
      <c r="AL674" s="1489"/>
      <c r="AM674" s="1489"/>
      <c r="AN674" s="1489"/>
      <c r="AO674" s="1489"/>
      <c r="AP674" s="1489"/>
      <c r="AQ674" s="1489"/>
      <c r="AR674" s="1488"/>
      <c r="AS674" s="1488"/>
      <c r="AT674" s="1488"/>
      <c r="AU674" s="1488"/>
      <c r="AV674" s="1488"/>
      <c r="AW674" s="1488"/>
      <c r="AX674" s="1488"/>
      <c r="AY674" s="1488"/>
    </row>
    <row r="675" spans="3:51" s="1502" customFormat="1">
      <c r="C675" s="1498"/>
      <c r="D675" s="1501"/>
      <c r="E675" s="1500"/>
      <c r="F675" s="814"/>
      <c r="G675" s="1494"/>
      <c r="H675" s="1493"/>
      <c r="I675" s="1493"/>
      <c r="J675" s="813"/>
      <c r="K675" s="814"/>
      <c r="L675" s="1499"/>
      <c r="M675" s="1488"/>
      <c r="N675" s="1488"/>
      <c r="O675" s="1488"/>
      <c r="P675" s="1488"/>
      <c r="Q675" s="1489"/>
      <c r="R675" s="1489"/>
      <c r="S675" s="1489"/>
      <c r="T675" s="1489"/>
      <c r="U675" s="1489"/>
      <c r="V675" s="1489"/>
      <c r="W675" s="1489"/>
      <c r="X675" s="1489"/>
      <c r="Y675" s="1489"/>
      <c r="Z675" s="1489"/>
      <c r="AA675" s="1489"/>
      <c r="AB675" s="1489"/>
      <c r="AC675" s="1489"/>
      <c r="AD675" s="1489"/>
      <c r="AE675" s="1489"/>
      <c r="AF675" s="1489"/>
      <c r="AG675" s="1489"/>
      <c r="AH675" s="1489"/>
      <c r="AI675" s="1489"/>
      <c r="AJ675" s="1489"/>
      <c r="AK675" s="1489"/>
      <c r="AL675" s="1489"/>
      <c r="AM675" s="1489"/>
      <c r="AN675" s="1489"/>
      <c r="AO675" s="1489"/>
      <c r="AP675" s="1489"/>
      <c r="AQ675" s="1489"/>
      <c r="AR675" s="1488"/>
      <c r="AS675" s="1488"/>
      <c r="AT675" s="1488"/>
      <c r="AU675" s="1488"/>
      <c r="AV675" s="1488"/>
      <c r="AW675" s="1488"/>
      <c r="AX675" s="1488"/>
      <c r="AY675" s="1488"/>
    </row>
    <row r="676" spans="3:51" s="1502" customFormat="1">
      <c r="C676" s="1498"/>
      <c r="D676" s="1501"/>
      <c r="E676" s="1500"/>
      <c r="F676" s="814"/>
      <c r="G676" s="1494"/>
      <c r="H676" s="1493"/>
      <c r="I676" s="1493"/>
      <c r="J676" s="813"/>
      <c r="K676" s="814"/>
      <c r="L676" s="1499"/>
      <c r="M676" s="1488"/>
      <c r="N676" s="1488"/>
      <c r="O676" s="1488"/>
      <c r="P676" s="1488"/>
      <c r="Q676" s="1489"/>
      <c r="R676" s="1489"/>
      <c r="S676" s="1489"/>
      <c r="T676" s="1489"/>
      <c r="U676" s="1489"/>
      <c r="V676" s="1489"/>
      <c r="W676" s="1489"/>
      <c r="X676" s="1489"/>
      <c r="Y676" s="1489"/>
      <c r="Z676" s="1489"/>
      <c r="AA676" s="1489"/>
      <c r="AB676" s="1489"/>
      <c r="AC676" s="1489"/>
      <c r="AD676" s="1489"/>
      <c r="AE676" s="1489"/>
      <c r="AF676" s="1489"/>
      <c r="AG676" s="1489"/>
      <c r="AH676" s="1489"/>
      <c r="AI676" s="1489"/>
      <c r="AJ676" s="1489"/>
      <c r="AK676" s="1489"/>
      <c r="AL676" s="1489"/>
      <c r="AM676" s="1489"/>
      <c r="AN676" s="1489"/>
      <c r="AO676" s="1489"/>
      <c r="AP676" s="1489"/>
      <c r="AQ676" s="1489"/>
      <c r="AR676" s="1488"/>
      <c r="AS676" s="1488"/>
      <c r="AT676" s="1488"/>
      <c r="AU676" s="1488"/>
      <c r="AV676" s="1488"/>
      <c r="AW676" s="1488"/>
      <c r="AX676" s="1488"/>
      <c r="AY676" s="1488"/>
    </row>
    <row r="677" spans="3:51" s="1502" customFormat="1">
      <c r="C677" s="1498"/>
      <c r="D677" s="1501"/>
      <c r="E677" s="1500"/>
      <c r="F677" s="814"/>
      <c r="G677" s="1494"/>
      <c r="H677" s="1493"/>
      <c r="I677" s="1493"/>
      <c r="J677" s="813"/>
      <c r="K677" s="814"/>
      <c r="L677" s="1499"/>
      <c r="M677" s="1488"/>
      <c r="N677" s="1488"/>
      <c r="O677" s="1488"/>
      <c r="P677" s="1488"/>
      <c r="Q677" s="1489"/>
      <c r="R677" s="1489"/>
      <c r="S677" s="1489"/>
      <c r="T677" s="1489"/>
      <c r="U677" s="1489"/>
      <c r="V677" s="1489"/>
      <c r="W677" s="1489"/>
      <c r="X677" s="1489"/>
      <c r="Y677" s="1489"/>
      <c r="Z677" s="1489"/>
      <c r="AA677" s="1489"/>
      <c r="AB677" s="1489"/>
      <c r="AC677" s="1489"/>
      <c r="AD677" s="1489"/>
      <c r="AE677" s="1489"/>
      <c r="AF677" s="1489"/>
      <c r="AG677" s="1489"/>
      <c r="AH677" s="1489"/>
      <c r="AI677" s="1489"/>
      <c r="AJ677" s="1489"/>
      <c r="AK677" s="1489"/>
      <c r="AL677" s="1489"/>
      <c r="AM677" s="1489"/>
      <c r="AN677" s="1489"/>
      <c r="AO677" s="1489"/>
      <c r="AP677" s="1489"/>
      <c r="AQ677" s="1489"/>
      <c r="AR677" s="1488"/>
      <c r="AS677" s="1488"/>
      <c r="AT677" s="1488"/>
      <c r="AU677" s="1488"/>
      <c r="AV677" s="1488"/>
      <c r="AW677" s="1488"/>
      <c r="AX677" s="1488"/>
      <c r="AY677" s="1488"/>
    </row>
    <row r="678" spans="3:51" s="1502" customFormat="1">
      <c r="C678" s="1498"/>
      <c r="D678" s="1501"/>
      <c r="E678" s="1500"/>
      <c r="F678" s="814"/>
      <c r="G678" s="1494"/>
      <c r="H678" s="1493"/>
      <c r="I678" s="1493"/>
      <c r="J678" s="813"/>
      <c r="K678" s="814"/>
      <c r="L678" s="1499"/>
      <c r="M678" s="1488"/>
      <c r="N678" s="1488"/>
      <c r="O678" s="1488"/>
      <c r="P678" s="1488"/>
      <c r="Q678" s="1489"/>
      <c r="R678" s="1489"/>
      <c r="S678" s="1489"/>
      <c r="T678" s="1489"/>
      <c r="U678" s="1489"/>
      <c r="V678" s="1489"/>
      <c r="W678" s="1489"/>
      <c r="X678" s="1489"/>
      <c r="Y678" s="1489"/>
      <c r="Z678" s="1489"/>
      <c r="AA678" s="1489"/>
      <c r="AB678" s="1489"/>
      <c r="AC678" s="1489"/>
      <c r="AD678" s="1489"/>
      <c r="AE678" s="1489"/>
      <c r="AF678" s="1489"/>
      <c r="AG678" s="1489"/>
      <c r="AH678" s="1489"/>
      <c r="AI678" s="1489"/>
      <c r="AJ678" s="1489"/>
      <c r="AK678" s="1489"/>
      <c r="AL678" s="1489"/>
      <c r="AM678" s="1489"/>
      <c r="AN678" s="1489"/>
      <c r="AO678" s="1489"/>
      <c r="AP678" s="1489"/>
      <c r="AQ678" s="1489"/>
      <c r="AR678" s="1488"/>
      <c r="AS678" s="1488"/>
      <c r="AT678" s="1488"/>
      <c r="AU678" s="1488"/>
      <c r="AV678" s="1488"/>
      <c r="AW678" s="1488"/>
      <c r="AX678" s="1488"/>
      <c r="AY678" s="1488"/>
    </row>
    <row r="679" spans="3:51" s="1502" customFormat="1">
      <c r="C679" s="1498"/>
      <c r="D679" s="1501"/>
      <c r="E679" s="1500"/>
      <c r="F679" s="814"/>
      <c r="G679" s="1494"/>
      <c r="H679" s="1493"/>
      <c r="I679" s="1493"/>
      <c r="J679" s="813"/>
      <c r="K679" s="814"/>
      <c r="L679" s="1499"/>
      <c r="M679" s="1488"/>
      <c r="N679" s="1488"/>
      <c r="O679" s="1488"/>
      <c r="P679" s="1488"/>
      <c r="Q679" s="1489"/>
      <c r="R679" s="1489"/>
      <c r="S679" s="1489"/>
      <c r="T679" s="1489"/>
      <c r="U679" s="1489"/>
      <c r="V679" s="1489"/>
      <c r="W679" s="1489"/>
      <c r="X679" s="1489"/>
      <c r="Y679" s="1489"/>
      <c r="Z679" s="1489"/>
      <c r="AA679" s="1489"/>
      <c r="AB679" s="1489"/>
      <c r="AC679" s="1489"/>
      <c r="AD679" s="1489"/>
      <c r="AE679" s="1489"/>
      <c r="AF679" s="1489"/>
      <c r="AG679" s="1489"/>
      <c r="AH679" s="1489"/>
      <c r="AI679" s="1489"/>
      <c r="AJ679" s="1489"/>
      <c r="AK679" s="1489"/>
      <c r="AL679" s="1489"/>
      <c r="AM679" s="1489"/>
      <c r="AN679" s="1489"/>
      <c r="AO679" s="1489"/>
      <c r="AP679" s="1489"/>
      <c r="AQ679" s="1489"/>
      <c r="AR679" s="1488"/>
      <c r="AS679" s="1488"/>
      <c r="AT679" s="1488"/>
      <c r="AU679" s="1488"/>
      <c r="AV679" s="1488"/>
      <c r="AW679" s="1488"/>
      <c r="AX679" s="1488"/>
      <c r="AY679" s="1488"/>
    </row>
    <row r="680" spans="3:51" s="1502" customFormat="1">
      <c r="C680" s="1498"/>
      <c r="D680" s="1501"/>
      <c r="E680" s="1500"/>
      <c r="F680" s="814"/>
      <c r="G680" s="1494"/>
      <c r="H680" s="1493"/>
      <c r="I680" s="1493"/>
      <c r="J680" s="813"/>
      <c r="K680" s="814"/>
      <c r="L680" s="1499"/>
      <c r="M680" s="1488"/>
      <c r="N680" s="1488"/>
      <c r="O680" s="1488"/>
      <c r="P680" s="1488"/>
      <c r="Q680" s="1489"/>
      <c r="R680" s="1489"/>
      <c r="S680" s="1489"/>
      <c r="T680" s="1489"/>
      <c r="U680" s="1489"/>
      <c r="V680" s="1489"/>
      <c r="W680" s="1489"/>
      <c r="X680" s="1489"/>
      <c r="Y680" s="1489"/>
      <c r="Z680" s="1489"/>
      <c r="AA680" s="1489"/>
      <c r="AB680" s="1489"/>
      <c r="AC680" s="1489"/>
      <c r="AD680" s="1489"/>
      <c r="AE680" s="1489"/>
      <c r="AF680" s="1489"/>
      <c r="AG680" s="1489"/>
      <c r="AH680" s="1489"/>
      <c r="AI680" s="1489"/>
      <c r="AJ680" s="1489"/>
      <c r="AK680" s="1489"/>
      <c r="AL680" s="1489"/>
      <c r="AM680" s="1489"/>
      <c r="AN680" s="1489"/>
      <c r="AO680" s="1489"/>
      <c r="AP680" s="1489"/>
      <c r="AQ680" s="1489"/>
      <c r="AR680" s="1488"/>
      <c r="AS680" s="1488"/>
      <c r="AT680" s="1488"/>
      <c r="AU680" s="1488"/>
      <c r="AV680" s="1488"/>
      <c r="AW680" s="1488"/>
      <c r="AX680" s="1488"/>
      <c r="AY680" s="1488"/>
    </row>
    <row r="681" spans="3:51" s="1502" customFormat="1">
      <c r="C681" s="1498"/>
      <c r="D681" s="1501"/>
      <c r="E681" s="1500"/>
      <c r="F681" s="814"/>
      <c r="G681" s="1494"/>
      <c r="H681" s="1493"/>
      <c r="I681" s="1493"/>
      <c r="J681" s="813"/>
      <c r="K681" s="814"/>
      <c r="L681" s="1499"/>
      <c r="M681" s="1488"/>
      <c r="N681" s="1488"/>
      <c r="O681" s="1488"/>
      <c r="P681" s="1488"/>
      <c r="Q681" s="1489"/>
      <c r="R681" s="1489"/>
      <c r="S681" s="1489"/>
      <c r="T681" s="1489"/>
      <c r="U681" s="1489"/>
      <c r="V681" s="1489"/>
      <c r="W681" s="1489"/>
      <c r="X681" s="1489"/>
      <c r="Y681" s="1489"/>
      <c r="Z681" s="1489"/>
      <c r="AA681" s="1489"/>
      <c r="AB681" s="1489"/>
      <c r="AC681" s="1489"/>
      <c r="AD681" s="1489"/>
      <c r="AE681" s="1489"/>
      <c r="AF681" s="1489"/>
      <c r="AG681" s="1489"/>
      <c r="AH681" s="1489"/>
      <c r="AI681" s="1489"/>
      <c r="AJ681" s="1489"/>
      <c r="AK681" s="1489"/>
      <c r="AL681" s="1489"/>
      <c r="AM681" s="1489"/>
      <c r="AN681" s="1489"/>
      <c r="AO681" s="1489"/>
      <c r="AP681" s="1489"/>
      <c r="AQ681" s="1489"/>
      <c r="AR681" s="1488"/>
      <c r="AS681" s="1488"/>
      <c r="AT681" s="1488"/>
      <c r="AU681" s="1488"/>
      <c r="AV681" s="1488"/>
      <c r="AW681" s="1488"/>
      <c r="AX681" s="1488"/>
      <c r="AY681" s="1488"/>
    </row>
    <row r="682" spans="3:51" s="1502" customFormat="1">
      <c r="C682" s="1498"/>
      <c r="D682" s="1501"/>
      <c r="E682" s="1500"/>
      <c r="F682" s="814"/>
      <c r="G682" s="1494"/>
      <c r="H682" s="1493"/>
      <c r="I682" s="1493"/>
      <c r="J682" s="813"/>
      <c r="K682" s="814"/>
      <c r="L682" s="1499"/>
      <c r="M682" s="1488"/>
      <c r="N682" s="1488"/>
      <c r="O682" s="1488"/>
      <c r="P682" s="1488"/>
      <c r="Q682" s="1489"/>
      <c r="R682" s="1489"/>
      <c r="S682" s="1489"/>
      <c r="T682" s="1489"/>
      <c r="U682" s="1489"/>
      <c r="V682" s="1489"/>
      <c r="W682" s="1489"/>
      <c r="X682" s="1489"/>
      <c r="Y682" s="1489"/>
      <c r="Z682" s="1489"/>
      <c r="AA682" s="1489"/>
      <c r="AB682" s="1489"/>
      <c r="AC682" s="1489"/>
      <c r="AD682" s="1489"/>
      <c r="AE682" s="1489"/>
      <c r="AF682" s="1489"/>
      <c r="AG682" s="1489"/>
      <c r="AH682" s="1489"/>
      <c r="AI682" s="1489"/>
      <c r="AJ682" s="1489"/>
      <c r="AK682" s="1489"/>
      <c r="AL682" s="1489"/>
      <c r="AM682" s="1489"/>
      <c r="AN682" s="1489"/>
      <c r="AO682" s="1489"/>
      <c r="AP682" s="1489"/>
      <c r="AQ682" s="1489"/>
      <c r="AR682" s="1488"/>
      <c r="AS682" s="1488"/>
      <c r="AT682" s="1488"/>
      <c r="AU682" s="1488"/>
      <c r="AV682" s="1488"/>
      <c r="AW682" s="1488"/>
      <c r="AX682" s="1488"/>
      <c r="AY682" s="1488"/>
    </row>
    <row r="683" spans="3:51" s="1502" customFormat="1">
      <c r="C683" s="1498"/>
      <c r="D683" s="1501"/>
      <c r="E683" s="1500"/>
      <c r="F683" s="814"/>
      <c r="G683" s="1494"/>
      <c r="H683" s="1493"/>
      <c r="I683" s="1493"/>
      <c r="J683" s="813"/>
      <c r="K683" s="814"/>
      <c r="L683" s="1499"/>
      <c r="M683" s="1488"/>
      <c r="N683" s="1488"/>
      <c r="O683" s="1488"/>
      <c r="P683" s="1488"/>
      <c r="Q683" s="1489"/>
      <c r="R683" s="1489"/>
      <c r="S683" s="1489"/>
      <c r="T683" s="1489"/>
      <c r="U683" s="1489"/>
      <c r="V683" s="1489"/>
      <c r="W683" s="1489"/>
      <c r="X683" s="1489"/>
      <c r="Y683" s="1489"/>
      <c r="Z683" s="1489"/>
      <c r="AA683" s="1489"/>
      <c r="AB683" s="1489"/>
      <c r="AC683" s="1489"/>
      <c r="AD683" s="1489"/>
      <c r="AE683" s="1489"/>
      <c r="AF683" s="1489"/>
      <c r="AG683" s="1489"/>
      <c r="AH683" s="1489"/>
      <c r="AI683" s="1489"/>
      <c r="AJ683" s="1489"/>
      <c r="AK683" s="1489"/>
      <c r="AL683" s="1489"/>
      <c r="AM683" s="1489"/>
      <c r="AN683" s="1489"/>
      <c r="AO683" s="1489"/>
      <c r="AP683" s="1489"/>
      <c r="AQ683" s="1489"/>
      <c r="AR683" s="1488"/>
      <c r="AS683" s="1488"/>
      <c r="AT683" s="1488"/>
      <c r="AU683" s="1488"/>
      <c r="AV683" s="1488"/>
      <c r="AW683" s="1488"/>
      <c r="AX683" s="1488"/>
      <c r="AY683" s="1488"/>
    </row>
    <row r="684" spans="3:51" s="1502" customFormat="1">
      <c r="C684" s="1498"/>
      <c r="D684" s="1501"/>
      <c r="E684" s="1500"/>
      <c r="F684" s="814"/>
      <c r="G684" s="1494"/>
      <c r="H684" s="1493"/>
      <c r="I684" s="1493"/>
      <c r="J684" s="813"/>
      <c r="K684" s="814"/>
      <c r="L684" s="1499"/>
      <c r="M684" s="1488"/>
      <c r="N684" s="1488"/>
      <c r="O684" s="1488"/>
      <c r="P684" s="1488"/>
      <c r="Q684" s="1489"/>
      <c r="R684" s="1489"/>
      <c r="S684" s="1489"/>
      <c r="T684" s="1489"/>
      <c r="U684" s="1489"/>
      <c r="V684" s="1489"/>
      <c r="W684" s="1489"/>
      <c r="X684" s="1489"/>
      <c r="Y684" s="1489"/>
      <c r="Z684" s="1489"/>
      <c r="AA684" s="1489"/>
      <c r="AB684" s="1489"/>
      <c r="AC684" s="1489"/>
      <c r="AD684" s="1489"/>
      <c r="AE684" s="1489"/>
      <c r="AF684" s="1489"/>
      <c r="AG684" s="1489"/>
      <c r="AH684" s="1489"/>
      <c r="AI684" s="1489"/>
      <c r="AJ684" s="1489"/>
      <c r="AK684" s="1489"/>
      <c r="AL684" s="1489"/>
      <c r="AM684" s="1489"/>
      <c r="AN684" s="1489"/>
      <c r="AO684" s="1489"/>
      <c r="AP684" s="1489"/>
      <c r="AQ684" s="1489"/>
      <c r="AR684" s="1488"/>
      <c r="AS684" s="1488"/>
      <c r="AT684" s="1488"/>
      <c r="AU684" s="1488"/>
      <c r="AV684" s="1488"/>
      <c r="AW684" s="1488"/>
      <c r="AX684" s="1488"/>
      <c r="AY684" s="1488"/>
    </row>
    <row r="685" spans="3:51" s="1502" customFormat="1">
      <c r="C685" s="1498"/>
      <c r="D685" s="1501"/>
      <c r="E685" s="1500"/>
      <c r="F685" s="814"/>
      <c r="G685" s="1494"/>
      <c r="H685" s="1493"/>
      <c r="I685" s="1493"/>
      <c r="J685" s="813"/>
      <c r="K685" s="814"/>
      <c r="L685" s="1499"/>
      <c r="M685" s="1488"/>
      <c r="N685" s="1488"/>
      <c r="O685" s="1488"/>
      <c r="P685" s="1488"/>
      <c r="Q685" s="1489"/>
      <c r="R685" s="1489"/>
      <c r="S685" s="1489"/>
      <c r="T685" s="1489"/>
      <c r="U685" s="1489"/>
      <c r="V685" s="1489"/>
      <c r="W685" s="1489"/>
      <c r="X685" s="1489"/>
      <c r="Y685" s="1489"/>
      <c r="Z685" s="1489"/>
      <c r="AA685" s="1489"/>
      <c r="AB685" s="1489"/>
      <c r="AC685" s="1489"/>
      <c r="AD685" s="1489"/>
      <c r="AE685" s="1489"/>
      <c r="AF685" s="1489"/>
      <c r="AG685" s="1489"/>
      <c r="AH685" s="1489"/>
      <c r="AI685" s="1489"/>
      <c r="AJ685" s="1489"/>
      <c r="AK685" s="1489"/>
      <c r="AL685" s="1489"/>
      <c r="AM685" s="1489"/>
      <c r="AN685" s="1489"/>
      <c r="AO685" s="1489"/>
      <c r="AP685" s="1489"/>
      <c r="AQ685" s="1489"/>
      <c r="AR685" s="1488"/>
      <c r="AS685" s="1488"/>
      <c r="AT685" s="1488"/>
      <c r="AU685" s="1488"/>
      <c r="AV685" s="1488"/>
      <c r="AW685" s="1488"/>
      <c r="AX685" s="1488"/>
      <c r="AY685" s="1488"/>
    </row>
    <row r="686" spans="3:51" s="1502" customFormat="1">
      <c r="C686" s="1498"/>
      <c r="D686" s="1501"/>
      <c r="E686" s="1500"/>
      <c r="F686" s="814"/>
      <c r="G686" s="1494"/>
      <c r="H686" s="1493"/>
      <c r="I686" s="1493"/>
      <c r="J686" s="813"/>
      <c r="K686" s="814"/>
      <c r="L686" s="1499"/>
      <c r="M686" s="1488"/>
      <c r="N686" s="1488"/>
      <c r="O686" s="1488"/>
      <c r="P686" s="1488"/>
      <c r="Q686" s="1489"/>
      <c r="R686" s="1489"/>
      <c r="S686" s="1489"/>
      <c r="T686" s="1489"/>
      <c r="U686" s="1489"/>
      <c r="V686" s="1489"/>
      <c r="W686" s="1489"/>
      <c r="X686" s="1489"/>
      <c r="Y686" s="1489"/>
      <c r="Z686" s="1489"/>
      <c r="AA686" s="1489"/>
      <c r="AB686" s="1489"/>
      <c r="AC686" s="1489"/>
      <c r="AD686" s="1489"/>
      <c r="AE686" s="1489"/>
      <c r="AF686" s="1489"/>
      <c r="AG686" s="1489"/>
      <c r="AH686" s="1489"/>
      <c r="AI686" s="1489"/>
      <c r="AJ686" s="1489"/>
      <c r="AK686" s="1489"/>
      <c r="AL686" s="1489"/>
      <c r="AM686" s="1489"/>
      <c r="AN686" s="1489"/>
      <c r="AO686" s="1489"/>
      <c r="AP686" s="1489"/>
      <c r="AQ686" s="1489"/>
      <c r="AR686" s="1488"/>
      <c r="AS686" s="1488"/>
      <c r="AT686" s="1488"/>
      <c r="AU686" s="1488"/>
      <c r="AV686" s="1488"/>
      <c r="AW686" s="1488"/>
      <c r="AX686" s="1488"/>
      <c r="AY686" s="1488"/>
    </row>
    <row r="687" spans="3:51" s="1502" customFormat="1">
      <c r="C687" s="1498"/>
      <c r="D687" s="1501"/>
      <c r="E687" s="1500"/>
      <c r="F687" s="814"/>
      <c r="G687" s="1494"/>
      <c r="H687" s="1493"/>
      <c r="I687" s="1493"/>
      <c r="J687" s="813"/>
      <c r="K687" s="814"/>
      <c r="L687" s="1499"/>
      <c r="M687" s="1488"/>
      <c r="N687" s="1488"/>
      <c r="O687" s="1488"/>
      <c r="P687" s="1488"/>
      <c r="Q687" s="1489"/>
      <c r="R687" s="1489"/>
      <c r="S687" s="1489"/>
      <c r="T687" s="1489"/>
      <c r="U687" s="1489"/>
      <c r="V687" s="1489"/>
      <c r="W687" s="1489"/>
      <c r="X687" s="1489"/>
      <c r="Y687" s="1489"/>
      <c r="Z687" s="1489"/>
      <c r="AA687" s="1489"/>
      <c r="AB687" s="1489"/>
      <c r="AC687" s="1489"/>
      <c r="AD687" s="1489"/>
      <c r="AE687" s="1489"/>
      <c r="AF687" s="1489"/>
      <c r="AG687" s="1489"/>
      <c r="AH687" s="1489"/>
      <c r="AI687" s="1489"/>
      <c r="AJ687" s="1489"/>
      <c r="AK687" s="1489"/>
      <c r="AL687" s="1489"/>
      <c r="AM687" s="1489"/>
      <c r="AN687" s="1489"/>
      <c r="AO687" s="1489"/>
      <c r="AP687" s="1489"/>
      <c r="AQ687" s="1489"/>
      <c r="AR687" s="1488"/>
      <c r="AS687" s="1488"/>
      <c r="AT687" s="1488"/>
      <c r="AU687" s="1488"/>
      <c r="AV687" s="1488"/>
      <c r="AW687" s="1488"/>
      <c r="AX687" s="1488"/>
      <c r="AY687" s="1488"/>
    </row>
    <row r="688" spans="3:51" s="1502" customFormat="1">
      <c r="C688" s="1498"/>
      <c r="D688" s="1501"/>
      <c r="E688" s="1500"/>
      <c r="F688" s="814"/>
      <c r="G688" s="1494"/>
      <c r="H688" s="1493"/>
      <c r="I688" s="1493"/>
      <c r="J688" s="813"/>
      <c r="K688" s="814"/>
      <c r="L688" s="1499"/>
      <c r="M688" s="1488"/>
      <c r="N688" s="1488"/>
      <c r="O688" s="1488"/>
      <c r="P688" s="1488"/>
      <c r="Q688" s="1489"/>
      <c r="R688" s="1489"/>
      <c r="S688" s="1489"/>
      <c r="T688" s="1489"/>
      <c r="U688" s="1489"/>
      <c r="V688" s="1489"/>
      <c r="W688" s="1489"/>
      <c r="X688" s="1489"/>
      <c r="Y688" s="1489"/>
      <c r="Z688" s="1489"/>
      <c r="AA688" s="1489"/>
      <c r="AB688" s="1489"/>
      <c r="AC688" s="1489"/>
      <c r="AD688" s="1489"/>
      <c r="AE688" s="1489"/>
      <c r="AF688" s="1489"/>
      <c r="AG688" s="1489"/>
      <c r="AH688" s="1489"/>
      <c r="AI688" s="1489"/>
      <c r="AJ688" s="1489"/>
      <c r="AK688" s="1489"/>
      <c r="AL688" s="1489"/>
      <c r="AM688" s="1489"/>
      <c r="AN688" s="1489"/>
      <c r="AO688" s="1489"/>
      <c r="AP688" s="1489"/>
      <c r="AQ688" s="1489"/>
      <c r="AR688" s="1488"/>
      <c r="AS688" s="1488"/>
      <c r="AT688" s="1488"/>
      <c r="AU688" s="1488"/>
      <c r="AV688" s="1488"/>
      <c r="AW688" s="1488"/>
      <c r="AX688" s="1488"/>
      <c r="AY688" s="1488"/>
    </row>
    <row r="689" spans="3:51" s="1502" customFormat="1">
      <c r="C689" s="1498"/>
      <c r="D689" s="1501"/>
      <c r="E689" s="1500"/>
      <c r="F689" s="814"/>
      <c r="G689" s="1494"/>
      <c r="H689" s="1493"/>
      <c r="I689" s="1493"/>
      <c r="J689" s="813"/>
      <c r="K689" s="814"/>
      <c r="L689" s="1499"/>
      <c r="M689" s="1488"/>
      <c r="N689" s="1488"/>
      <c r="O689" s="1488"/>
      <c r="P689" s="1488"/>
      <c r="Q689" s="1489"/>
      <c r="R689" s="1489"/>
      <c r="S689" s="1489"/>
      <c r="T689" s="1489"/>
      <c r="U689" s="1489"/>
      <c r="V689" s="1489"/>
      <c r="W689" s="1489"/>
      <c r="X689" s="1489"/>
      <c r="Y689" s="1489"/>
      <c r="Z689" s="1489"/>
      <c r="AA689" s="1489"/>
      <c r="AB689" s="1489"/>
      <c r="AC689" s="1489"/>
      <c r="AD689" s="1489"/>
      <c r="AE689" s="1489"/>
      <c r="AF689" s="1489"/>
      <c r="AG689" s="1489"/>
      <c r="AH689" s="1489"/>
      <c r="AI689" s="1489"/>
      <c r="AJ689" s="1489"/>
      <c r="AK689" s="1489"/>
      <c r="AL689" s="1489"/>
      <c r="AM689" s="1489"/>
      <c r="AN689" s="1489"/>
      <c r="AO689" s="1489"/>
      <c r="AP689" s="1489"/>
      <c r="AQ689" s="1489"/>
      <c r="AR689" s="1488"/>
      <c r="AS689" s="1488"/>
      <c r="AT689" s="1488"/>
      <c r="AU689" s="1488"/>
      <c r="AV689" s="1488"/>
      <c r="AW689" s="1488"/>
      <c r="AX689" s="1488"/>
      <c r="AY689" s="1488"/>
    </row>
    <row r="690" spans="3:51" s="1502" customFormat="1">
      <c r="C690" s="1498"/>
      <c r="D690" s="1501"/>
      <c r="E690" s="1500"/>
      <c r="F690" s="814"/>
      <c r="G690" s="1494"/>
      <c r="H690" s="1493"/>
      <c r="I690" s="1493"/>
      <c r="J690" s="813"/>
      <c r="K690" s="814"/>
      <c r="L690" s="1499"/>
      <c r="M690" s="1488"/>
      <c r="N690" s="1488"/>
      <c r="O690" s="1488"/>
      <c r="P690" s="1488"/>
      <c r="Q690" s="1489"/>
      <c r="R690" s="1489"/>
      <c r="S690" s="1489"/>
      <c r="T690" s="1489"/>
      <c r="U690" s="1489"/>
      <c r="V690" s="1489"/>
      <c r="W690" s="1489"/>
      <c r="X690" s="1489"/>
      <c r="Y690" s="1489"/>
      <c r="Z690" s="1489"/>
      <c r="AA690" s="1489"/>
      <c r="AB690" s="1489"/>
      <c r="AC690" s="1489"/>
      <c r="AD690" s="1489"/>
      <c r="AE690" s="1489"/>
      <c r="AF690" s="1489"/>
      <c r="AG690" s="1489"/>
      <c r="AH690" s="1489"/>
      <c r="AI690" s="1489"/>
      <c r="AJ690" s="1489"/>
      <c r="AK690" s="1489"/>
      <c r="AL690" s="1489"/>
      <c r="AM690" s="1489"/>
      <c r="AN690" s="1489"/>
      <c r="AO690" s="1489"/>
      <c r="AP690" s="1489"/>
      <c r="AQ690" s="1489"/>
      <c r="AR690" s="1488"/>
      <c r="AS690" s="1488"/>
      <c r="AT690" s="1488"/>
      <c r="AU690" s="1488"/>
      <c r="AV690" s="1488"/>
      <c r="AW690" s="1488"/>
      <c r="AX690" s="1488"/>
      <c r="AY690" s="1488"/>
    </row>
    <row r="691" spans="3:51" s="1502" customFormat="1">
      <c r="C691" s="1498"/>
      <c r="D691" s="1501"/>
      <c r="E691" s="1500"/>
      <c r="F691" s="814"/>
      <c r="G691" s="1494"/>
      <c r="H691" s="1493"/>
      <c r="I691" s="1493"/>
      <c r="J691" s="813"/>
      <c r="K691" s="814"/>
      <c r="L691" s="1499"/>
      <c r="M691" s="1488"/>
      <c r="N691" s="1488"/>
      <c r="O691" s="1488"/>
      <c r="P691" s="1488"/>
      <c r="Q691" s="1489"/>
      <c r="R691" s="1489"/>
      <c r="S691" s="1489"/>
      <c r="T691" s="1489"/>
      <c r="U691" s="1489"/>
      <c r="V691" s="1489"/>
      <c r="W691" s="1489"/>
      <c r="X691" s="1489"/>
      <c r="Y691" s="1489"/>
      <c r="Z691" s="1489"/>
      <c r="AA691" s="1489"/>
      <c r="AB691" s="1489"/>
      <c r="AC691" s="1489"/>
      <c r="AD691" s="1489"/>
      <c r="AE691" s="1489"/>
      <c r="AF691" s="1489"/>
      <c r="AG691" s="1489"/>
      <c r="AH691" s="1489"/>
      <c r="AI691" s="1489"/>
      <c r="AJ691" s="1489"/>
      <c r="AK691" s="1489"/>
      <c r="AL691" s="1489"/>
      <c r="AM691" s="1489"/>
      <c r="AN691" s="1489"/>
      <c r="AO691" s="1489"/>
      <c r="AP691" s="1489"/>
      <c r="AQ691" s="1489"/>
      <c r="AR691" s="1488"/>
      <c r="AS691" s="1488"/>
      <c r="AT691" s="1488"/>
      <c r="AU691" s="1488"/>
      <c r="AV691" s="1488"/>
      <c r="AW691" s="1488"/>
      <c r="AX691" s="1488"/>
      <c r="AY691" s="1488"/>
    </row>
    <row r="692" spans="3:51" s="1502" customFormat="1">
      <c r="C692" s="1498"/>
      <c r="D692" s="1501"/>
      <c r="E692" s="1500"/>
      <c r="F692" s="814"/>
      <c r="G692" s="1494"/>
      <c r="H692" s="1493"/>
      <c r="I692" s="1493"/>
      <c r="J692" s="813"/>
      <c r="K692" s="814"/>
      <c r="L692" s="1499"/>
      <c r="M692" s="1488"/>
      <c r="N692" s="1488"/>
      <c r="O692" s="1488"/>
      <c r="P692" s="1488"/>
      <c r="Q692" s="1489"/>
      <c r="R692" s="1489"/>
      <c r="S692" s="1489"/>
      <c r="T692" s="1489"/>
      <c r="U692" s="1489"/>
      <c r="V692" s="1489"/>
      <c r="W692" s="1489"/>
      <c r="X692" s="1489"/>
      <c r="Y692" s="1489"/>
      <c r="Z692" s="1489"/>
      <c r="AA692" s="1489"/>
      <c r="AB692" s="1489"/>
      <c r="AC692" s="1489"/>
      <c r="AD692" s="1489"/>
      <c r="AE692" s="1489"/>
      <c r="AF692" s="1489"/>
      <c r="AG692" s="1489"/>
      <c r="AH692" s="1489"/>
      <c r="AI692" s="1489"/>
      <c r="AJ692" s="1489"/>
      <c r="AK692" s="1489"/>
      <c r="AL692" s="1489"/>
      <c r="AM692" s="1489"/>
      <c r="AN692" s="1489"/>
      <c r="AO692" s="1489"/>
      <c r="AP692" s="1489"/>
      <c r="AQ692" s="1489"/>
      <c r="AR692" s="1488"/>
      <c r="AS692" s="1488"/>
      <c r="AT692" s="1488"/>
      <c r="AU692" s="1488"/>
      <c r="AV692" s="1488"/>
      <c r="AW692" s="1488"/>
      <c r="AX692" s="1488"/>
      <c r="AY692" s="1488"/>
    </row>
    <row r="693" spans="3:51" s="1502" customFormat="1">
      <c r="C693" s="1498"/>
      <c r="D693" s="1501"/>
      <c r="E693" s="1500"/>
      <c r="F693" s="814"/>
      <c r="G693" s="1494"/>
      <c r="H693" s="1493"/>
      <c r="I693" s="1493"/>
      <c r="J693" s="813"/>
      <c r="K693" s="814"/>
      <c r="L693" s="1499"/>
      <c r="M693" s="1488"/>
      <c r="N693" s="1488"/>
      <c r="O693" s="1488"/>
      <c r="P693" s="1488"/>
      <c r="Q693" s="1489"/>
      <c r="R693" s="1489"/>
      <c r="S693" s="1489"/>
      <c r="T693" s="1489"/>
      <c r="U693" s="1489"/>
      <c r="V693" s="1489"/>
      <c r="W693" s="1489"/>
      <c r="X693" s="1489"/>
      <c r="Y693" s="1489"/>
      <c r="Z693" s="1489"/>
      <c r="AA693" s="1489"/>
      <c r="AB693" s="1489"/>
      <c r="AC693" s="1489"/>
      <c r="AD693" s="1489"/>
      <c r="AE693" s="1489"/>
      <c r="AF693" s="1489"/>
      <c r="AG693" s="1489"/>
      <c r="AH693" s="1489"/>
      <c r="AI693" s="1489"/>
      <c r="AJ693" s="1489"/>
      <c r="AK693" s="1489"/>
      <c r="AL693" s="1489"/>
      <c r="AM693" s="1489"/>
      <c r="AN693" s="1489"/>
      <c r="AO693" s="1489"/>
      <c r="AP693" s="1489"/>
      <c r="AQ693" s="1489"/>
      <c r="AR693" s="1488"/>
      <c r="AS693" s="1488"/>
      <c r="AT693" s="1488"/>
      <c r="AU693" s="1488"/>
      <c r="AV693" s="1488"/>
      <c r="AW693" s="1488"/>
      <c r="AX693" s="1488"/>
      <c r="AY693" s="1488"/>
    </row>
    <row r="694" spans="3:51" s="1502" customFormat="1">
      <c r="C694" s="1498"/>
      <c r="D694" s="1501"/>
      <c r="E694" s="1500"/>
      <c r="F694" s="814"/>
      <c r="G694" s="1494"/>
      <c r="H694" s="1493"/>
      <c r="I694" s="1493"/>
      <c r="J694" s="813"/>
      <c r="K694" s="814"/>
      <c r="L694" s="1499"/>
      <c r="M694" s="1488"/>
      <c r="N694" s="1488"/>
      <c r="O694" s="1488"/>
      <c r="P694" s="1488"/>
      <c r="Q694" s="1489"/>
      <c r="R694" s="1489"/>
      <c r="S694" s="1489"/>
      <c r="T694" s="1489"/>
      <c r="U694" s="1489"/>
      <c r="V694" s="1489"/>
      <c r="W694" s="1489"/>
      <c r="X694" s="1489"/>
      <c r="Y694" s="1489"/>
      <c r="Z694" s="1489"/>
      <c r="AA694" s="1489"/>
      <c r="AB694" s="1489"/>
      <c r="AC694" s="1489"/>
      <c r="AD694" s="1489"/>
      <c r="AE694" s="1489"/>
      <c r="AF694" s="1489"/>
      <c r="AG694" s="1489"/>
      <c r="AH694" s="1489"/>
      <c r="AI694" s="1489"/>
      <c r="AJ694" s="1489"/>
      <c r="AK694" s="1489"/>
      <c r="AL694" s="1489"/>
      <c r="AM694" s="1489"/>
      <c r="AN694" s="1489"/>
      <c r="AO694" s="1489"/>
      <c r="AP694" s="1489"/>
      <c r="AQ694" s="1489"/>
      <c r="AR694" s="1488"/>
      <c r="AS694" s="1488"/>
      <c r="AT694" s="1488"/>
      <c r="AU694" s="1488"/>
      <c r="AV694" s="1488"/>
      <c r="AW694" s="1488"/>
      <c r="AX694" s="1488"/>
      <c r="AY694" s="1488"/>
    </row>
    <row r="695" spans="3:51" s="1502" customFormat="1">
      <c r="C695" s="1498"/>
      <c r="D695" s="1501"/>
      <c r="E695" s="1500"/>
      <c r="F695" s="814"/>
      <c r="G695" s="1494"/>
      <c r="H695" s="1493"/>
      <c r="I695" s="1493"/>
      <c r="J695" s="813"/>
      <c r="K695" s="814"/>
      <c r="L695" s="1499"/>
      <c r="M695" s="1488"/>
      <c r="N695" s="1488"/>
      <c r="O695" s="1488"/>
      <c r="P695" s="1488"/>
      <c r="Q695" s="1489"/>
      <c r="R695" s="1489"/>
      <c r="S695" s="1489"/>
      <c r="T695" s="1489"/>
      <c r="U695" s="1489"/>
      <c r="V695" s="1489"/>
      <c r="W695" s="1489"/>
      <c r="X695" s="1489"/>
      <c r="Y695" s="1489"/>
      <c r="Z695" s="1489"/>
      <c r="AA695" s="1489"/>
      <c r="AB695" s="1489"/>
      <c r="AC695" s="1489"/>
      <c r="AD695" s="1489"/>
      <c r="AE695" s="1489"/>
      <c r="AF695" s="1489"/>
      <c r="AG695" s="1489"/>
      <c r="AH695" s="1489"/>
      <c r="AI695" s="1489"/>
      <c r="AJ695" s="1489"/>
      <c r="AK695" s="1489"/>
      <c r="AL695" s="1489"/>
      <c r="AM695" s="1489"/>
      <c r="AN695" s="1489"/>
      <c r="AO695" s="1489"/>
      <c r="AP695" s="1489"/>
      <c r="AQ695" s="1489"/>
      <c r="AR695" s="1488"/>
      <c r="AS695" s="1488"/>
      <c r="AT695" s="1488"/>
      <c r="AU695" s="1488"/>
      <c r="AV695" s="1488"/>
      <c r="AW695" s="1488"/>
      <c r="AX695" s="1488"/>
      <c r="AY695" s="1488"/>
    </row>
    <row r="696" spans="3:51" s="1502" customFormat="1">
      <c r="C696" s="1498"/>
      <c r="D696" s="1501"/>
      <c r="E696" s="1500"/>
      <c r="F696" s="814"/>
      <c r="G696" s="1494"/>
      <c r="H696" s="1493"/>
      <c r="I696" s="1493"/>
      <c r="J696" s="813"/>
      <c r="K696" s="814"/>
      <c r="L696" s="1499"/>
      <c r="M696" s="1488"/>
      <c r="N696" s="1488"/>
      <c r="O696" s="1488"/>
      <c r="P696" s="1488"/>
      <c r="Q696" s="1489"/>
      <c r="R696" s="1489"/>
      <c r="S696" s="1489"/>
      <c r="T696" s="1489"/>
      <c r="U696" s="1489"/>
      <c r="V696" s="1489"/>
      <c r="W696" s="1489"/>
      <c r="X696" s="1489"/>
      <c r="Y696" s="1489"/>
      <c r="Z696" s="1489"/>
      <c r="AA696" s="1489"/>
      <c r="AB696" s="1489"/>
      <c r="AC696" s="1489"/>
      <c r="AD696" s="1489"/>
      <c r="AE696" s="1489"/>
      <c r="AF696" s="1489"/>
      <c r="AG696" s="1489"/>
      <c r="AH696" s="1489"/>
      <c r="AI696" s="1489"/>
      <c r="AJ696" s="1489"/>
      <c r="AK696" s="1489"/>
      <c r="AL696" s="1489"/>
      <c r="AM696" s="1489"/>
      <c r="AN696" s="1489"/>
      <c r="AO696" s="1489"/>
      <c r="AP696" s="1489"/>
      <c r="AQ696" s="1489"/>
      <c r="AR696" s="1488"/>
      <c r="AS696" s="1488"/>
      <c r="AT696" s="1488"/>
      <c r="AU696" s="1488"/>
      <c r="AV696" s="1488"/>
      <c r="AW696" s="1488"/>
      <c r="AX696" s="1488"/>
      <c r="AY696" s="1488"/>
    </row>
    <row r="697" spans="3:51" s="1502" customFormat="1">
      <c r="C697" s="1498"/>
      <c r="D697" s="1501"/>
      <c r="E697" s="1500"/>
      <c r="F697" s="814"/>
      <c r="G697" s="1494"/>
      <c r="H697" s="1493"/>
      <c r="I697" s="1493"/>
      <c r="J697" s="813"/>
      <c r="K697" s="814"/>
      <c r="L697" s="1499"/>
      <c r="M697" s="1488"/>
      <c r="N697" s="1488"/>
      <c r="O697" s="1488"/>
      <c r="P697" s="1488"/>
      <c r="Q697" s="1489"/>
      <c r="R697" s="1489"/>
      <c r="S697" s="1489"/>
      <c r="T697" s="1489"/>
      <c r="U697" s="1489"/>
      <c r="V697" s="1489"/>
      <c r="W697" s="1489"/>
      <c r="X697" s="1489"/>
      <c r="Y697" s="1489"/>
      <c r="Z697" s="1489"/>
      <c r="AA697" s="1489"/>
      <c r="AB697" s="1489"/>
      <c r="AC697" s="1489"/>
      <c r="AD697" s="1489"/>
      <c r="AE697" s="1489"/>
      <c r="AF697" s="1489"/>
      <c r="AG697" s="1489"/>
      <c r="AH697" s="1489"/>
      <c r="AI697" s="1489"/>
      <c r="AJ697" s="1489"/>
      <c r="AK697" s="1489"/>
      <c r="AL697" s="1489"/>
      <c r="AM697" s="1489"/>
      <c r="AN697" s="1489"/>
      <c r="AO697" s="1489"/>
      <c r="AP697" s="1489"/>
      <c r="AQ697" s="1489"/>
      <c r="AR697" s="1488"/>
      <c r="AS697" s="1488"/>
      <c r="AT697" s="1488"/>
      <c r="AU697" s="1488"/>
      <c r="AV697" s="1488"/>
      <c r="AW697" s="1488"/>
      <c r="AX697" s="1488"/>
      <c r="AY697" s="1488"/>
    </row>
    <row r="698" spans="3:51" s="1502" customFormat="1">
      <c r="C698" s="1498"/>
      <c r="D698" s="1501"/>
      <c r="E698" s="1500"/>
      <c r="F698" s="814"/>
      <c r="G698" s="1494"/>
      <c r="H698" s="1493"/>
      <c r="I698" s="1493"/>
      <c r="J698" s="813"/>
      <c r="K698" s="814"/>
      <c r="L698" s="1499"/>
      <c r="M698" s="1488"/>
      <c r="N698" s="1488"/>
      <c r="O698" s="1488"/>
      <c r="P698" s="1488"/>
      <c r="Q698" s="1489"/>
      <c r="R698" s="1489"/>
      <c r="S698" s="1489"/>
      <c r="T698" s="1489"/>
      <c r="U698" s="1489"/>
      <c r="V698" s="1489"/>
      <c r="W698" s="1489"/>
      <c r="X698" s="1489"/>
      <c r="Y698" s="1489"/>
      <c r="Z698" s="1489"/>
      <c r="AA698" s="1489"/>
      <c r="AB698" s="1489"/>
      <c r="AC698" s="1489"/>
      <c r="AD698" s="1489"/>
      <c r="AE698" s="1489"/>
      <c r="AF698" s="1489"/>
      <c r="AG698" s="1489"/>
      <c r="AH698" s="1489"/>
      <c r="AI698" s="1489"/>
      <c r="AJ698" s="1489"/>
      <c r="AK698" s="1489"/>
      <c r="AL698" s="1489"/>
      <c r="AM698" s="1489"/>
      <c r="AN698" s="1489"/>
      <c r="AO698" s="1489"/>
      <c r="AP698" s="1489"/>
      <c r="AQ698" s="1489"/>
      <c r="AR698" s="1488"/>
      <c r="AS698" s="1488"/>
      <c r="AT698" s="1488"/>
      <c r="AU698" s="1488"/>
      <c r="AV698" s="1488"/>
      <c r="AW698" s="1488"/>
      <c r="AX698" s="1488"/>
      <c r="AY698" s="1488"/>
    </row>
    <row r="699" spans="3:51" s="1502" customFormat="1">
      <c r="C699" s="1498"/>
      <c r="D699" s="1501"/>
      <c r="E699" s="1500"/>
      <c r="F699" s="814"/>
      <c r="G699" s="1494"/>
      <c r="H699" s="1493"/>
      <c r="I699" s="1493"/>
      <c r="J699" s="813"/>
      <c r="K699" s="814"/>
      <c r="L699" s="1499"/>
      <c r="M699" s="1488"/>
      <c r="N699" s="1488"/>
      <c r="O699" s="1488"/>
      <c r="P699" s="1488"/>
      <c r="Q699" s="1489"/>
      <c r="R699" s="1489"/>
      <c r="S699" s="1489"/>
      <c r="T699" s="1489"/>
      <c r="U699" s="1489"/>
      <c r="V699" s="1489"/>
      <c r="W699" s="1489"/>
      <c r="X699" s="1489"/>
      <c r="Y699" s="1489"/>
      <c r="Z699" s="1489"/>
      <c r="AA699" s="1489"/>
      <c r="AB699" s="1489"/>
      <c r="AC699" s="1489"/>
      <c r="AD699" s="1489"/>
      <c r="AE699" s="1489"/>
      <c r="AF699" s="1489"/>
      <c r="AG699" s="1489"/>
      <c r="AH699" s="1489"/>
      <c r="AI699" s="1489"/>
      <c r="AJ699" s="1489"/>
      <c r="AK699" s="1489"/>
      <c r="AL699" s="1489"/>
      <c r="AM699" s="1489"/>
      <c r="AN699" s="1489"/>
      <c r="AO699" s="1489"/>
      <c r="AP699" s="1489"/>
      <c r="AQ699" s="1489"/>
      <c r="AR699" s="1488"/>
      <c r="AS699" s="1488"/>
      <c r="AT699" s="1488"/>
      <c r="AU699" s="1488"/>
      <c r="AV699" s="1488"/>
      <c r="AW699" s="1488"/>
      <c r="AX699" s="1488"/>
      <c r="AY699" s="1488"/>
    </row>
    <row r="700" spans="3:51" s="1502" customFormat="1">
      <c r="C700" s="1498"/>
      <c r="D700" s="1501"/>
      <c r="E700" s="1500"/>
      <c r="F700" s="814"/>
      <c r="G700" s="1494"/>
      <c r="H700" s="1493"/>
      <c r="I700" s="1493"/>
      <c r="J700" s="813"/>
      <c r="K700" s="814"/>
      <c r="L700" s="1499"/>
      <c r="M700" s="1488"/>
      <c r="N700" s="1488"/>
      <c r="O700" s="1488"/>
      <c r="P700" s="1488"/>
      <c r="Q700" s="1489"/>
      <c r="R700" s="1489"/>
      <c r="S700" s="1489"/>
      <c r="T700" s="1489"/>
      <c r="U700" s="1489"/>
      <c r="V700" s="1489"/>
      <c r="W700" s="1489"/>
      <c r="X700" s="1489"/>
      <c r="Y700" s="1489"/>
      <c r="Z700" s="1489"/>
      <c r="AA700" s="1489"/>
      <c r="AB700" s="1489"/>
      <c r="AC700" s="1489"/>
      <c r="AD700" s="1489"/>
      <c r="AE700" s="1489"/>
      <c r="AF700" s="1489"/>
      <c r="AG700" s="1489"/>
      <c r="AH700" s="1489"/>
      <c r="AI700" s="1489"/>
      <c r="AJ700" s="1489"/>
      <c r="AK700" s="1489"/>
      <c r="AL700" s="1489"/>
      <c r="AM700" s="1489"/>
      <c r="AN700" s="1489"/>
      <c r="AO700" s="1489"/>
      <c r="AP700" s="1489"/>
      <c r="AQ700" s="1489"/>
      <c r="AR700" s="1488"/>
      <c r="AS700" s="1488"/>
      <c r="AT700" s="1488"/>
      <c r="AU700" s="1488"/>
      <c r="AV700" s="1488"/>
      <c r="AW700" s="1488"/>
      <c r="AX700" s="1488"/>
      <c r="AY700" s="1488"/>
    </row>
    <row r="701" spans="3:51" s="1502" customFormat="1">
      <c r="C701" s="1498"/>
      <c r="D701" s="1501"/>
      <c r="E701" s="1500"/>
      <c r="F701" s="814"/>
      <c r="G701" s="1494"/>
      <c r="H701" s="1493"/>
      <c r="I701" s="1493"/>
      <c r="J701" s="813"/>
      <c r="K701" s="814"/>
      <c r="L701" s="1499"/>
      <c r="M701" s="1488"/>
      <c r="N701" s="1488"/>
      <c r="O701" s="1488"/>
      <c r="P701" s="1488"/>
      <c r="Q701" s="1489"/>
      <c r="R701" s="1489"/>
      <c r="S701" s="1489"/>
      <c r="T701" s="1489"/>
      <c r="U701" s="1489"/>
      <c r="V701" s="1489"/>
      <c r="W701" s="1489"/>
      <c r="X701" s="1489"/>
      <c r="Y701" s="1489"/>
      <c r="Z701" s="1489"/>
      <c r="AA701" s="1489"/>
      <c r="AB701" s="1489"/>
      <c r="AC701" s="1489"/>
      <c r="AD701" s="1489"/>
      <c r="AE701" s="1489"/>
      <c r="AF701" s="1489"/>
      <c r="AG701" s="1489"/>
      <c r="AH701" s="1489"/>
      <c r="AI701" s="1489"/>
      <c r="AJ701" s="1489"/>
      <c r="AK701" s="1489"/>
      <c r="AL701" s="1489"/>
      <c r="AM701" s="1489"/>
      <c r="AN701" s="1489"/>
      <c r="AO701" s="1489"/>
      <c r="AP701" s="1489"/>
      <c r="AQ701" s="1489"/>
      <c r="AR701" s="1488"/>
      <c r="AS701" s="1488"/>
      <c r="AT701" s="1488"/>
      <c r="AU701" s="1488"/>
      <c r="AV701" s="1488"/>
      <c r="AW701" s="1488"/>
      <c r="AX701" s="1488"/>
      <c r="AY701" s="1488"/>
    </row>
    <row r="702" spans="3:51" s="1502" customFormat="1">
      <c r="C702" s="1498"/>
      <c r="D702" s="1501"/>
      <c r="E702" s="1500"/>
      <c r="F702" s="814"/>
      <c r="G702" s="1494"/>
      <c r="H702" s="1493"/>
      <c r="I702" s="1493"/>
      <c r="J702" s="813"/>
      <c r="K702" s="814"/>
      <c r="L702" s="1499"/>
      <c r="M702" s="1488"/>
      <c r="N702" s="1488"/>
      <c r="O702" s="1488"/>
      <c r="P702" s="1488"/>
      <c r="Q702" s="1489"/>
      <c r="R702" s="1489"/>
      <c r="S702" s="1489"/>
      <c r="T702" s="1489"/>
      <c r="U702" s="1489"/>
      <c r="V702" s="1489"/>
      <c r="W702" s="1489"/>
      <c r="X702" s="1489"/>
      <c r="Y702" s="1489"/>
      <c r="Z702" s="1489"/>
      <c r="AA702" s="1489"/>
      <c r="AB702" s="1489"/>
      <c r="AC702" s="1489"/>
      <c r="AD702" s="1489"/>
      <c r="AE702" s="1489"/>
      <c r="AF702" s="1489"/>
      <c r="AG702" s="1489"/>
      <c r="AH702" s="1489"/>
      <c r="AI702" s="1489"/>
      <c r="AJ702" s="1489"/>
      <c r="AK702" s="1489"/>
      <c r="AL702" s="1489"/>
      <c r="AM702" s="1489"/>
      <c r="AN702" s="1489"/>
      <c r="AO702" s="1489"/>
      <c r="AP702" s="1489"/>
      <c r="AQ702" s="1489"/>
      <c r="AR702" s="1488"/>
      <c r="AS702" s="1488"/>
      <c r="AT702" s="1488"/>
      <c r="AU702" s="1488"/>
      <c r="AV702" s="1488"/>
      <c r="AW702" s="1488"/>
      <c r="AX702" s="1488"/>
      <c r="AY702" s="1488"/>
    </row>
    <row r="703" spans="3:51" s="1502" customFormat="1">
      <c r="C703" s="1498"/>
      <c r="D703" s="1501"/>
      <c r="E703" s="1500"/>
      <c r="F703" s="814"/>
      <c r="G703" s="1494"/>
      <c r="H703" s="1493"/>
      <c r="I703" s="1493"/>
      <c r="J703" s="813"/>
      <c r="K703" s="814"/>
      <c r="L703" s="1499"/>
      <c r="M703" s="1488"/>
      <c r="N703" s="1488"/>
      <c r="O703" s="1488"/>
      <c r="P703" s="1488"/>
      <c r="Q703" s="1489"/>
      <c r="R703" s="1489"/>
      <c r="S703" s="1489"/>
      <c r="T703" s="1489"/>
      <c r="U703" s="1489"/>
      <c r="V703" s="1489"/>
      <c r="W703" s="1489"/>
      <c r="X703" s="1489"/>
      <c r="Y703" s="1489"/>
      <c r="Z703" s="1489"/>
      <c r="AA703" s="1489"/>
      <c r="AB703" s="1489"/>
      <c r="AC703" s="1489"/>
      <c r="AD703" s="1489"/>
      <c r="AE703" s="1489"/>
      <c r="AF703" s="1489"/>
      <c r="AG703" s="1489"/>
      <c r="AH703" s="1489"/>
      <c r="AI703" s="1489"/>
      <c r="AJ703" s="1489"/>
      <c r="AK703" s="1489"/>
      <c r="AL703" s="1489"/>
      <c r="AM703" s="1489"/>
      <c r="AN703" s="1489"/>
      <c r="AO703" s="1489"/>
      <c r="AP703" s="1489"/>
      <c r="AQ703" s="1489"/>
      <c r="AR703" s="1488"/>
      <c r="AS703" s="1488"/>
      <c r="AT703" s="1488"/>
      <c r="AU703" s="1488"/>
      <c r="AV703" s="1488"/>
      <c r="AW703" s="1488"/>
      <c r="AX703" s="1488"/>
      <c r="AY703" s="1488"/>
    </row>
    <row r="704" spans="3:51" s="1502" customFormat="1">
      <c r="C704" s="1498"/>
      <c r="D704" s="1501"/>
      <c r="E704" s="1500"/>
      <c r="F704" s="814"/>
      <c r="G704" s="1494"/>
      <c r="H704" s="1493"/>
      <c r="I704" s="1493"/>
      <c r="J704" s="813"/>
      <c r="K704" s="814"/>
      <c r="L704" s="1499"/>
      <c r="M704" s="1488"/>
      <c r="N704" s="1488"/>
      <c r="O704" s="1488"/>
      <c r="P704" s="1488"/>
      <c r="Q704" s="1489"/>
      <c r="R704" s="1489"/>
      <c r="S704" s="1489"/>
      <c r="T704" s="1489"/>
      <c r="U704" s="1489"/>
      <c r="V704" s="1489"/>
      <c r="W704" s="1489"/>
      <c r="X704" s="1489"/>
      <c r="Y704" s="1489"/>
      <c r="Z704" s="1489"/>
      <c r="AA704" s="1489"/>
      <c r="AB704" s="1489"/>
      <c r="AC704" s="1489"/>
      <c r="AD704" s="1489"/>
      <c r="AE704" s="1489"/>
      <c r="AF704" s="1489"/>
      <c r="AG704" s="1489"/>
      <c r="AH704" s="1489"/>
      <c r="AI704" s="1489"/>
      <c r="AJ704" s="1489"/>
      <c r="AK704" s="1489"/>
      <c r="AL704" s="1489"/>
      <c r="AM704" s="1489"/>
      <c r="AN704" s="1489"/>
      <c r="AO704" s="1489"/>
      <c r="AP704" s="1489"/>
      <c r="AQ704" s="1489"/>
      <c r="AR704" s="1488"/>
      <c r="AS704" s="1488"/>
      <c r="AT704" s="1488"/>
      <c r="AU704" s="1488"/>
      <c r="AV704" s="1488"/>
      <c r="AW704" s="1488"/>
      <c r="AX704" s="1488"/>
      <c r="AY704" s="1488"/>
    </row>
    <row r="705" spans="3:51" s="1502" customFormat="1">
      <c r="C705" s="1498"/>
      <c r="D705" s="1501"/>
      <c r="E705" s="1500"/>
      <c r="F705" s="814"/>
      <c r="G705" s="1494"/>
      <c r="H705" s="1493"/>
      <c r="I705" s="1493"/>
      <c r="J705" s="813"/>
      <c r="K705" s="814"/>
      <c r="L705" s="1499"/>
      <c r="M705" s="1488"/>
      <c r="N705" s="1488"/>
      <c r="O705" s="1488"/>
      <c r="P705" s="1488"/>
      <c r="Q705" s="1489"/>
      <c r="R705" s="1489"/>
      <c r="S705" s="1489"/>
      <c r="T705" s="1489"/>
      <c r="U705" s="1489"/>
      <c r="V705" s="1489"/>
      <c r="W705" s="1489"/>
      <c r="X705" s="1489"/>
      <c r="Y705" s="1489"/>
      <c r="Z705" s="1489"/>
      <c r="AA705" s="1489"/>
      <c r="AB705" s="1489"/>
      <c r="AC705" s="1489"/>
      <c r="AD705" s="1489"/>
      <c r="AE705" s="1489"/>
      <c r="AF705" s="1489"/>
      <c r="AG705" s="1489"/>
      <c r="AH705" s="1489"/>
      <c r="AI705" s="1489"/>
      <c r="AJ705" s="1489"/>
      <c r="AK705" s="1489"/>
      <c r="AL705" s="1489"/>
      <c r="AM705" s="1489"/>
      <c r="AN705" s="1489"/>
      <c r="AO705" s="1489"/>
      <c r="AP705" s="1489"/>
      <c r="AQ705" s="1489"/>
      <c r="AR705" s="1488"/>
      <c r="AS705" s="1488"/>
      <c r="AT705" s="1488"/>
      <c r="AU705" s="1488"/>
      <c r="AV705" s="1488"/>
      <c r="AW705" s="1488"/>
      <c r="AX705" s="1488"/>
      <c r="AY705" s="1488"/>
    </row>
    <row r="706" spans="3:51" s="1502" customFormat="1">
      <c r="C706" s="1498"/>
      <c r="D706" s="1501"/>
      <c r="E706" s="1500"/>
      <c r="F706" s="814"/>
      <c r="G706" s="1494"/>
      <c r="H706" s="1493"/>
      <c r="I706" s="1493"/>
      <c r="J706" s="813"/>
      <c r="K706" s="814"/>
      <c r="L706" s="1499"/>
      <c r="M706" s="1488"/>
      <c r="N706" s="1488"/>
      <c r="O706" s="1488"/>
      <c r="P706" s="1488"/>
      <c r="Q706" s="1489"/>
      <c r="R706" s="1489"/>
      <c r="S706" s="1489"/>
      <c r="T706" s="1489"/>
      <c r="U706" s="1489"/>
      <c r="V706" s="1489"/>
      <c r="W706" s="1489"/>
      <c r="X706" s="1489"/>
      <c r="Y706" s="1489"/>
      <c r="Z706" s="1489"/>
      <c r="AA706" s="1489"/>
      <c r="AB706" s="1489"/>
      <c r="AC706" s="1489"/>
      <c r="AD706" s="1489"/>
      <c r="AE706" s="1489"/>
      <c r="AF706" s="1489"/>
      <c r="AG706" s="1489"/>
      <c r="AH706" s="1489"/>
      <c r="AI706" s="1489"/>
      <c r="AJ706" s="1489"/>
      <c r="AK706" s="1489"/>
      <c r="AL706" s="1489"/>
      <c r="AM706" s="1489"/>
      <c r="AN706" s="1489"/>
      <c r="AO706" s="1489"/>
      <c r="AP706" s="1489"/>
      <c r="AQ706" s="1489"/>
      <c r="AR706" s="1488"/>
      <c r="AS706" s="1488"/>
      <c r="AT706" s="1488"/>
      <c r="AU706" s="1488"/>
      <c r="AV706" s="1488"/>
      <c r="AW706" s="1488"/>
      <c r="AX706" s="1488"/>
      <c r="AY706" s="1488"/>
    </row>
    <row r="707" spans="3:51" s="1502" customFormat="1">
      <c r="C707" s="1498"/>
      <c r="D707" s="1501"/>
      <c r="E707" s="1500"/>
      <c r="F707" s="814"/>
      <c r="G707" s="1494"/>
      <c r="H707" s="1493"/>
      <c r="I707" s="1493"/>
      <c r="J707" s="813"/>
      <c r="K707" s="814"/>
      <c r="L707" s="1499"/>
      <c r="M707" s="1488"/>
      <c r="N707" s="1488"/>
      <c r="O707" s="1488"/>
      <c r="P707" s="1488"/>
      <c r="Q707" s="1489"/>
      <c r="R707" s="1489"/>
      <c r="S707" s="1489"/>
      <c r="T707" s="1489"/>
      <c r="U707" s="1489"/>
      <c r="V707" s="1489"/>
      <c r="W707" s="1489"/>
      <c r="X707" s="1489"/>
      <c r="Y707" s="1489"/>
      <c r="Z707" s="1489"/>
      <c r="AA707" s="1489"/>
      <c r="AB707" s="1489"/>
      <c r="AC707" s="1489"/>
      <c r="AD707" s="1489"/>
      <c r="AE707" s="1489"/>
      <c r="AF707" s="1489"/>
      <c r="AG707" s="1489"/>
      <c r="AH707" s="1489"/>
      <c r="AI707" s="1489"/>
      <c r="AJ707" s="1489"/>
      <c r="AK707" s="1489"/>
      <c r="AL707" s="1489"/>
      <c r="AM707" s="1489"/>
      <c r="AN707" s="1489"/>
      <c r="AO707" s="1489"/>
      <c r="AP707" s="1489"/>
      <c r="AQ707" s="1489"/>
      <c r="AR707" s="1488"/>
      <c r="AS707" s="1488"/>
      <c r="AT707" s="1488"/>
      <c r="AU707" s="1488"/>
      <c r="AV707" s="1488"/>
      <c r="AW707" s="1488"/>
      <c r="AX707" s="1488"/>
      <c r="AY707" s="1488"/>
    </row>
    <row r="708" spans="3:51" s="1502" customFormat="1">
      <c r="C708" s="1498"/>
      <c r="D708" s="1501"/>
      <c r="E708" s="1500"/>
      <c r="F708" s="814"/>
      <c r="G708" s="1494"/>
      <c r="H708" s="1493"/>
      <c r="I708" s="1493"/>
      <c r="J708" s="813"/>
      <c r="K708" s="814"/>
      <c r="L708" s="1499"/>
      <c r="M708" s="1488"/>
      <c r="N708" s="1488"/>
      <c r="O708" s="1488"/>
      <c r="P708" s="1488"/>
      <c r="Q708" s="1489"/>
      <c r="R708" s="1489"/>
      <c r="S708" s="1489"/>
      <c r="T708" s="1489"/>
      <c r="U708" s="1489"/>
      <c r="V708" s="1489"/>
      <c r="W708" s="1489"/>
      <c r="X708" s="1489"/>
      <c r="Y708" s="1489"/>
      <c r="Z708" s="1489"/>
      <c r="AA708" s="1489"/>
      <c r="AB708" s="1489"/>
      <c r="AC708" s="1489"/>
      <c r="AD708" s="1489"/>
      <c r="AE708" s="1489"/>
      <c r="AF708" s="1489"/>
      <c r="AG708" s="1489"/>
      <c r="AH708" s="1489"/>
      <c r="AI708" s="1489"/>
      <c r="AJ708" s="1489"/>
      <c r="AK708" s="1489"/>
      <c r="AL708" s="1489"/>
      <c r="AM708" s="1489"/>
      <c r="AN708" s="1489"/>
      <c r="AO708" s="1489"/>
      <c r="AP708" s="1489"/>
      <c r="AQ708" s="1489"/>
      <c r="AR708" s="1488"/>
      <c r="AS708" s="1488"/>
      <c r="AT708" s="1488"/>
      <c r="AU708" s="1488"/>
      <c r="AV708" s="1488"/>
      <c r="AW708" s="1488"/>
      <c r="AX708" s="1488"/>
      <c r="AY708" s="1488"/>
    </row>
    <row r="709" spans="3:51" s="1502" customFormat="1">
      <c r="C709" s="1498"/>
      <c r="D709" s="1501"/>
      <c r="E709" s="1500"/>
      <c r="F709" s="814"/>
      <c r="G709" s="1494"/>
      <c r="H709" s="1493"/>
      <c r="I709" s="1493"/>
      <c r="J709" s="813"/>
      <c r="K709" s="814"/>
      <c r="L709" s="1499"/>
      <c r="M709" s="1488"/>
      <c r="N709" s="1488"/>
      <c r="O709" s="1488"/>
      <c r="P709" s="1488"/>
      <c r="Q709" s="1489"/>
      <c r="R709" s="1489"/>
      <c r="S709" s="1489"/>
      <c r="T709" s="1489"/>
      <c r="U709" s="1489"/>
      <c r="V709" s="1489"/>
      <c r="W709" s="1489"/>
      <c r="X709" s="1489"/>
      <c r="Y709" s="1489"/>
      <c r="Z709" s="1489"/>
      <c r="AA709" s="1489"/>
      <c r="AB709" s="1489"/>
      <c r="AC709" s="1489"/>
      <c r="AD709" s="1489"/>
      <c r="AE709" s="1489"/>
      <c r="AF709" s="1489"/>
      <c r="AG709" s="1489"/>
      <c r="AH709" s="1489"/>
      <c r="AI709" s="1489"/>
      <c r="AJ709" s="1489"/>
      <c r="AK709" s="1489"/>
      <c r="AL709" s="1489"/>
      <c r="AM709" s="1489"/>
      <c r="AN709" s="1489"/>
      <c r="AO709" s="1489"/>
      <c r="AP709" s="1489"/>
      <c r="AQ709" s="1489"/>
      <c r="AR709" s="1488"/>
      <c r="AS709" s="1488"/>
      <c r="AT709" s="1488"/>
      <c r="AU709" s="1488"/>
      <c r="AV709" s="1488"/>
      <c r="AW709" s="1488"/>
      <c r="AX709" s="1488"/>
      <c r="AY709" s="1488"/>
    </row>
    <row r="710" spans="3:51" s="1502" customFormat="1">
      <c r="C710" s="1498"/>
      <c r="D710" s="1501"/>
      <c r="E710" s="1500"/>
      <c r="F710" s="814"/>
      <c r="G710" s="1494"/>
      <c r="H710" s="1493"/>
      <c r="I710" s="1493"/>
      <c r="J710" s="813"/>
      <c r="K710" s="814"/>
      <c r="L710" s="1499"/>
      <c r="M710" s="1488"/>
      <c r="N710" s="1488"/>
      <c r="O710" s="1488"/>
      <c r="P710" s="1488"/>
      <c r="Q710" s="1489"/>
      <c r="R710" s="1489"/>
      <c r="S710" s="1489"/>
      <c r="T710" s="1489"/>
      <c r="U710" s="1489"/>
      <c r="V710" s="1489"/>
      <c r="W710" s="1489"/>
      <c r="X710" s="1489"/>
      <c r="Y710" s="1489"/>
      <c r="Z710" s="1489"/>
      <c r="AA710" s="1489"/>
      <c r="AB710" s="1489"/>
      <c r="AC710" s="1489"/>
      <c r="AD710" s="1489"/>
      <c r="AE710" s="1489"/>
      <c r="AF710" s="1489"/>
      <c r="AG710" s="1489"/>
      <c r="AH710" s="1489"/>
      <c r="AI710" s="1489"/>
      <c r="AJ710" s="1489"/>
      <c r="AK710" s="1489"/>
      <c r="AL710" s="1489"/>
      <c r="AM710" s="1489"/>
      <c r="AN710" s="1489"/>
      <c r="AO710" s="1489"/>
      <c r="AP710" s="1489"/>
      <c r="AQ710" s="1489"/>
      <c r="AR710" s="1488"/>
      <c r="AS710" s="1488"/>
      <c r="AT710" s="1488"/>
      <c r="AU710" s="1488"/>
      <c r="AV710" s="1488"/>
      <c r="AW710" s="1488"/>
      <c r="AX710" s="1488"/>
      <c r="AY710" s="1488"/>
    </row>
    <row r="711" spans="3:51" s="1502" customFormat="1">
      <c r="C711" s="1498"/>
      <c r="D711" s="1501"/>
      <c r="E711" s="1500"/>
      <c r="F711" s="814"/>
      <c r="G711" s="1494"/>
      <c r="H711" s="1493"/>
      <c r="I711" s="1493"/>
      <c r="J711" s="813"/>
      <c r="K711" s="814"/>
      <c r="L711" s="1499"/>
      <c r="M711" s="1488"/>
      <c r="N711" s="1488"/>
      <c r="O711" s="1488"/>
      <c r="P711" s="1488"/>
      <c r="Q711" s="1489"/>
      <c r="R711" s="1489"/>
      <c r="S711" s="1489"/>
      <c r="T711" s="1489"/>
      <c r="U711" s="1489"/>
      <c r="V711" s="1489"/>
      <c r="W711" s="1489"/>
      <c r="X711" s="1489"/>
      <c r="Y711" s="1489"/>
      <c r="Z711" s="1489"/>
      <c r="AA711" s="1489"/>
      <c r="AB711" s="1489"/>
      <c r="AC711" s="1489"/>
      <c r="AD711" s="1489"/>
      <c r="AE711" s="1489"/>
      <c r="AF711" s="1489"/>
      <c r="AG711" s="1489"/>
      <c r="AH711" s="1489"/>
      <c r="AI711" s="1489"/>
      <c r="AJ711" s="1489"/>
      <c r="AK711" s="1489"/>
      <c r="AL711" s="1489"/>
      <c r="AM711" s="1489"/>
      <c r="AN711" s="1489"/>
      <c r="AO711" s="1489"/>
      <c r="AP711" s="1489"/>
      <c r="AQ711" s="1489"/>
      <c r="AR711" s="1488"/>
      <c r="AS711" s="1488"/>
      <c r="AT711" s="1488"/>
      <c r="AU711" s="1488"/>
      <c r="AV711" s="1488"/>
      <c r="AW711" s="1488"/>
      <c r="AX711" s="1488"/>
      <c r="AY711" s="1488"/>
    </row>
    <row r="712" spans="3:51" s="1502" customFormat="1">
      <c r="C712" s="1498"/>
      <c r="D712" s="1501"/>
      <c r="E712" s="1500"/>
      <c r="F712" s="814"/>
      <c r="G712" s="1494"/>
      <c r="H712" s="1493"/>
      <c r="I712" s="1493"/>
      <c r="J712" s="813"/>
      <c r="K712" s="814"/>
      <c r="L712" s="1499"/>
      <c r="M712" s="1488"/>
      <c r="N712" s="1488"/>
      <c r="O712" s="1488"/>
      <c r="P712" s="1488"/>
      <c r="Q712" s="1489"/>
      <c r="R712" s="1489"/>
      <c r="S712" s="1489"/>
      <c r="T712" s="1489"/>
      <c r="U712" s="1489"/>
      <c r="V712" s="1489"/>
      <c r="W712" s="1489"/>
      <c r="X712" s="1489"/>
      <c r="Y712" s="1489"/>
      <c r="Z712" s="1489"/>
      <c r="AA712" s="1489"/>
      <c r="AB712" s="1489"/>
      <c r="AC712" s="1489"/>
      <c r="AD712" s="1489"/>
      <c r="AE712" s="1489"/>
      <c r="AF712" s="1489"/>
      <c r="AG712" s="1489"/>
      <c r="AH712" s="1489"/>
      <c r="AI712" s="1489"/>
      <c r="AJ712" s="1489"/>
      <c r="AK712" s="1489"/>
      <c r="AL712" s="1489"/>
      <c r="AM712" s="1489"/>
      <c r="AN712" s="1489"/>
      <c r="AO712" s="1489"/>
      <c r="AP712" s="1489"/>
      <c r="AQ712" s="1489"/>
      <c r="AR712" s="1488"/>
      <c r="AS712" s="1488"/>
      <c r="AT712" s="1488"/>
      <c r="AU712" s="1488"/>
      <c r="AV712" s="1488"/>
      <c r="AW712" s="1488"/>
      <c r="AX712" s="1488"/>
      <c r="AY712" s="1488"/>
    </row>
    <row r="713" spans="3:51" s="1502" customFormat="1">
      <c r="C713" s="1498"/>
      <c r="D713" s="1501"/>
      <c r="E713" s="1500"/>
      <c r="F713" s="814"/>
      <c r="G713" s="1494"/>
      <c r="H713" s="1493"/>
      <c r="I713" s="1493"/>
      <c r="J713" s="813"/>
      <c r="K713" s="814"/>
      <c r="L713" s="1499"/>
      <c r="M713" s="1488"/>
      <c r="N713" s="1488"/>
      <c r="O713" s="1488"/>
      <c r="P713" s="1488"/>
      <c r="Q713" s="1489"/>
      <c r="R713" s="1489"/>
      <c r="S713" s="1489"/>
      <c r="T713" s="1489"/>
      <c r="U713" s="1489"/>
      <c r="V713" s="1489"/>
      <c r="W713" s="1489"/>
      <c r="X713" s="1489"/>
      <c r="Y713" s="1489"/>
      <c r="Z713" s="1489"/>
      <c r="AA713" s="1489"/>
      <c r="AB713" s="1489"/>
      <c r="AC713" s="1489"/>
      <c r="AD713" s="1489"/>
      <c r="AE713" s="1489"/>
      <c r="AF713" s="1489"/>
      <c r="AG713" s="1489"/>
      <c r="AH713" s="1489"/>
      <c r="AI713" s="1489"/>
      <c r="AJ713" s="1489"/>
      <c r="AK713" s="1489"/>
      <c r="AL713" s="1489"/>
      <c r="AM713" s="1489"/>
      <c r="AN713" s="1489"/>
      <c r="AO713" s="1489"/>
      <c r="AP713" s="1489"/>
      <c r="AQ713" s="1489"/>
      <c r="AR713" s="1488"/>
      <c r="AS713" s="1488"/>
      <c r="AT713" s="1488"/>
      <c r="AU713" s="1488"/>
      <c r="AV713" s="1488"/>
      <c r="AW713" s="1488"/>
      <c r="AX713" s="1488"/>
      <c r="AY713" s="1488"/>
    </row>
    <row r="714" spans="3:51" s="1502" customFormat="1">
      <c r="C714" s="1498"/>
      <c r="D714" s="1501"/>
      <c r="E714" s="1500"/>
      <c r="F714" s="814"/>
      <c r="G714" s="1494"/>
      <c r="H714" s="1493"/>
      <c r="I714" s="1493"/>
      <c r="J714" s="813"/>
      <c r="K714" s="814"/>
      <c r="L714" s="1499"/>
      <c r="M714" s="1488"/>
      <c r="N714" s="1488"/>
      <c r="O714" s="1488"/>
      <c r="P714" s="1488"/>
      <c r="Q714" s="1489"/>
      <c r="R714" s="1489"/>
      <c r="S714" s="1489"/>
      <c r="T714" s="1489"/>
      <c r="U714" s="1489"/>
      <c r="V714" s="1489"/>
      <c r="W714" s="1489"/>
      <c r="X714" s="1489"/>
      <c r="Y714" s="1489"/>
      <c r="Z714" s="1489"/>
      <c r="AA714" s="1489"/>
      <c r="AB714" s="1489"/>
      <c r="AC714" s="1489"/>
      <c r="AD714" s="1489"/>
      <c r="AE714" s="1489"/>
      <c r="AF714" s="1489"/>
      <c r="AG714" s="1489"/>
      <c r="AH714" s="1489"/>
      <c r="AI714" s="1489"/>
      <c r="AJ714" s="1489"/>
      <c r="AK714" s="1489"/>
      <c r="AL714" s="1489"/>
      <c r="AM714" s="1489"/>
      <c r="AN714" s="1489"/>
      <c r="AO714" s="1489"/>
      <c r="AP714" s="1489"/>
      <c r="AQ714" s="1489"/>
      <c r="AR714" s="1488"/>
      <c r="AS714" s="1488"/>
      <c r="AT714" s="1488"/>
      <c r="AU714" s="1488"/>
      <c r="AV714" s="1488"/>
      <c r="AW714" s="1488"/>
      <c r="AX714" s="1488"/>
      <c r="AY714" s="1488"/>
    </row>
    <row r="715" spans="3:51" s="1502" customFormat="1">
      <c r="C715" s="1498"/>
      <c r="D715" s="1501"/>
      <c r="E715" s="1500"/>
      <c r="F715" s="814"/>
      <c r="G715" s="1494"/>
      <c r="H715" s="1493"/>
      <c r="I715" s="1493"/>
      <c r="J715" s="813"/>
      <c r="K715" s="814"/>
      <c r="L715" s="1499"/>
      <c r="M715" s="1488"/>
      <c r="N715" s="1488"/>
      <c r="O715" s="1488"/>
      <c r="P715" s="1488"/>
      <c r="Q715" s="1489"/>
      <c r="R715" s="1489"/>
      <c r="S715" s="1489"/>
      <c r="T715" s="1489"/>
      <c r="U715" s="1489"/>
      <c r="V715" s="1489"/>
      <c r="W715" s="1489"/>
      <c r="X715" s="1489"/>
      <c r="Y715" s="1489"/>
      <c r="Z715" s="1489"/>
      <c r="AA715" s="1489"/>
      <c r="AB715" s="1489"/>
      <c r="AC715" s="1489"/>
      <c r="AD715" s="1489"/>
      <c r="AE715" s="1489"/>
      <c r="AF715" s="1489"/>
      <c r="AG715" s="1489"/>
      <c r="AH715" s="1489"/>
      <c r="AI715" s="1489"/>
      <c r="AJ715" s="1489"/>
      <c r="AK715" s="1489"/>
      <c r="AL715" s="1489"/>
      <c r="AM715" s="1489"/>
      <c r="AN715" s="1489"/>
      <c r="AO715" s="1489"/>
      <c r="AP715" s="1489"/>
      <c r="AQ715" s="1489"/>
      <c r="AR715" s="1488"/>
      <c r="AS715" s="1488"/>
      <c r="AT715" s="1488"/>
      <c r="AU715" s="1488"/>
      <c r="AV715" s="1488"/>
      <c r="AW715" s="1488"/>
      <c r="AX715" s="1488"/>
      <c r="AY715" s="1488"/>
    </row>
    <row r="716" spans="3:51" s="1502" customFormat="1">
      <c r="C716" s="1498"/>
      <c r="D716" s="1501"/>
      <c r="E716" s="1500"/>
      <c r="F716" s="814"/>
      <c r="G716" s="1494"/>
      <c r="H716" s="1493"/>
      <c r="I716" s="1493"/>
      <c r="J716" s="813"/>
      <c r="K716" s="814"/>
      <c r="L716" s="1499"/>
      <c r="M716" s="1488"/>
      <c r="N716" s="1488"/>
      <c r="O716" s="1488"/>
      <c r="P716" s="1488"/>
      <c r="Q716" s="1489"/>
      <c r="R716" s="1489"/>
      <c r="S716" s="1489"/>
      <c r="T716" s="1489"/>
      <c r="U716" s="1489"/>
      <c r="V716" s="1489"/>
      <c r="W716" s="1489"/>
      <c r="X716" s="1489"/>
      <c r="Y716" s="1489"/>
      <c r="Z716" s="1489"/>
      <c r="AA716" s="1489"/>
      <c r="AB716" s="1489"/>
      <c r="AC716" s="1489"/>
      <c r="AD716" s="1489"/>
      <c r="AE716" s="1489"/>
      <c r="AF716" s="1489"/>
      <c r="AG716" s="1489"/>
      <c r="AH716" s="1489"/>
      <c r="AI716" s="1489"/>
      <c r="AJ716" s="1489"/>
      <c r="AK716" s="1489"/>
      <c r="AL716" s="1489"/>
      <c r="AM716" s="1489"/>
      <c r="AN716" s="1489"/>
      <c r="AO716" s="1489"/>
      <c r="AP716" s="1489"/>
      <c r="AQ716" s="1489"/>
      <c r="AR716" s="1488"/>
      <c r="AS716" s="1488"/>
      <c r="AT716" s="1488"/>
      <c r="AU716" s="1488"/>
      <c r="AV716" s="1488"/>
      <c r="AW716" s="1488"/>
      <c r="AX716" s="1488"/>
      <c r="AY716" s="1488"/>
    </row>
    <row r="717" spans="3:51" s="1502" customFormat="1">
      <c r="C717" s="1498"/>
      <c r="D717" s="1501"/>
      <c r="E717" s="1500"/>
      <c r="F717" s="814"/>
      <c r="G717" s="1494"/>
      <c r="H717" s="1493"/>
      <c r="I717" s="1493"/>
      <c r="J717" s="813"/>
      <c r="K717" s="814"/>
      <c r="L717" s="1499"/>
      <c r="M717" s="1488"/>
      <c r="N717" s="1488"/>
      <c r="O717" s="1488"/>
      <c r="P717" s="1488"/>
      <c r="Q717" s="1489"/>
      <c r="R717" s="1489"/>
      <c r="S717" s="1489"/>
      <c r="T717" s="1489"/>
      <c r="U717" s="1489"/>
      <c r="V717" s="1489"/>
      <c r="W717" s="1489"/>
      <c r="X717" s="1489"/>
      <c r="Y717" s="1489"/>
      <c r="Z717" s="1489"/>
      <c r="AA717" s="1489"/>
      <c r="AB717" s="1489"/>
      <c r="AC717" s="1489"/>
      <c r="AD717" s="1489"/>
      <c r="AE717" s="1489"/>
      <c r="AF717" s="1489"/>
      <c r="AG717" s="1489"/>
      <c r="AH717" s="1489"/>
      <c r="AI717" s="1489"/>
      <c r="AJ717" s="1489"/>
      <c r="AK717" s="1489"/>
      <c r="AL717" s="1489"/>
      <c r="AM717" s="1489"/>
      <c r="AN717" s="1489"/>
      <c r="AO717" s="1489"/>
      <c r="AP717" s="1489"/>
      <c r="AQ717" s="1489"/>
      <c r="AR717" s="1488"/>
      <c r="AS717" s="1488"/>
      <c r="AT717" s="1488"/>
      <c r="AU717" s="1488"/>
      <c r="AV717" s="1488"/>
      <c r="AW717" s="1488"/>
      <c r="AX717" s="1488"/>
      <c r="AY717" s="1488"/>
    </row>
    <row r="718" spans="3:51" s="1502" customFormat="1">
      <c r="C718" s="1498"/>
      <c r="D718" s="1501"/>
      <c r="E718" s="1500"/>
      <c r="F718" s="814"/>
      <c r="G718" s="1494"/>
      <c r="H718" s="1493"/>
      <c r="I718" s="1493"/>
      <c r="J718" s="813"/>
      <c r="K718" s="814"/>
      <c r="L718" s="1499"/>
      <c r="M718" s="1488"/>
      <c r="N718" s="1488"/>
      <c r="O718" s="1488"/>
      <c r="P718" s="1488"/>
      <c r="Q718" s="1489"/>
      <c r="R718" s="1489"/>
      <c r="S718" s="1489"/>
      <c r="T718" s="1489"/>
      <c r="U718" s="1489"/>
      <c r="V718" s="1489"/>
      <c r="W718" s="1489"/>
      <c r="X718" s="1489"/>
      <c r="Y718" s="1489"/>
      <c r="Z718" s="1489"/>
      <c r="AA718" s="1489"/>
      <c r="AB718" s="1489"/>
      <c r="AC718" s="1489"/>
      <c r="AD718" s="1489"/>
      <c r="AE718" s="1489"/>
      <c r="AF718" s="1489"/>
      <c r="AG718" s="1489"/>
      <c r="AH718" s="1489"/>
      <c r="AI718" s="1489"/>
      <c r="AJ718" s="1489"/>
      <c r="AK718" s="1489"/>
      <c r="AL718" s="1489"/>
      <c r="AM718" s="1489"/>
      <c r="AN718" s="1489"/>
      <c r="AO718" s="1489"/>
      <c r="AP718" s="1489"/>
      <c r="AQ718" s="1489"/>
      <c r="AR718" s="1488"/>
      <c r="AS718" s="1488"/>
      <c r="AT718" s="1488"/>
      <c r="AU718" s="1488"/>
      <c r="AV718" s="1488"/>
      <c r="AW718" s="1488"/>
      <c r="AX718" s="1488"/>
      <c r="AY718" s="1488"/>
    </row>
    <row r="719" spans="3:51" s="1502" customFormat="1">
      <c r="C719" s="1498"/>
      <c r="D719" s="1501"/>
      <c r="E719" s="1500"/>
      <c r="F719" s="814"/>
      <c r="G719" s="1494"/>
      <c r="H719" s="1493"/>
      <c r="I719" s="1493"/>
      <c r="J719" s="813"/>
      <c r="K719" s="814"/>
      <c r="L719" s="1499"/>
      <c r="M719" s="1488"/>
      <c r="N719" s="1488"/>
      <c r="O719" s="1488"/>
      <c r="P719" s="1488"/>
      <c r="Q719" s="1489"/>
      <c r="R719" s="1489"/>
      <c r="S719" s="1489"/>
      <c r="T719" s="1489"/>
      <c r="U719" s="1489"/>
      <c r="V719" s="1489"/>
      <c r="W719" s="1489"/>
      <c r="X719" s="1489"/>
      <c r="Y719" s="1489"/>
      <c r="Z719" s="1489"/>
      <c r="AA719" s="1489"/>
      <c r="AB719" s="1489"/>
      <c r="AC719" s="1489"/>
      <c r="AD719" s="1489"/>
      <c r="AE719" s="1489"/>
      <c r="AF719" s="1489"/>
      <c r="AG719" s="1489"/>
      <c r="AH719" s="1489"/>
      <c r="AI719" s="1489"/>
      <c r="AJ719" s="1489"/>
      <c r="AK719" s="1489"/>
      <c r="AL719" s="1489"/>
      <c r="AM719" s="1489"/>
      <c r="AN719" s="1489"/>
      <c r="AO719" s="1489"/>
      <c r="AP719" s="1489"/>
      <c r="AQ719" s="1489"/>
      <c r="AR719" s="1488"/>
      <c r="AS719" s="1488"/>
      <c r="AT719" s="1488"/>
      <c r="AU719" s="1488"/>
      <c r="AV719" s="1488"/>
      <c r="AW719" s="1488"/>
      <c r="AX719" s="1488"/>
      <c r="AY719" s="1488"/>
    </row>
    <row r="720" spans="3:51" s="1502" customFormat="1">
      <c r="C720" s="1498"/>
      <c r="D720" s="1501"/>
      <c r="E720" s="1500"/>
      <c r="F720" s="814"/>
      <c r="G720" s="1494"/>
      <c r="H720" s="1493"/>
      <c r="I720" s="1493"/>
      <c r="J720" s="813"/>
      <c r="K720" s="814"/>
      <c r="L720" s="1499"/>
      <c r="M720" s="1488"/>
      <c r="N720" s="1488"/>
      <c r="O720" s="1488"/>
      <c r="P720" s="1488"/>
      <c r="Q720" s="1489"/>
      <c r="R720" s="1489"/>
      <c r="S720" s="1489"/>
      <c r="T720" s="1489"/>
      <c r="U720" s="1489"/>
      <c r="V720" s="1489"/>
      <c r="W720" s="1489"/>
      <c r="X720" s="1489"/>
      <c r="Y720" s="1489"/>
      <c r="Z720" s="1489"/>
      <c r="AA720" s="1489"/>
      <c r="AB720" s="1489"/>
      <c r="AC720" s="1489"/>
      <c r="AD720" s="1489"/>
      <c r="AE720" s="1489"/>
      <c r="AF720" s="1489"/>
      <c r="AG720" s="1489"/>
      <c r="AH720" s="1489"/>
      <c r="AI720" s="1489"/>
      <c r="AJ720" s="1489"/>
      <c r="AK720" s="1489"/>
      <c r="AL720" s="1489"/>
      <c r="AM720" s="1489"/>
      <c r="AN720" s="1489"/>
      <c r="AO720" s="1489"/>
      <c r="AP720" s="1489"/>
      <c r="AQ720" s="1489"/>
      <c r="AR720" s="1488"/>
      <c r="AS720" s="1488"/>
      <c r="AT720" s="1488"/>
      <c r="AU720" s="1488"/>
      <c r="AV720" s="1488"/>
      <c r="AW720" s="1488"/>
      <c r="AX720" s="1488"/>
      <c r="AY720" s="1488"/>
    </row>
    <row r="721" spans="3:51" s="1502" customFormat="1">
      <c r="C721" s="1498"/>
      <c r="D721" s="1501"/>
      <c r="E721" s="1500"/>
      <c r="F721" s="814"/>
      <c r="G721" s="1494"/>
      <c r="H721" s="1493"/>
      <c r="I721" s="1493"/>
      <c r="J721" s="813"/>
      <c r="K721" s="814"/>
      <c r="L721" s="1499"/>
      <c r="M721" s="1488"/>
      <c r="N721" s="1488"/>
      <c r="O721" s="1488"/>
      <c r="P721" s="1488"/>
      <c r="Q721" s="1489"/>
      <c r="R721" s="1489"/>
      <c r="S721" s="1489"/>
      <c r="T721" s="1489"/>
      <c r="U721" s="1489"/>
      <c r="V721" s="1489"/>
      <c r="W721" s="1489"/>
      <c r="X721" s="1489"/>
      <c r="Y721" s="1489"/>
      <c r="Z721" s="1489"/>
      <c r="AA721" s="1489"/>
      <c r="AB721" s="1489"/>
      <c r="AC721" s="1489"/>
      <c r="AD721" s="1489"/>
      <c r="AE721" s="1489"/>
      <c r="AF721" s="1489"/>
      <c r="AG721" s="1489"/>
      <c r="AH721" s="1489"/>
      <c r="AI721" s="1489"/>
      <c r="AJ721" s="1489"/>
      <c r="AK721" s="1489"/>
      <c r="AL721" s="1489"/>
      <c r="AM721" s="1489"/>
      <c r="AN721" s="1489"/>
      <c r="AO721" s="1489"/>
      <c r="AP721" s="1489"/>
      <c r="AQ721" s="1489"/>
      <c r="AR721" s="1488"/>
      <c r="AS721" s="1488"/>
      <c r="AT721" s="1488"/>
      <c r="AU721" s="1488"/>
      <c r="AV721" s="1488"/>
      <c r="AW721" s="1488"/>
      <c r="AX721" s="1488"/>
      <c r="AY721" s="1488"/>
    </row>
    <row r="722" spans="3:51" s="1502" customFormat="1">
      <c r="C722" s="1498"/>
      <c r="D722" s="1501"/>
      <c r="E722" s="1500"/>
      <c r="F722" s="814"/>
      <c r="G722" s="1494"/>
      <c r="H722" s="1493"/>
      <c r="I722" s="1493"/>
      <c r="J722" s="813"/>
      <c r="K722" s="814"/>
      <c r="L722" s="1499"/>
      <c r="M722" s="1488"/>
      <c r="N722" s="1488"/>
      <c r="O722" s="1488"/>
      <c r="P722" s="1488"/>
      <c r="Q722" s="1489"/>
      <c r="R722" s="1489"/>
      <c r="S722" s="1489"/>
      <c r="T722" s="1489"/>
      <c r="U722" s="1489"/>
      <c r="V722" s="1489"/>
      <c r="W722" s="1489"/>
      <c r="X722" s="1489"/>
      <c r="Y722" s="1489"/>
      <c r="Z722" s="1489"/>
      <c r="AA722" s="1489"/>
      <c r="AB722" s="1489"/>
      <c r="AC722" s="1489"/>
      <c r="AD722" s="1489"/>
      <c r="AE722" s="1489"/>
      <c r="AF722" s="1489"/>
      <c r="AG722" s="1489"/>
      <c r="AH722" s="1489"/>
      <c r="AI722" s="1489"/>
      <c r="AJ722" s="1489"/>
      <c r="AK722" s="1489"/>
      <c r="AL722" s="1489"/>
      <c r="AM722" s="1489"/>
      <c r="AN722" s="1489"/>
      <c r="AO722" s="1489"/>
      <c r="AP722" s="1489"/>
      <c r="AQ722" s="1489"/>
      <c r="AR722" s="1488"/>
      <c r="AS722" s="1488"/>
      <c r="AT722" s="1488"/>
      <c r="AU722" s="1488"/>
      <c r="AV722" s="1488"/>
      <c r="AW722" s="1488"/>
      <c r="AX722" s="1488"/>
      <c r="AY722" s="1488"/>
    </row>
    <row r="723" spans="3:51" s="1502" customFormat="1">
      <c r="C723" s="1498"/>
      <c r="D723" s="1501"/>
      <c r="E723" s="1500"/>
      <c r="F723" s="814"/>
      <c r="G723" s="1494"/>
      <c r="H723" s="1493"/>
      <c r="I723" s="1493"/>
      <c r="J723" s="813"/>
      <c r="K723" s="814"/>
      <c r="L723" s="1499"/>
      <c r="M723" s="1488"/>
      <c r="N723" s="1488"/>
      <c r="O723" s="1488"/>
      <c r="P723" s="1488"/>
      <c r="Q723" s="1489"/>
      <c r="R723" s="1489"/>
      <c r="S723" s="1489"/>
      <c r="T723" s="1489"/>
      <c r="U723" s="1489"/>
      <c r="V723" s="1489"/>
      <c r="W723" s="1489"/>
      <c r="X723" s="1489"/>
      <c r="Y723" s="1489"/>
      <c r="Z723" s="1489"/>
      <c r="AA723" s="1489"/>
      <c r="AB723" s="1489"/>
      <c r="AC723" s="1489"/>
      <c r="AD723" s="1489"/>
      <c r="AE723" s="1489"/>
      <c r="AF723" s="1489"/>
      <c r="AG723" s="1489"/>
      <c r="AH723" s="1489"/>
      <c r="AI723" s="1489"/>
      <c r="AJ723" s="1489"/>
      <c r="AK723" s="1489"/>
      <c r="AL723" s="1489"/>
      <c r="AM723" s="1489"/>
      <c r="AN723" s="1489"/>
      <c r="AO723" s="1489"/>
      <c r="AP723" s="1489"/>
      <c r="AQ723" s="1489"/>
      <c r="AR723" s="1488"/>
      <c r="AS723" s="1488"/>
      <c r="AT723" s="1488"/>
      <c r="AU723" s="1488"/>
      <c r="AV723" s="1488"/>
      <c r="AW723" s="1488"/>
      <c r="AX723" s="1488"/>
      <c r="AY723" s="1488"/>
    </row>
    <row r="724" spans="3:51" s="1502" customFormat="1">
      <c r="C724" s="1498"/>
      <c r="D724" s="1501"/>
      <c r="E724" s="1500"/>
      <c r="F724" s="814"/>
      <c r="G724" s="1494"/>
      <c r="H724" s="1493"/>
      <c r="I724" s="1493"/>
      <c r="J724" s="813"/>
      <c r="K724" s="814"/>
      <c r="L724" s="1499"/>
      <c r="M724" s="1488"/>
      <c r="N724" s="1488"/>
      <c r="O724" s="1488"/>
      <c r="P724" s="1488"/>
      <c r="Q724" s="1489"/>
      <c r="R724" s="1489"/>
      <c r="S724" s="1489"/>
      <c r="T724" s="1489"/>
      <c r="U724" s="1489"/>
      <c r="V724" s="1489"/>
      <c r="W724" s="1489"/>
      <c r="X724" s="1489"/>
      <c r="Y724" s="1489"/>
      <c r="Z724" s="1489"/>
      <c r="AA724" s="1489"/>
      <c r="AB724" s="1489"/>
      <c r="AC724" s="1489"/>
      <c r="AD724" s="1489"/>
      <c r="AE724" s="1489"/>
      <c r="AF724" s="1489"/>
      <c r="AG724" s="1489"/>
      <c r="AH724" s="1489"/>
      <c r="AI724" s="1489"/>
      <c r="AJ724" s="1489"/>
      <c r="AK724" s="1489"/>
      <c r="AL724" s="1489"/>
      <c r="AM724" s="1489"/>
      <c r="AN724" s="1489"/>
      <c r="AO724" s="1489"/>
      <c r="AP724" s="1489"/>
      <c r="AQ724" s="1489"/>
      <c r="AR724" s="1488"/>
      <c r="AS724" s="1488"/>
      <c r="AT724" s="1488"/>
      <c r="AU724" s="1488"/>
      <c r="AV724" s="1488"/>
      <c r="AW724" s="1488"/>
      <c r="AX724" s="1488"/>
      <c r="AY724" s="1488"/>
    </row>
    <row r="725" spans="3:51" s="1502" customFormat="1">
      <c r="C725" s="1498"/>
      <c r="D725" s="1501"/>
      <c r="E725" s="1500"/>
      <c r="F725" s="814"/>
      <c r="G725" s="1494"/>
      <c r="H725" s="1493"/>
      <c r="I725" s="1493"/>
      <c r="J725" s="813"/>
      <c r="K725" s="814"/>
      <c r="L725" s="1499"/>
      <c r="M725" s="1488"/>
      <c r="N725" s="1488"/>
      <c r="O725" s="1488"/>
      <c r="P725" s="1488"/>
      <c r="Q725" s="1489"/>
      <c r="R725" s="1489"/>
      <c r="S725" s="1489"/>
      <c r="T725" s="1489"/>
      <c r="U725" s="1489"/>
      <c r="V725" s="1489"/>
      <c r="W725" s="1489"/>
      <c r="X725" s="1489"/>
      <c r="Y725" s="1489"/>
      <c r="Z725" s="1489"/>
      <c r="AA725" s="1489"/>
      <c r="AB725" s="1489"/>
      <c r="AC725" s="1489"/>
      <c r="AD725" s="1489"/>
      <c r="AE725" s="1489"/>
      <c r="AF725" s="1489"/>
      <c r="AG725" s="1489"/>
      <c r="AH725" s="1489"/>
      <c r="AI725" s="1489"/>
      <c r="AJ725" s="1489"/>
      <c r="AK725" s="1489"/>
      <c r="AL725" s="1489"/>
      <c r="AM725" s="1489"/>
      <c r="AN725" s="1489"/>
      <c r="AO725" s="1489"/>
      <c r="AP725" s="1489"/>
      <c r="AQ725" s="1489"/>
      <c r="AR725" s="1488"/>
      <c r="AS725" s="1488"/>
      <c r="AT725" s="1488"/>
      <c r="AU725" s="1488"/>
      <c r="AV725" s="1488"/>
      <c r="AW725" s="1488"/>
      <c r="AX725" s="1488"/>
      <c r="AY725" s="1488"/>
    </row>
    <row r="726" spans="3:51" s="1502" customFormat="1">
      <c r="C726" s="1498"/>
      <c r="D726" s="1501"/>
      <c r="E726" s="1500"/>
      <c r="F726" s="814"/>
      <c r="G726" s="1494"/>
      <c r="H726" s="1493"/>
      <c r="I726" s="1493"/>
      <c r="J726" s="813"/>
      <c r="K726" s="814"/>
      <c r="L726" s="1499"/>
      <c r="M726" s="1488"/>
      <c r="N726" s="1488"/>
      <c r="O726" s="1488"/>
      <c r="P726" s="1488"/>
      <c r="Q726" s="1489"/>
      <c r="R726" s="1489"/>
      <c r="S726" s="1489"/>
      <c r="T726" s="1489"/>
      <c r="U726" s="1489"/>
      <c r="V726" s="1489"/>
      <c r="W726" s="1489"/>
      <c r="X726" s="1489"/>
      <c r="Y726" s="1489"/>
      <c r="Z726" s="1489"/>
      <c r="AA726" s="1489"/>
      <c r="AB726" s="1489"/>
      <c r="AC726" s="1489"/>
      <c r="AD726" s="1489"/>
      <c r="AE726" s="1489"/>
      <c r="AF726" s="1489"/>
      <c r="AG726" s="1489"/>
      <c r="AH726" s="1489"/>
      <c r="AI726" s="1489"/>
      <c r="AJ726" s="1489"/>
      <c r="AK726" s="1489"/>
      <c r="AL726" s="1489"/>
      <c r="AM726" s="1489"/>
      <c r="AN726" s="1489"/>
      <c r="AO726" s="1489"/>
      <c r="AP726" s="1489"/>
      <c r="AQ726" s="1489"/>
      <c r="AR726" s="1488"/>
      <c r="AS726" s="1488"/>
      <c r="AT726" s="1488"/>
      <c r="AU726" s="1488"/>
      <c r="AV726" s="1488"/>
      <c r="AW726" s="1488"/>
      <c r="AX726" s="1488"/>
      <c r="AY726" s="1488"/>
    </row>
    <row r="727" spans="3:51" s="1502" customFormat="1">
      <c r="C727" s="1498"/>
      <c r="D727" s="1501"/>
      <c r="E727" s="1500"/>
      <c r="F727" s="814"/>
      <c r="G727" s="1494"/>
      <c r="H727" s="1493"/>
      <c r="I727" s="1493"/>
      <c r="J727" s="813"/>
      <c r="K727" s="814"/>
      <c r="L727" s="1499"/>
      <c r="M727" s="1488"/>
      <c r="N727" s="1488"/>
      <c r="O727" s="1488"/>
      <c r="P727" s="1488"/>
      <c r="Q727" s="1489"/>
      <c r="R727" s="1489"/>
      <c r="S727" s="1489"/>
      <c r="T727" s="1489"/>
      <c r="U727" s="1489"/>
      <c r="V727" s="1489"/>
      <c r="W727" s="1489"/>
      <c r="X727" s="1489"/>
      <c r="Y727" s="1489"/>
      <c r="Z727" s="1489"/>
      <c r="AA727" s="1489"/>
      <c r="AB727" s="1489"/>
      <c r="AC727" s="1489"/>
      <c r="AD727" s="1489"/>
      <c r="AE727" s="1489"/>
      <c r="AF727" s="1489"/>
      <c r="AG727" s="1489"/>
      <c r="AH727" s="1489"/>
      <c r="AI727" s="1489"/>
      <c r="AJ727" s="1489"/>
      <c r="AK727" s="1489"/>
      <c r="AL727" s="1489"/>
      <c r="AM727" s="1489"/>
      <c r="AN727" s="1489"/>
      <c r="AO727" s="1489"/>
      <c r="AP727" s="1489"/>
      <c r="AQ727" s="1489"/>
      <c r="AR727" s="1488"/>
      <c r="AS727" s="1488"/>
      <c r="AT727" s="1488"/>
      <c r="AU727" s="1488"/>
      <c r="AV727" s="1488"/>
      <c r="AW727" s="1488"/>
      <c r="AX727" s="1488"/>
      <c r="AY727" s="1488"/>
    </row>
    <row r="728" spans="3:51" s="1502" customFormat="1">
      <c r="C728" s="1498"/>
      <c r="D728" s="1501"/>
      <c r="E728" s="1500"/>
      <c r="F728" s="814"/>
      <c r="G728" s="1494"/>
      <c r="H728" s="1493"/>
      <c r="I728" s="1493"/>
      <c r="J728" s="813"/>
      <c r="K728" s="814"/>
      <c r="L728" s="1499"/>
      <c r="M728" s="1488"/>
      <c r="N728" s="1488"/>
      <c r="O728" s="1488"/>
      <c r="P728" s="1488"/>
      <c r="Q728" s="1489"/>
      <c r="R728" s="1489"/>
      <c r="S728" s="1489"/>
      <c r="T728" s="1489"/>
      <c r="U728" s="1489"/>
      <c r="V728" s="1489"/>
      <c r="W728" s="1489"/>
      <c r="X728" s="1489"/>
      <c r="Y728" s="1489"/>
      <c r="Z728" s="1489"/>
      <c r="AA728" s="1489"/>
      <c r="AB728" s="1489"/>
      <c r="AC728" s="1489"/>
      <c r="AD728" s="1489"/>
      <c r="AE728" s="1489"/>
      <c r="AF728" s="1489"/>
      <c r="AG728" s="1489"/>
      <c r="AH728" s="1489"/>
      <c r="AI728" s="1489"/>
      <c r="AJ728" s="1489"/>
      <c r="AK728" s="1489"/>
      <c r="AL728" s="1489"/>
      <c r="AM728" s="1489"/>
      <c r="AN728" s="1489"/>
      <c r="AO728" s="1489"/>
      <c r="AP728" s="1489"/>
      <c r="AQ728" s="1489"/>
      <c r="AR728" s="1488"/>
      <c r="AS728" s="1488"/>
      <c r="AT728" s="1488"/>
      <c r="AU728" s="1488"/>
      <c r="AV728" s="1488"/>
      <c r="AW728" s="1488"/>
      <c r="AX728" s="1488"/>
      <c r="AY728" s="1488"/>
    </row>
    <row r="729" spans="3:51" s="1502" customFormat="1">
      <c r="C729" s="1498"/>
      <c r="D729" s="1501"/>
      <c r="E729" s="1500"/>
      <c r="F729" s="814"/>
      <c r="G729" s="1494"/>
      <c r="H729" s="1493"/>
      <c r="I729" s="1493"/>
      <c r="J729" s="813"/>
      <c r="K729" s="814"/>
      <c r="L729" s="1499"/>
      <c r="M729" s="1488"/>
      <c r="N729" s="1488"/>
      <c r="O729" s="1488"/>
      <c r="P729" s="1488"/>
      <c r="Q729" s="1489"/>
      <c r="R729" s="1489"/>
      <c r="S729" s="1489"/>
      <c r="T729" s="1489"/>
      <c r="U729" s="1489"/>
      <c r="V729" s="1489"/>
      <c r="W729" s="1489"/>
      <c r="X729" s="1489"/>
      <c r="Y729" s="1489"/>
      <c r="Z729" s="1489"/>
      <c r="AA729" s="1489"/>
      <c r="AB729" s="1489"/>
      <c r="AC729" s="1489"/>
      <c r="AD729" s="1489"/>
      <c r="AE729" s="1489"/>
      <c r="AF729" s="1489"/>
      <c r="AG729" s="1489"/>
      <c r="AH729" s="1489"/>
      <c r="AI729" s="1489"/>
      <c r="AJ729" s="1489"/>
      <c r="AK729" s="1489"/>
      <c r="AL729" s="1489"/>
      <c r="AM729" s="1489"/>
      <c r="AN729" s="1489"/>
      <c r="AO729" s="1489"/>
      <c r="AP729" s="1489"/>
      <c r="AQ729" s="1489"/>
      <c r="AR729" s="1488"/>
      <c r="AS729" s="1488"/>
      <c r="AT729" s="1488"/>
      <c r="AU729" s="1488"/>
      <c r="AV729" s="1488"/>
      <c r="AW729" s="1488"/>
      <c r="AX729" s="1488"/>
      <c r="AY729" s="1488"/>
    </row>
    <row r="730" spans="3:51" s="1502" customFormat="1">
      <c r="C730" s="1498"/>
      <c r="D730" s="1501"/>
      <c r="E730" s="1500"/>
      <c r="F730" s="814"/>
      <c r="G730" s="1494"/>
      <c r="H730" s="1493"/>
      <c r="I730" s="1493"/>
      <c r="J730" s="813"/>
      <c r="K730" s="814"/>
      <c r="L730" s="1499"/>
      <c r="M730" s="1488"/>
      <c r="N730" s="1488"/>
      <c r="O730" s="1488"/>
      <c r="P730" s="1488"/>
      <c r="Q730" s="1489"/>
      <c r="R730" s="1489"/>
      <c r="S730" s="1489"/>
      <c r="T730" s="1489"/>
      <c r="U730" s="1489"/>
      <c r="V730" s="1489"/>
      <c r="W730" s="1489"/>
      <c r="X730" s="1489"/>
      <c r="Y730" s="1489"/>
      <c r="Z730" s="1489"/>
      <c r="AA730" s="1489"/>
      <c r="AB730" s="1489"/>
      <c r="AC730" s="1489"/>
      <c r="AD730" s="1489"/>
      <c r="AE730" s="1489"/>
      <c r="AF730" s="1489"/>
      <c r="AG730" s="1489"/>
      <c r="AH730" s="1489"/>
      <c r="AI730" s="1489"/>
      <c r="AJ730" s="1489"/>
      <c r="AK730" s="1489"/>
      <c r="AL730" s="1489"/>
      <c r="AM730" s="1489"/>
      <c r="AN730" s="1489"/>
      <c r="AO730" s="1489"/>
      <c r="AP730" s="1489"/>
      <c r="AQ730" s="1489"/>
      <c r="AR730" s="1488"/>
      <c r="AS730" s="1488"/>
      <c r="AT730" s="1488"/>
      <c r="AU730" s="1488"/>
      <c r="AV730" s="1488"/>
      <c r="AW730" s="1488"/>
      <c r="AX730" s="1488"/>
      <c r="AY730" s="1488"/>
    </row>
    <row r="731" spans="3:51" s="1502" customFormat="1">
      <c r="C731" s="1498"/>
      <c r="D731" s="1501"/>
      <c r="E731" s="1500"/>
      <c r="F731" s="814"/>
      <c r="G731" s="1494"/>
      <c r="H731" s="1493"/>
      <c r="I731" s="1493"/>
      <c r="J731" s="813"/>
      <c r="K731" s="814"/>
      <c r="L731" s="1499"/>
      <c r="M731" s="1488"/>
      <c r="N731" s="1488"/>
      <c r="O731" s="1488"/>
      <c r="P731" s="1488"/>
      <c r="Q731" s="1489"/>
      <c r="R731" s="1489"/>
      <c r="S731" s="1489"/>
      <c r="T731" s="1489"/>
      <c r="U731" s="1489"/>
      <c r="V731" s="1489"/>
      <c r="W731" s="1489"/>
      <c r="X731" s="1489"/>
      <c r="Y731" s="1489"/>
      <c r="Z731" s="1489"/>
      <c r="AA731" s="1489"/>
      <c r="AB731" s="1489"/>
      <c r="AC731" s="1489"/>
      <c r="AD731" s="1489"/>
      <c r="AE731" s="1489"/>
      <c r="AF731" s="1489"/>
      <c r="AG731" s="1489"/>
      <c r="AH731" s="1489"/>
      <c r="AI731" s="1489"/>
      <c r="AJ731" s="1489"/>
      <c r="AK731" s="1489"/>
      <c r="AL731" s="1489"/>
      <c r="AM731" s="1489"/>
      <c r="AN731" s="1489"/>
      <c r="AO731" s="1489"/>
      <c r="AP731" s="1489"/>
      <c r="AQ731" s="1489"/>
      <c r="AR731" s="1488"/>
      <c r="AS731" s="1488"/>
      <c r="AT731" s="1488"/>
      <c r="AU731" s="1488"/>
      <c r="AV731" s="1488"/>
      <c r="AW731" s="1488"/>
      <c r="AX731" s="1488"/>
      <c r="AY731" s="1488"/>
    </row>
    <row r="732" spans="3:51" s="1502" customFormat="1">
      <c r="C732" s="1498"/>
      <c r="D732" s="1501"/>
      <c r="E732" s="1500"/>
      <c r="F732" s="814"/>
      <c r="G732" s="1494"/>
      <c r="H732" s="1493"/>
      <c r="I732" s="1493"/>
      <c r="J732" s="813"/>
      <c r="K732" s="814"/>
      <c r="L732" s="1499"/>
      <c r="M732" s="1488"/>
      <c r="N732" s="1488"/>
      <c r="O732" s="1488"/>
      <c r="P732" s="1488"/>
      <c r="Q732" s="1489"/>
      <c r="R732" s="1489"/>
      <c r="S732" s="1489"/>
      <c r="T732" s="1489"/>
      <c r="U732" s="1489"/>
      <c r="V732" s="1489"/>
      <c r="W732" s="1489"/>
      <c r="X732" s="1489"/>
      <c r="Y732" s="1489"/>
      <c r="Z732" s="1489"/>
      <c r="AA732" s="1489"/>
      <c r="AB732" s="1489"/>
      <c r="AC732" s="1489"/>
      <c r="AD732" s="1489"/>
      <c r="AE732" s="1489"/>
      <c r="AF732" s="1489"/>
      <c r="AG732" s="1489"/>
      <c r="AH732" s="1489"/>
      <c r="AI732" s="1489"/>
      <c r="AJ732" s="1489"/>
      <c r="AK732" s="1489"/>
      <c r="AL732" s="1489"/>
      <c r="AM732" s="1489"/>
      <c r="AN732" s="1489"/>
      <c r="AO732" s="1489"/>
      <c r="AP732" s="1489"/>
      <c r="AQ732" s="1489"/>
      <c r="AR732" s="1488"/>
      <c r="AS732" s="1488"/>
      <c r="AT732" s="1488"/>
      <c r="AU732" s="1488"/>
      <c r="AV732" s="1488"/>
      <c r="AW732" s="1488"/>
      <c r="AX732" s="1488"/>
      <c r="AY732" s="1488"/>
    </row>
    <row r="733" spans="3:51" s="1502" customFormat="1">
      <c r="C733" s="1498"/>
      <c r="D733" s="1501"/>
      <c r="E733" s="1500"/>
      <c r="F733" s="814"/>
      <c r="G733" s="1494"/>
      <c r="H733" s="1493"/>
      <c r="I733" s="1493"/>
      <c r="J733" s="813"/>
      <c r="K733" s="814"/>
      <c r="L733" s="1499"/>
      <c r="M733" s="1488"/>
      <c r="N733" s="1488"/>
      <c r="O733" s="1488"/>
      <c r="P733" s="1488"/>
      <c r="Q733" s="1489"/>
      <c r="R733" s="1489"/>
      <c r="S733" s="1489"/>
      <c r="T733" s="1489"/>
      <c r="U733" s="1489"/>
      <c r="V733" s="1489"/>
      <c r="W733" s="1489"/>
      <c r="X733" s="1489"/>
      <c r="Y733" s="1489"/>
      <c r="Z733" s="1489"/>
      <c r="AA733" s="1489"/>
      <c r="AB733" s="1489"/>
      <c r="AC733" s="1489"/>
      <c r="AD733" s="1489"/>
      <c r="AE733" s="1489"/>
      <c r="AF733" s="1489"/>
      <c r="AG733" s="1489"/>
      <c r="AH733" s="1489"/>
      <c r="AI733" s="1489"/>
      <c r="AJ733" s="1489"/>
      <c r="AK733" s="1489"/>
      <c r="AL733" s="1489"/>
      <c r="AM733" s="1489"/>
      <c r="AN733" s="1489"/>
      <c r="AO733" s="1489"/>
      <c r="AP733" s="1489"/>
      <c r="AQ733" s="1489"/>
      <c r="AR733" s="1488"/>
      <c r="AS733" s="1488"/>
      <c r="AT733" s="1488"/>
      <c r="AU733" s="1488"/>
      <c r="AV733" s="1488"/>
      <c r="AW733" s="1488"/>
      <c r="AX733" s="1488"/>
      <c r="AY733" s="1488"/>
    </row>
    <row r="734" spans="3:51" s="1502" customFormat="1">
      <c r="C734" s="1498"/>
      <c r="D734" s="1501"/>
      <c r="E734" s="1500"/>
      <c r="F734" s="814"/>
      <c r="G734" s="1494"/>
      <c r="H734" s="1493"/>
      <c r="I734" s="1493"/>
      <c r="J734" s="813"/>
      <c r="K734" s="814"/>
      <c r="L734" s="1499"/>
      <c r="M734" s="1488"/>
      <c r="N734" s="1488"/>
      <c r="O734" s="1488"/>
      <c r="P734" s="1488"/>
      <c r="Q734" s="1489"/>
      <c r="R734" s="1489"/>
      <c r="S734" s="1489"/>
      <c r="T734" s="1489"/>
      <c r="U734" s="1489"/>
      <c r="V734" s="1489"/>
      <c r="W734" s="1489"/>
      <c r="X734" s="1489"/>
      <c r="Y734" s="1489"/>
      <c r="Z734" s="1489"/>
      <c r="AA734" s="1489"/>
      <c r="AB734" s="1489"/>
      <c r="AC734" s="1489"/>
      <c r="AD734" s="1489"/>
      <c r="AE734" s="1489"/>
      <c r="AF734" s="1489"/>
      <c r="AG734" s="1489"/>
      <c r="AH734" s="1489"/>
      <c r="AI734" s="1489"/>
      <c r="AJ734" s="1489"/>
      <c r="AK734" s="1489"/>
      <c r="AL734" s="1489"/>
      <c r="AM734" s="1489"/>
      <c r="AN734" s="1489"/>
      <c r="AO734" s="1489"/>
      <c r="AP734" s="1489"/>
      <c r="AQ734" s="1489"/>
      <c r="AR734" s="1488"/>
      <c r="AS734" s="1488"/>
      <c r="AT734" s="1488"/>
      <c r="AU734" s="1488"/>
      <c r="AV734" s="1488"/>
      <c r="AW734" s="1488"/>
      <c r="AX734" s="1488"/>
      <c r="AY734" s="1488"/>
    </row>
    <row r="735" spans="3:51" s="1502" customFormat="1">
      <c r="C735" s="1498"/>
      <c r="D735" s="1501"/>
      <c r="E735" s="1500"/>
      <c r="F735" s="814"/>
      <c r="G735" s="1494"/>
      <c r="H735" s="1493"/>
      <c r="I735" s="1493"/>
      <c r="J735" s="813"/>
      <c r="K735" s="814"/>
      <c r="L735" s="1499"/>
      <c r="M735" s="1488"/>
      <c r="N735" s="1488"/>
      <c r="O735" s="1488"/>
      <c r="P735" s="1488"/>
      <c r="Q735" s="1489"/>
      <c r="R735" s="1489"/>
      <c r="S735" s="1489"/>
      <c r="T735" s="1489"/>
      <c r="U735" s="1489"/>
      <c r="V735" s="1489"/>
      <c r="W735" s="1489"/>
      <c r="X735" s="1489"/>
      <c r="Y735" s="1489"/>
      <c r="Z735" s="1489"/>
      <c r="AA735" s="1489"/>
      <c r="AB735" s="1489"/>
      <c r="AC735" s="1489"/>
      <c r="AD735" s="1489"/>
      <c r="AE735" s="1489"/>
      <c r="AF735" s="1489"/>
      <c r="AG735" s="1489"/>
      <c r="AH735" s="1489"/>
      <c r="AI735" s="1489"/>
      <c r="AJ735" s="1489"/>
      <c r="AK735" s="1489"/>
      <c r="AL735" s="1489"/>
      <c r="AM735" s="1489"/>
      <c r="AN735" s="1489"/>
      <c r="AO735" s="1489"/>
      <c r="AP735" s="1489"/>
      <c r="AQ735" s="1489"/>
      <c r="AR735" s="1488"/>
      <c r="AS735" s="1488"/>
      <c r="AT735" s="1488"/>
      <c r="AU735" s="1488"/>
      <c r="AV735" s="1488"/>
      <c r="AW735" s="1488"/>
      <c r="AX735" s="1488"/>
      <c r="AY735" s="1488"/>
    </row>
    <row r="736" spans="3:51" s="1502" customFormat="1">
      <c r="C736" s="1498"/>
      <c r="D736" s="1501"/>
      <c r="E736" s="1500"/>
      <c r="F736" s="814"/>
      <c r="G736" s="1494"/>
      <c r="H736" s="1493"/>
      <c r="I736" s="1493"/>
      <c r="J736" s="813"/>
      <c r="K736" s="814"/>
      <c r="L736" s="1499"/>
      <c r="M736" s="1488"/>
      <c r="N736" s="1488"/>
      <c r="O736" s="1488"/>
      <c r="P736" s="1488"/>
      <c r="Q736" s="1489"/>
      <c r="R736" s="1489"/>
      <c r="S736" s="1489"/>
      <c r="T736" s="1489"/>
      <c r="U736" s="1489"/>
      <c r="V736" s="1489"/>
      <c r="W736" s="1489"/>
      <c r="X736" s="1489"/>
      <c r="Y736" s="1489"/>
      <c r="Z736" s="1489"/>
      <c r="AA736" s="1489"/>
      <c r="AB736" s="1489"/>
      <c r="AC736" s="1489"/>
      <c r="AD736" s="1489"/>
      <c r="AE736" s="1489"/>
      <c r="AF736" s="1489"/>
      <c r="AG736" s="1489"/>
      <c r="AH736" s="1489"/>
      <c r="AI736" s="1489"/>
      <c r="AJ736" s="1489"/>
      <c r="AK736" s="1489"/>
      <c r="AL736" s="1489"/>
      <c r="AM736" s="1489"/>
      <c r="AN736" s="1489"/>
      <c r="AO736" s="1489"/>
      <c r="AP736" s="1489"/>
      <c r="AQ736" s="1489"/>
      <c r="AR736" s="1488"/>
      <c r="AS736" s="1488"/>
      <c r="AT736" s="1488"/>
      <c r="AU736" s="1488"/>
      <c r="AV736" s="1488"/>
      <c r="AW736" s="1488"/>
      <c r="AX736" s="1488"/>
      <c r="AY736" s="1488"/>
    </row>
    <row r="737" spans="3:51" s="1502" customFormat="1">
      <c r="C737" s="1498"/>
      <c r="D737" s="1501"/>
      <c r="E737" s="1500"/>
      <c r="F737" s="814"/>
      <c r="G737" s="1494"/>
      <c r="H737" s="1493"/>
      <c r="I737" s="1493"/>
      <c r="J737" s="813"/>
      <c r="K737" s="814"/>
      <c r="L737" s="1499"/>
      <c r="M737" s="1488"/>
      <c r="N737" s="1488"/>
      <c r="O737" s="1488"/>
      <c r="P737" s="1488"/>
      <c r="Q737" s="1489"/>
      <c r="R737" s="1489"/>
      <c r="S737" s="1489"/>
      <c r="T737" s="1489"/>
      <c r="U737" s="1489"/>
      <c r="V737" s="1489"/>
      <c r="W737" s="1489"/>
      <c r="X737" s="1489"/>
      <c r="Y737" s="1489"/>
      <c r="Z737" s="1489"/>
      <c r="AA737" s="1489"/>
      <c r="AB737" s="1489"/>
      <c r="AC737" s="1489"/>
      <c r="AD737" s="1489"/>
      <c r="AE737" s="1489"/>
      <c r="AF737" s="1489"/>
      <c r="AG737" s="1489"/>
      <c r="AH737" s="1489"/>
      <c r="AI737" s="1489"/>
      <c r="AJ737" s="1489"/>
      <c r="AK737" s="1489"/>
      <c r="AL737" s="1489"/>
      <c r="AM737" s="1489"/>
      <c r="AN737" s="1489"/>
      <c r="AO737" s="1489"/>
      <c r="AP737" s="1489"/>
      <c r="AQ737" s="1489"/>
      <c r="AR737" s="1488"/>
      <c r="AS737" s="1488"/>
      <c r="AT737" s="1488"/>
      <c r="AU737" s="1488"/>
      <c r="AV737" s="1488"/>
      <c r="AW737" s="1488"/>
      <c r="AX737" s="1488"/>
      <c r="AY737" s="1488"/>
    </row>
    <row r="738" spans="3:51" s="1502" customFormat="1">
      <c r="C738" s="1498"/>
      <c r="D738" s="1501"/>
      <c r="E738" s="1500"/>
      <c r="F738" s="814"/>
      <c r="G738" s="1494"/>
      <c r="H738" s="1493"/>
      <c r="I738" s="1493"/>
      <c r="J738" s="813"/>
      <c r="K738" s="814"/>
      <c r="L738" s="1499"/>
      <c r="M738" s="1488"/>
      <c r="N738" s="1488"/>
      <c r="O738" s="1488"/>
      <c r="P738" s="1488"/>
      <c r="Q738" s="1489"/>
      <c r="R738" s="1489"/>
      <c r="S738" s="1489"/>
      <c r="T738" s="1489"/>
      <c r="U738" s="1489"/>
      <c r="V738" s="1489"/>
      <c r="W738" s="1489"/>
      <c r="X738" s="1489"/>
      <c r="Y738" s="1489"/>
      <c r="Z738" s="1489"/>
      <c r="AA738" s="1489"/>
      <c r="AB738" s="1489"/>
      <c r="AC738" s="1489"/>
      <c r="AD738" s="1489"/>
      <c r="AE738" s="1489"/>
      <c r="AF738" s="1489"/>
      <c r="AG738" s="1489"/>
      <c r="AH738" s="1489"/>
      <c r="AI738" s="1489"/>
      <c r="AJ738" s="1489"/>
      <c r="AK738" s="1489"/>
      <c r="AL738" s="1489"/>
      <c r="AM738" s="1489"/>
      <c r="AN738" s="1489"/>
      <c r="AO738" s="1489"/>
      <c r="AP738" s="1489"/>
      <c r="AQ738" s="1489"/>
      <c r="AR738" s="1488"/>
      <c r="AS738" s="1488"/>
      <c r="AT738" s="1488"/>
      <c r="AU738" s="1488"/>
      <c r="AV738" s="1488"/>
      <c r="AW738" s="1488"/>
      <c r="AX738" s="1488"/>
      <c r="AY738" s="1488"/>
    </row>
    <row r="739" spans="3:51" s="1502" customFormat="1">
      <c r="C739" s="1498"/>
      <c r="D739" s="1501"/>
      <c r="E739" s="1500"/>
      <c r="F739" s="814"/>
      <c r="G739" s="1494"/>
      <c r="H739" s="1493"/>
      <c r="I739" s="1493"/>
      <c r="J739" s="813"/>
      <c r="K739" s="814"/>
      <c r="L739" s="1499"/>
      <c r="M739" s="1488"/>
      <c r="N739" s="1488"/>
      <c r="O739" s="1488"/>
      <c r="P739" s="1488"/>
      <c r="Q739" s="1489"/>
      <c r="R739" s="1489"/>
      <c r="S739" s="1489"/>
      <c r="T739" s="1489"/>
      <c r="U739" s="1489"/>
      <c r="V739" s="1489"/>
      <c r="W739" s="1489"/>
      <c r="X739" s="1489"/>
      <c r="Y739" s="1489"/>
      <c r="Z739" s="1489"/>
      <c r="AA739" s="1489"/>
      <c r="AB739" s="1489"/>
      <c r="AC739" s="1489"/>
      <c r="AD739" s="1489"/>
      <c r="AE739" s="1489"/>
      <c r="AF739" s="1489"/>
      <c r="AG739" s="1489"/>
      <c r="AH739" s="1489"/>
      <c r="AI739" s="1489"/>
      <c r="AJ739" s="1489"/>
      <c r="AK739" s="1489"/>
      <c r="AL739" s="1489"/>
      <c r="AM739" s="1489"/>
      <c r="AN739" s="1489"/>
      <c r="AO739" s="1489"/>
      <c r="AP739" s="1489"/>
      <c r="AQ739" s="1489"/>
      <c r="AR739" s="1488"/>
      <c r="AS739" s="1488"/>
      <c r="AT739" s="1488"/>
      <c r="AU739" s="1488"/>
      <c r="AV739" s="1488"/>
      <c r="AW739" s="1488"/>
      <c r="AX739" s="1488"/>
      <c r="AY739" s="1488"/>
    </row>
    <row r="740" spans="3:51" s="1502" customFormat="1">
      <c r="C740" s="1498"/>
      <c r="D740" s="1501"/>
      <c r="E740" s="1500"/>
      <c r="F740" s="814"/>
      <c r="G740" s="1494"/>
      <c r="H740" s="1493"/>
      <c r="I740" s="1493"/>
      <c r="J740" s="813"/>
      <c r="K740" s="814"/>
      <c r="L740" s="1499"/>
      <c r="M740" s="1488"/>
      <c r="N740" s="1488"/>
      <c r="O740" s="1488"/>
      <c r="P740" s="1488"/>
      <c r="Q740" s="1489"/>
      <c r="R740" s="1489"/>
      <c r="S740" s="1489"/>
      <c r="T740" s="1489"/>
      <c r="U740" s="1489"/>
      <c r="V740" s="1489"/>
      <c r="W740" s="1489"/>
      <c r="X740" s="1489"/>
      <c r="Y740" s="1489"/>
      <c r="Z740" s="1489"/>
      <c r="AA740" s="1489"/>
      <c r="AB740" s="1489"/>
      <c r="AC740" s="1489"/>
      <c r="AD740" s="1489"/>
      <c r="AE740" s="1489"/>
      <c r="AF740" s="1489"/>
      <c r="AG740" s="1489"/>
      <c r="AH740" s="1489"/>
      <c r="AI740" s="1489"/>
      <c r="AJ740" s="1489"/>
      <c r="AK740" s="1489"/>
      <c r="AL740" s="1489"/>
      <c r="AM740" s="1489"/>
      <c r="AN740" s="1489"/>
      <c r="AO740" s="1489"/>
      <c r="AP740" s="1489"/>
      <c r="AQ740" s="1489"/>
      <c r="AR740" s="1488"/>
      <c r="AS740" s="1488"/>
      <c r="AT740" s="1488"/>
      <c r="AU740" s="1488"/>
      <c r="AV740" s="1488"/>
      <c r="AW740" s="1488"/>
      <c r="AX740" s="1488"/>
      <c r="AY740" s="1488"/>
    </row>
    <row r="741" spans="3:51" s="1502" customFormat="1">
      <c r="C741" s="1498"/>
      <c r="D741" s="1501"/>
      <c r="E741" s="1500"/>
      <c r="F741" s="814"/>
      <c r="G741" s="1494"/>
      <c r="H741" s="1493"/>
      <c r="I741" s="1493"/>
      <c r="J741" s="813"/>
      <c r="K741" s="814"/>
      <c r="L741" s="1499"/>
      <c r="M741" s="1488"/>
      <c r="N741" s="1488"/>
      <c r="O741" s="1488"/>
      <c r="P741" s="1488"/>
      <c r="Q741" s="1489"/>
      <c r="R741" s="1489"/>
      <c r="S741" s="1489"/>
      <c r="T741" s="1489"/>
      <c r="U741" s="1489"/>
      <c r="V741" s="1489"/>
      <c r="W741" s="1489"/>
      <c r="X741" s="1489"/>
      <c r="Y741" s="1489"/>
      <c r="Z741" s="1489"/>
      <c r="AA741" s="1489"/>
      <c r="AB741" s="1489"/>
      <c r="AC741" s="1489"/>
      <c r="AD741" s="1489"/>
      <c r="AE741" s="1489"/>
      <c r="AF741" s="1489"/>
      <c r="AG741" s="1489"/>
      <c r="AH741" s="1489"/>
      <c r="AI741" s="1489"/>
      <c r="AJ741" s="1489"/>
      <c r="AK741" s="1489"/>
      <c r="AL741" s="1489"/>
      <c r="AM741" s="1489"/>
      <c r="AN741" s="1489"/>
      <c r="AO741" s="1489"/>
      <c r="AP741" s="1489"/>
      <c r="AQ741" s="1489"/>
      <c r="AR741" s="1488"/>
      <c r="AS741" s="1488"/>
      <c r="AT741" s="1488"/>
      <c r="AU741" s="1488"/>
      <c r="AV741" s="1488"/>
      <c r="AW741" s="1488"/>
      <c r="AX741" s="1488"/>
      <c r="AY741" s="1488"/>
    </row>
    <row r="742" spans="3:51" s="1502" customFormat="1">
      <c r="C742" s="1498"/>
      <c r="D742" s="1501"/>
      <c r="E742" s="1500"/>
      <c r="F742" s="814"/>
      <c r="G742" s="1494"/>
      <c r="H742" s="1493"/>
      <c r="I742" s="1493"/>
      <c r="J742" s="813"/>
      <c r="K742" s="814"/>
      <c r="L742" s="1499"/>
      <c r="M742" s="1488"/>
      <c r="N742" s="1488"/>
      <c r="O742" s="1488"/>
      <c r="P742" s="1488"/>
      <c r="Q742" s="1489"/>
      <c r="R742" s="1489"/>
      <c r="S742" s="1489"/>
      <c r="T742" s="1489"/>
      <c r="U742" s="1489"/>
      <c r="V742" s="1489"/>
      <c r="W742" s="1489"/>
      <c r="X742" s="1489"/>
      <c r="Y742" s="1489"/>
      <c r="Z742" s="1489"/>
      <c r="AA742" s="1489"/>
      <c r="AB742" s="1489"/>
      <c r="AC742" s="1489"/>
      <c r="AD742" s="1489"/>
      <c r="AE742" s="1489"/>
      <c r="AF742" s="1489"/>
      <c r="AG742" s="1489"/>
      <c r="AH742" s="1489"/>
      <c r="AI742" s="1489"/>
      <c r="AJ742" s="1489"/>
      <c r="AK742" s="1489"/>
      <c r="AL742" s="1489"/>
      <c r="AM742" s="1489"/>
      <c r="AN742" s="1489"/>
      <c r="AO742" s="1489"/>
      <c r="AP742" s="1489"/>
      <c r="AQ742" s="1489"/>
      <c r="AR742" s="1488"/>
      <c r="AS742" s="1488"/>
      <c r="AT742" s="1488"/>
      <c r="AU742" s="1488"/>
      <c r="AV742" s="1488"/>
      <c r="AW742" s="1488"/>
      <c r="AX742" s="1488"/>
      <c r="AY742" s="1488"/>
    </row>
    <row r="743" spans="3:51" s="1502" customFormat="1">
      <c r="C743" s="1498"/>
      <c r="D743" s="1501"/>
      <c r="E743" s="1500"/>
      <c r="F743" s="814"/>
      <c r="G743" s="1494"/>
      <c r="H743" s="1493"/>
      <c r="I743" s="1493"/>
      <c r="J743" s="813"/>
      <c r="K743" s="814"/>
      <c r="L743" s="1499"/>
      <c r="M743" s="1488"/>
      <c r="N743" s="1488"/>
      <c r="O743" s="1488"/>
      <c r="P743" s="1488"/>
      <c r="Q743" s="1489"/>
      <c r="R743" s="1489"/>
      <c r="S743" s="1489"/>
      <c r="T743" s="1489"/>
      <c r="U743" s="1489"/>
      <c r="V743" s="1489"/>
      <c r="W743" s="1489"/>
      <c r="X743" s="1489"/>
      <c r="Y743" s="1489"/>
      <c r="Z743" s="1489"/>
      <c r="AA743" s="1489"/>
      <c r="AB743" s="1489"/>
      <c r="AC743" s="1489"/>
      <c r="AD743" s="1489"/>
      <c r="AE743" s="1489"/>
      <c r="AF743" s="1489"/>
      <c r="AG743" s="1489"/>
      <c r="AH743" s="1489"/>
      <c r="AI743" s="1489"/>
      <c r="AJ743" s="1489"/>
      <c r="AK743" s="1489"/>
      <c r="AL743" s="1489"/>
      <c r="AM743" s="1489"/>
      <c r="AN743" s="1489"/>
      <c r="AO743" s="1489"/>
      <c r="AP743" s="1489"/>
      <c r="AQ743" s="1489"/>
      <c r="AR743" s="1488"/>
      <c r="AS743" s="1488"/>
      <c r="AT743" s="1488"/>
      <c r="AU743" s="1488"/>
      <c r="AV743" s="1488"/>
      <c r="AW743" s="1488"/>
      <c r="AX743" s="1488"/>
      <c r="AY743" s="1488"/>
    </row>
    <row r="744" spans="3:51" s="1502" customFormat="1">
      <c r="C744" s="1498"/>
      <c r="D744" s="1501"/>
      <c r="E744" s="1500"/>
      <c r="F744" s="814"/>
      <c r="G744" s="1494"/>
      <c r="H744" s="1493"/>
      <c r="I744" s="1493"/>
      <c r="J744" s="813"/>
      <c r="K744" s="814"/>
      <c r="L744" s="1499"/>
      <c r="M744" s="1488"/>
      <c r="N744" s="1488"/>
      <c r="O744" s="1488"/>
      <c r="P744" s="1488"/>
      <c r="Q744" s="1489"/>
      <c r="R744" s="1489"/>
      <c r="S744" s="1489"/>
      <c r="T744" s="1489"/>
      <c r="U744" s="1489"/>
      <c r="V744" s="1489"/>
      <c r="W744" s="1489"/>
      <c r="X744" s="1489"/>
      <c r="Y744" s="1489"/>
      <c r="Z744" s="1489"/>
      <c r="AA744" s="1489"/>
      <c r="AB744" s="1489"/>
      <c r="AC744" s="1489"/>
      <c r="AD744" s="1489"/>
      <c r="AE744" s="1489"/>
      <c r="AF744" s="1489"/>
      <c r="AG744" s="1489"/>
      <c r="AH744" s="1489"/>
      <c r="AI744" s="1489"/>
      <c r="AJ744" s="1489"/>
      <c r="AK744" s="1489"/>
      <c r="AL744" s="1489"/>
      <c r="AM744" s="1489"/>
      <c r="AN744" s="1489"/>
      <c r="AO744" s="1489"/>
      <c r="AP744" s="1489"/>
      <c r="AQ744" s="1489"/>
      <c r="AR744" s="1488"/>
      <c r="AS744" s="1488"/>
      <c r="AT744" s="1488"/>
      <c r="AU744" s="1488"/>
      <c r="AV744" s="1488"/>
      <c r="AW744" s="1488"/>
      <c r="AX744" s="1488"/>
      <c r="AY744" s="1488"/>
    </row>
    <row r="745" spans="3:51" s="1502" customFormat="1">
      <c r="C745" s="1498"/>
      <c r="D745" s="1501"/>
      <c r="E745" s="1500"/>
      <c r="F745" s="814"/>
      <c r="G745" s="1494"/>
      <c r="H745" s="1493"/>
      <c r="I745" s="1493"/>
      <c r="J745" s="813"/>
      <c r="K745" s="814"/>
      <c r="L745" s="1499"/>
      <c r="M745" s="1488"/>
      <c r="N745" s="1488"/>
      <c r="O745" s="1488"/>
      <c r="P745" s="1488"/>
      <c r="Q745" s="1489"/>
      <c r="R745" s="1489"/>
      <c r="S745" s="1489"/>
      <c r="T745" s="1489"/>
      <c r="U745" s="1489"/>
      <c r="V745" s="1489"/>
      <c r="W745" s="1489"/>
      <c r="X745" s="1489"/>
      <c r="Y745" s="1489"/>
      <c r="Z745" s="1489"/>
      <c r="AA745" s="1489"/>
      <c r="AB745" s="1489"/>
      <c r="AC745" s="1489"/>
      <c r="AD745" s="1489"/>
      <c r="AE745" s="1489"/>
      <c r="AF745" s="1489"/>
      <c r="AG745" s="1489"/>
      <c r="AH745" s="1489"/>
      <c r="AI745" s="1489"/>
      <c r="AJ745" s="1489"/>
      <c r="AK745" s="1489"/>
      <c r="AL745" s="1489"/>
      <c r="AM745" s="1489"/>
      <c r="AN745" s="1489"/>
      <c r="AO745" s="1489"/>
      <c r="AP745" s="1489"/>
      <c r="AQ745" s="1489"/>
      <c r="AR745" s="1488"/>
      <c r="AS745" s="1488"/>
      <c r="AT745" s="1488"/>
      <c r="AU745" s="1488"/>
      <c r="AV745" s="1488"/>
      <c r="AW745" s="1488"/>
      <c r="AX745" s="1488"/>
      <c r="AY745" s="1488"/>
    </row>
    <row r="746" spans="3:51" s="1502" customFormat="1">
      <c r="C746" s="1498"/>
      <c r="D746" s="1501"/>
      <c r="E746" s="1500"/>
      <c r="F746" s="814"/>
      <c r="G746" s="1494"/>
      <c r="H746" s="1493"/>
      <c r="I746" s="1493"/>
      <c r="J746" s="813"/>
      <c r="K746" s="814"/>
      <c r="L746" s="1499"/>
      <c r="M746" s="1488"/>
      <c r="N746" s="1488"/>
      <c r="O746" s="1488"/>
      <c r="P746" s="1488"/>
      <c r="Q746" s="1489"/>
      <c r="R746" s="1489"/>
      <c r="S746" s="1489"/>
      <c r="T746" s="1489"/>
      <c r="U746" s="1489"/>
      <c r="V746" s="1489"/>
      <c r="W746" s="1489"/>
      <c r="X746" s="1489"/>
      <c r="Y746" s="1489"/>
      <c r="Z746" s="1489"/>
      <c r="AA746" s="1489"/>
      <c r="AB746" s="1489"/>
      <c r="AC746" s="1489"/>
      <c r="AD746" s="1489"/>
      <c r="AE746" s="1489"/>
      <c r="AF746" s="1489"/>
      <c r="AG746" s="1489"/>
      <c r="AH746" s="1489"/>
      <c r="AI746" s="1489"/>
      <c r="AJ746" s="1489"/>
      <c r="AK746" s="1489"/>
      <c r="AL746" s="1489"/>
      <c r="AM746" s="1489"/>
      <c r="AN746" s="1489"/>
      <c r="AO746" s="1489"/>
      <c r="AP746" s="1489"/>
      <c r="AQ746" s="1489"/>
      <c r="AR746" s="1488"/>
      <c r="AS746" s="1488"/>
      <c r="AT746" s="1488"/>
      <c r="AU746" s="1488"/>
      <c r="AV746" s="1488"/>
      <c r="AW746" s="1488"/>
      <c r="AX746" s="1488"/>
      <c r="AY746" s="1488"/>
    </row>
    <row r="747" spans="3:51" s="1502" customFormat="1">
      <c r="C747" s="1498"/>
      <c r="D747" s="1501"/>
      <c r="E747" s="1500"/>
      <c r="F747" s="814"/>
      <c r="G747" s="1494"/>
      <c r="H747" s="1493"/>
      <c r="I747" s="1493"/>
      <c r="J747" s="813"/>
      <c r="K747" s="814"/>
      <c r="L747" s="1499"/>
      <c r="M747" s="1488"/>
      <c r="N747" s="1488"/>
      <c r="O747" s="1488"/>
      <c r="P747" s="1488"/>
      <c r="Q747" s="1489"/>
      <c r="R747" s="1489"/>
      <c r="S747" s="1489"/>
      <c r="T747" s="1489"/>
      <c r="U747" s="1489"/>
      <c r="V747" s="1489"/>
      <c r="W747" s="1489"/>
      <c r="X747" s="1489"/>
      <c r="Y747" s="1489"/>
      <c r="Z747" s="1489"/>
      <c r="AA747" s="1489"/>
      <c r="AB747" s="1489"/>
      <c r="AC747" s="1489"/>
      <c r="AD747" s="1489"/>
      <c r="AE747" s="1489"/>
      <c r="AF747" s="1489"/>
      <c r="AG747" s="1489"/>
      <c r="AH747" s="1489"/>
      <c r="AI747" s="1489"/>
      <c r="AJ747" s="1489"/>
      <c r="AK747" s="1489"/>
      <c r="AL747" s="1489"/>
      <c r="AM747" s="1489"/>
      <c r="AN747" s="1489"/>
      <c r="AO747" s="1489"/>
      <c r="AP747" s="1489"/>
      <c r="AQ747" s="1489"/>
      <c r="AR747" s="1488"/>
      <c r="AS747" s="1488"/>
      <c r="AT747" s="1488"/>
      <c r="AU747" s="1488"/>
      <c r="AV747" s="1488"/>
      <c r="AW747" s="1488"/>
      <c r="AX747" s="1488"/>
      <c r="AY747" s="1488"/>
    </row>
    <row r="748" spans="3:51" s="1502" customFormat="1">
      <c r="C748" s="1498"/>
      <c r="D748" s="1501"/>
      <c r="E748" s="1500"/>
      <c r="F748" s="814"/>
      <c r="G748" s="1494"/>
      <c r="H748" s="1493"/>
      <c r="I748" s="1493"/>
      <c r="J748" s="813"/>
      <c r="K748" s="814"/>
      <c r="L748" s="1499"/>
      <c r="M748" s="1488"/>
      <c r="N748" s="1488"/>
      <c r="O748" s="1488"/>
      <c r="P748" s="1488"/>
      <c r="Q748" s="1489"/>
      <c r="R748" s="1489"/>
      <c r="S748" s="1489"/>
      <c r="T748" s="1489"/>
      <c r="U748" s="1489"/>
      <c r="V748" s="1489"/>
      <c r="W748" s="1489"/>
      <c r="X748" s="1489"/>
      <c r="Y748" s="1489"/>
      <c r="Z748" s="1489"/>
      <c r="AA748" s="1489"/>
      <c r="AB748" s="1489"/>
      <c r="AC748" s="1489"/>
      <c r="AD748" s="1489"/>
      <c r="AE748" s="1489"/>
      <c r="AF748" s="1489"/>
      <c r="AG748" s="1489"/>
      <c r="AH748" s="1489"/>
      <c r="AI748" s="1489"/>
      <c r="AJ748" s="1489"/>
      <c r="AK748" s="1489"/>
      <c r="AL748" s="1489"/>
      <c r="AM748" s="1489"/>
      <c r="AN748" s="1489"/>
      <c r="AO748" s="1489"/>
      <c r="AP748" s="1489"/>
      <c r="AQ748" s="1489"/>
      <c r="AR748" s="1488"/>
      <c r="AS748" s="1488"/>
      <c r="AT748" s="1488"/>
      <c r="AU748" s="1488"/>
      <c r="AV748" s="1488"/>
      <c r="AW748" s="1488"/>
      <c r="AX748" s="1488"/>
      <c r="AY748" s="1488"/>
    </row>
    <row r="749" spans="3:51" s="1502" customFormat="1">
      <c r="C749" s="1498"/>
      <c r="D749" s="1501"/>
      <c r="E749" s="1500"/>
      <c r="F749" s="814"/>
      <c r="G749" s="1494"/>
      <c r="H749" s="1493"/>
      <c r="I749" s="1493"/>
      <c r="J749" s="813"/>
      <c r="K749" s="814"/>
      <c r="L749" s="1499"/>
      <c r="M749" s="1488"/>
      <c r="N749" s="1488"/>
      <c r="O749" s="1488"/>
      <c r="P749" s="1488"/>
      <c r="Q749" s="1489"/>
      <c r="R749" s="1489"/>
      <c r="S749" s="1489"/>
      <c r="T749" s="1489"/>
      <c r="U749" s="1489"/>
      <c r="V749" s="1489"/>
      <c r="W749" s="1489"/>
      <c r="X749" s="1489"/>
      <c r="Y749" s="1489"/>
      <c r="Z749" s="1489"/>
      <c r="AA749" s="1489"/>
      <c r="AB749" s="1489"/>
      <c r="AC749" s="1489"/>
      <c r="AD749" s="1489"/>
      <c r="AE749" s="1489"/>
      <c r="AF749" s="1489"/>
      <c r="AG749" s="1489"/>
      <c r="AH749" s="1489"/>
      <c r="AI749" s="1489"/>
      <c r="AJ749" s="1489"/>
      <c r="AK749" s="1489"/>
      <c r="AL749" s="1489"/>
      <c r="AM749" s="1489"/>
      <c r="AN749" s="1489"/>
      <c r="AO749" s="1489"/>
      <c r="AP749" s="1489"/>
      <c r="AQ749" s="1489"/>
      <c r="AR749" s="1488"/>
      <c r="AS749" s="1488"/>
      <c r="AT749" s="1488"/>
      <c r="AU749" s="1488"/>
      <c r="AV749" s="1488"/>
      <c r="AW749" s="1488"/>
      <c r="AX749" s="1488"/>
      <c r="AY749" s="1488"/>
    </row>
    <row r="750" spans="3:51" s="1502" customFormat="1">
      <c r="C750" s="1498"/>
      <c r="D750" s="1501"/>
      <c r="E750" s="1500"/>
      <c r="F750" s="814"/>
      <c r="G750" s="1494"/>
      <c r="H750" s="1493"/>
      <c r="I750" s="1493"/>
      <c r="J750" s="813"/>
      <c r="K750" s="814"/>
      <c r="L750" s="1499"/>
      <c r="M750" s="1488"/>
      <c r="N750" s="1488"/>
      <c r="O750" s="1488"/>
      <c r="P750" s="1488"/>
      <c r="Q750" s="1489"/>
      <c r="R750" s="1489"/>
      <c r="S750" s="1489"/>
      <c r="T750" s="1489"/>
      <c r="U750" s="1489"/>
      <c r="V750" s="1489"/>
      <c r="W750" s="1489"/>
      <c r="X750" s="1489"/>
      <c r="Y750" s="1489"/>
      <c r="Z750" s="1489"/>
      <c r="AA750" s="1489"/>
      <c r="AB750" s="1489"/>
      <c r="AC750" s="1489"/>
      <c r="AD750" s="1489"/>
      <c r="AE750" s="1489"/>
      <c r="AF750" s="1489"/>
      <c r="AG750" s="1489"/>
      <c r="AH750" s="1489"/>
      <c r="AI750" s="1489"/>
      <c r="AJ750" s="1489"/>
      <c r="AK750" s="1489"/>
      <c r="AL750" s="1489"/>
      <c r="AM750" s="1489"/>
      <c r="AN750" s="1489"/>
      <c r="AO750" s="1489"/>
      <c r="AP750" s="1489"/>
      <c r="AQ750" s="1489"/>
      <c r="AR750" s="1488"/>
      <c r="AS750" s="1488"/>
      <c r="AT750" s="1488"/>
      <c r="AU750" s="1488"/>
      <c r="AV750" s="1488"/>
      <c r="AW750" s="1488"/>
      <c r="AX750" s="1488"/>
      <c r="AY750" s="1488"/>
    </row>
    <row r="751" spans="3:51" s="1502" customFormat="1">
      <c r="C751" s="1498"/>
      <c r="D751" s="1501"/>
      <c r="E751" s="1500"/>
      <c r="F751" s="814"/>
      <c r="G751" s="1494"/>
      <c r="H751" s="1493"/>
      <c r="I751" s="1493"/>
      <c r="J751" s="813"/>
      <c r="K751" s="814"/>
      <c r="L751" s="1499"/>
      <c r="M751" s="1488"/>
      <c r="N751" s="1488"/>
      <c r="O751" s="1488"/>
      <c r="P751" s="1488"/>
      <c r="Q751" s="1489"/>
      <c r="R751" s="1489"/>
      <c r="S751" s="1489"/>
      <c r="T751" s="1489"/>
      <c r="U751" s="1489"/>
      <c r="V751" s="1489"/>
      <c r="W751" s="1489"/>
      <c r="X751" s="1489"/>
      <c r="Y751" s="1489"/>
      <c r="Z751" s="1489"/>
      <c r="AA751" s="1489"/>
      <c r="AB751" s="1489"/>
      <c r="AC751" s="1489"/>
      <c r="AD751" s="1489"/>
      <c r="AE751" s="1489"/>
      <c r="AF751" s="1489"/>
      <c r="AG751" s="1489"/>
      <c r="AH751" s="1489"/>
      <c r="AI751" s="1489"/>
      <c r="AJ751" s="1489"/>
      <c r="AK751" s="1489"/>
      <c r="AL751" s="1489"/>
      <c r="AM751" s="1489"/>
      <c r="AN751" s="1489"/>
      <c r="AO751" s="1489"/>
      <c r="AP751" s="1489"/>
      <c r="AQ751" s="1489"/>
      <c r="AR751" s="1488"/>
      <c r="AS751" s="1488"/>
      <c r="AT751" s="1488"/>
      <c r="AU751" s="1488"/>
      <c r="AV751" s="1488"/>
      <c r="AW751" s="1488"/>
      <c r="AX751" s="1488"/>
      <c r="AY751" s="1488"/>
    </row>
    <row r="752" spans="3:51" s="1502" customFormat="1">
      <c r="C752" s="1498"/>
      <c r="D752" s="1501"/>
      <c r="E752" s="1500"/>
      <c r="F752" s="814"/>
      <c r="G752" s="1494"/>
      <c r="H752" s="1493"/>
      <c r="I752" s="1493"/>
      <c r="J752" s="813"/>
      <c r="K752" s="814"/>
      <c r="L752" s="1499"/>
      <c r="M752" s="1488"/>
      <c r="N752" s="1488"/>
      <c r="O752" s="1488"/>
      <c r="P752" s="1488"/>
      <c r="Q752" s="1489"/>
      <c r="R752" s="1489"/>
      <c r="S752" s="1489"/>
      <c r="T752" s="1489"/>
      <c r="U752" s="1489"/>
      <c r="V752" s="1489"/>
      <c r="W752" s="1489"/>
      <c r="X752" s="1489"/>
      <c r="Y752" s="1489"/>
      <c r="Z752" s="1489"/>
      <c r="AA752" s="1489"/>
      <c r="AB752" s="1489"/>
      <c r="AC752" s="1489"/>
      <c r="AD752" s="1489"/>
      <c r="AE752" s="1489"/>
      <c r="AF752" s="1489"/>
      <c r="AG752" s="1489"/>
      <c r="AH752" s="1489"/>
      <c r="AI752" s="1489"/>
      <c r="AJ752" s="1489"/>
      <c r="AK752" s="1489"/>
      <c r="AL752" s="1489"/>
      <c r="AM752" s="1489"/>
      <c r="AN752" s="1489"/>
      <c r="AO752" s="1489"/>
      <c r="AP752" s="1489"/>
      <c r="AQ752" s="1489"/>
      <c r="AR752" s="1488"/>
      <c r="AS752" s="1488"/>
      <c r="AT752" s="1488"/>
      <c r="AU752" s="1488"/>
      <c r="AV752" s="1488"/>
      <c r="AW752" s="1488"/>
      <c r="AX752" s="1488"/>
      <c r="AY752" s="1488"/>
    </row>
    <row r="753" spans="3:51" s="1502" customFormat="1">
      <c r="C753" s="1498"/>
      <c r="D753" s="1501"/>
      <c r="E753" s="1500"/>
      <c r="F753" s="814"/>
      <c r="G753" s="1494"/>
      <c r="H753" s="1493"/>
      <c r="I753" s="1493"/>
      <c r="J753" s="813"/>
      <c r="K753" s="814"/>
      <c r="L753" s="1499"/>
      <c r="M753" s="1488"/>
      <c r="N753" s="1488"/>
      <c r="O753" s="1488"/>
      <c r="P753" s="1488"/>
      <c r="Q753" s="1489"/>
      <c r="R753" s="1489"/>
      <c r="S753" s="1489"/>
      <c r="T753" s="1489"/>
      <c r="U753" s="1489"/>
      <c r="V753" s="1489"/>
      <c r="W753" s="1489"/>
      <c r="X753" s="1489"/>
      <c r="Y753" s="1489"/>
      <c r="Z753" s="1489"/>
      <c r="AA753" s="1489"/>
      <c r="AB753" s="1489"/>
      <c r="AC753" s="1489"/>
      <c r="AD753" s="1489"/>
      <c r="AE753" s="1489"/>
      <c r="AF753" s="1489"/>
      <c r="AG753" s="1489"/>
      <c r="AH753" s="1489"/>
      <c r="AI753" s="1489"/>
      <c r="AJ753" s="1489"/>
      <c r="AK753" s="1489"/>
      <c r="AL753" s="1489"/>
      <c r="AM753" s="1489"/>
      <c r="AN753" s="1489"/>
      <c r="AO753" s="1489"/>
      <c r="AP753" s="1489"/>
      <c r="AQ753" s="1489"/>
      <c r="AR753" s="1488"/>
      <c r="AS753" s="1488"/>
      <c r="AT753" s="1488"/>
      <c r="AU753" s="1488"/>
      <c r="AV753" s="1488"/>
      <c r="AW753" s="1488"/>
      <c r="AX753" s="1488"/>
      <c r="AY753" s="1488"/>
    </row>
    <row r="754" spans="3:51" s="1502" customFormat="1">
      <c r="C754" s="1498"/>
      <c r="D754" s="1501"/>
      <c r="E754" s="1500"/>
      <c r="F754" s="814"/>
      <c r="G754" s="1494"/>
      <c r="H754" s="1493"/>
      <c r="I754" s="1493"/>
      <c r="J754" s="813"/>
      <c r="K754" s="814"/>
      <c r="L754" s="1499"/>
      <c r="M754" s="1488"/>
      <c r="N754" s="1488"/>
      <c r="O754" s="1488"/>
      <c r="P754" s="1488"/>
      <c r="Q754" s="1489"/>
      <c r="R754" s="1489"/>
      <c r="S754" s="1489"/>
      <c r="T754" s="1489"/>
      <c r="U754" s="1489"/>
      <c r="V754" s="1489"/>
      <c r="W754" s="1489"/>
      <c r="X754" s="1489"/>
      <c r="Y754" s="1489"/>
      <c r="Z754" s="1489"/>
      <c r="AA754" s="1489"/>
      <c r="AB754" s="1489"/>
      <c r="AC754" s="1489"/>
      <c r="AD754" s="1489"/>
      <c r="AE754" s="1489"/>
      <c r="AF754" s="1489"/>
      <c r="AG754" s="1489"/>
      <c r="AH754" s="1489"/>
      <c r="AI754" s="1489"/>
      <c r="AJ754" s="1489"/>
      <c r="AK754" s="1489"/>
      <c r="AL754" s="1489"/>
      <c r="AM754" s="1489"/>
      <c r="AN754" s="1489"/>
      <c r="AO754" s="1489"/>
      <c r="AP754" s="1489"/>
      <c r="AQ754" s="1489"/>
      <c r="AR754" s="1488"/>
      <c r="AS754" s="1488"/>
      <c r="AT754" s="1488"/>
      <c r="AU754" s="1488"/>
      <c r="AV754" s="1488"/>
      <c r="AW754" s="1488"/>
      <c r="AX754" s="1488"/>
      <c r="AY754" s="1488"/>
    </row>
    <row r="755" spans="3:51" s="1502" customFormat="1">
      <c r="C755" s="1498"/>
      <c r="D755" s="1501"/>
      <c r="E755" s="1500"/>
      <c r="F755" s="814"/>
      <c r="G755" s="1494"/>
      <c r="H755" s="1493"/>
      <c r="I755" s="1493"/>
      <c r="J755" s="813"/>
      <c r="K755" s="814"/>
      <c r="L755" s="1499"/>
      <c r="M755" s="1488"/>
      <c r="N755" s="1488"/>
      <c r="O755" s="1488"/>
      <c r="P755" s="1488"/>
      <c r="Q755" s="1489"/>
      <c r="R755" s="1489"/>
      <c r="S755" s="1489"/>
      <c r="T755" s="1489"/>
      <c r="U755" s="1489"/>
      <c r="V755" s="1489"/>
      <c r="W755" s="1489"/>
      <c r="X755" s="1489"/>
      <c r="Y755" s="1489"/>
      <c r="Z755" s="1489"/>
      <c r="AA755" s="1489"/>
      <c r="AB755" s="1489"/>
      <c r="AC755" s="1489"/>
      <c r="AD755" s="1489"/>
      <c r="AE755" s="1489"/>
      <c r="AF755" s="1489"/>
      <c r="AG755" s="1489"/>
      <c r="AH755" s="1489"/>
      <c r="AI755" s="1489"/>
      <c r="AJ755" s="1489"/>
      <c r="AK755" s="1489"/>
      <c r="AL755" s="1489"/>
      <c r="AM755" s="1489"/>
      <c r="AN755" s="1489"/>
      <c r="AO755" s="1489"/>
      <c r="AP755" s="1489"/>
      <c r="AQ755" s="1489"/>
      <c r="AR755" s="1488"/>
      <c r="AS755" s="1488"/>
      <c r="AT755" s="1488"/>
      <c r="AU755" s="1488"/>
      <c r="AV755" s="1488"/>
      <c r="AW755" s="1488"/>
      <c r="AX755" s="1488"/>
      <c r="AY755" s="1488"/>
    </row>
    <row r="756" spans="3:51" s="1502" customFormat="1">
      <c r="C756" s="1498"/>
      <c r="D756" s="1501"/>
      <c r="E756" s="1500"/>
      <c r="F756" s="814"/>
      <c r="G756" s="1494"/>
      <c r="H756" s="1493"/>
      <c r="I756" s="1493"/>
      <c r="J756" s="813"/>
      <c r="K756" s="814"/>
      <c r="L756" s="1499"/>
      <c r="M756" s="1488"/>
      <c r="N756" s="1488"/>
      <c r="O756" s="1488"/>
      <c r="P756" s="1488"/>
      <c r="Q756" s="1489"/>
      <c r="R756" s="1489"/>
      <c r="S756" s="1489"/>
      <c r="T756" s="1489"/>
      <c r="U756" s="1489"/>
      <c r="V756" s="1489"/>
      <c r="W756" s="1489"/>
      <c r="X756" s="1489"/>
      <c r="Y756" s="1489"/>
      <c r="Z756" s="1489"/>
      <c r="AA756" s="1489"/>
      <c r="AB756" s="1489"/>
      <c r="AC756" s="1489"/>
      <c r="AD756" s="1489"/>
      <c r="AE756" s="1489"/>
      <c r="AF756" s="1489"/>
      <c r="AG756" s="1489"/>
      <c r="AH756" s="1489"/>
      <c r="AI756" s="1489"/>
      <c r="AJ756" s="1489"/>
      <c r="AK756" s="1489"/>
      <c r="AL756" s="1489"/>
      <c r="AM756" s="1489"/>
      <c r="AN756" s="1489"/>
      <c r="AO756" s="1489"/>
      <c r="AP756" s="1489"/>
      <c r="AQ756" s="1489"/>
      <c r="AR756" s="1488"/>
      <c r="AS756" s="1488"/>
      <c r="AT756" s="1488"/>
      <c r="AU756" s="1488"/>
      <c r="AV756" s="1488"/>
      <c r="AW756" s="1488"/>
      <c r="AX756" s="1488"/>
      <c r="AY756" s="1488"/>
    </row>
    <row r="757" spans="3:51" s="1502" customFormat="1">
      <c r="C757" s="1498"/>
      <c r="D757" s="1501"/>
      <c r="E757" s="1500"/>
      <c r="F757" s="814"/>
      <c r="G757" s="1494"/>
      <c r="H757" s="1493"/>
      <c r="I757" s="1493"/>
      <c r="J757" s="813"/>
      <c r="K757" s="814"/>
      <c r="L757" s="1499"/>
      <c r="M757" s="1488"/>
      <c r="N757" s="1488"/>
      <c r="O757" s="1488"/>
      <c r="P757" s="1488"/>
      <c r="Q757" s="1489"/>
      <c r="R757" s="1489"/>
      <c r="S757" s="1489"/>
      <c r="T757" s="1489"/>
      <c r="U757" s="1489"/>
      <c r="V757" s="1489"/>
      <c r="W757" s="1489"/>
      <c r="X757" s="1489"/>
      <c r="Y757" s="1489"/>
      <c r="Z757" s="1489"/>
      <c r="AA757" s="1489"/>
      <c r="AB757" s="1489"/>
      <c r="AC757" s="1489"/>
      <c r="AD757" s="1489"/>
      <c r="AE757" s="1489"/>
      <c r="AF757" s="1489"/>
      <c r="AG757" s="1489"/>
      <c r="AH757" s="1489"/>
      <c r="AI757" s="1489"/>
      <c r="AJ757" s="1489"/>
      <c r="AK757" s="1489"/>
      <c r="AL757" s="1489"/>
      <c r="AM757" s="1489"/>
      <c r="AN757" s="1489"/>
      <c r="AO757" s="1489"/>
      <c r="AP757" s="1489"/>
      <c r="AQ757" s="1489"/>
      <c r="AR757" s="1488"/>
      <c r="AS757" s="1488"/>
      <c r="AT757" s="1488"/>
      <c r="AU757" s="1488"/>
      <c r="AV757" s="1488"/>
      <c r="AW757" s="1488"/>
      <c r="AX757" s="1488"/>
      <c r="AY757" s="1488"/>
    </row>
    <row r="758" spans="3:51" s="1502" customFormat="1">
      <c r="C758" s="1498"/>
      <c r="D758" s="1501"/>
      <c r="E758" s="1500"/>
      <c r="F758" s="814"/>
      <c r="G758" s="1494"/>
      <c r="H758" s="1493"/>
      <c r="I758" s="1493"/>
      <c r="J758" s="813"/>
      <c r="K758" s="814"/>
      <c r="L758" s="1499"/>
      <c r="M758" s="1488"/>
      <c r="N758" s="1488"/>
      <c r="O758" s="1488"/>
      <c r="P758" s="1488"/>
      <c r="Q758" s="1489"/>
      <c r="R758" s="1489"/>
      <c r="S758" s="1489"/>
      <c r="T758" s="1489"/>
      <c r="U758" s="1489"/>
      <c r="V758" s="1489"/>
      <c r="W758" s="1489"/>
      <c r="X758" s="1489"/>
      <c r="Y758" s="1489"/>
      <c r="Z758" s="1489"/>
      <c r="AA758" s="1489"/>
      <c r="AB758" s="1489"/>
      <c r="AC758" s="1489"/>
      <c r="AD758" s="1489"/>
      <c r="AE758" s="1489"/>
      <c r="AF758" s="1489"/>
      <c r="AG758" s="1489"/>
      <c r="AH758" s="1489"/>
      <c r="AI758" s="1489"/>
      <c r="AJ758" s="1489"/>
      <c r="AK758" s="1489"/>
      <c r="AL758" s="1489"/>
      <c r="AM758" s="1489"/>
      <c r="AN758" s="1489"/>
      <c r="AO758" s="1489"/>
      <c r="AP758" s="1489"/>
      <c r="AQ758" s="1489"/>
      <c r="AR758" s="1488"/>
      <c r="AS758" s="1488"/>
      <c r="AT758" s="1488"/>
      <c r="AU758" s="1488"/>
      <c r="AV758" s="1488"/>
      <c r="AW758" s="1488"/>
      <c r="AX758" s="1488"/>
      <c r="AY758" s="1488"/>
    </row>
    <row r="759" spans="3:51" s="1502" customFormat="1">
      <c r="C759" s="1498"/>
      <c r="D759" s="1501"/>
      <c r="E759" s="1500"/>
      <c r="F759" s="814"/>
      <c r="G759" s="1494"/>
      <c r="H759" s="1493"/>
      <c r="I759" s="1493"/>
      <c r="J759" s="813"/>
      <c r="K759" s="814"/>
      <c r="L759" s="1499"/>
      <c r="M759" s="1488"/>
      <c r="N759" s="1488"/>
      <c r="O759" s="1488"/>
      <c r="P759" s="1488"/>
      <c r="Q759" s="1489"/>
      <c r="R759" s="1489"/>
      <c r="S759" s="1489"/>
      <c r="T759" s="1489"/>
      <c r="U759" s="1489"/>
      <c r="V759" s="1489"/>
      <c r="W759" s="1489"/>
      <c r="X759" s="1489"/>
      <c r="Y759" s="1489"/>
      <c r="Z759" s="1489"/>
      <c r="AA759" s="1489"/>
      <c r="AB759" s="1489"/>
      <c r="AC759" s="1489"/>
      <c r="AD759" s="1489"/>
      <c r="AE759" s="1489"/>
      <c r="AF759" s="1489"/>
      <c r="AG759" s="1489"/>
      <c r="AH759" s="1489"/>
      <c r="AI759" s="1489"/>
      <c r="AJ759" s="1489"/>
      <c r="AK759" s="1489"/>
      <c r="AL759" s="1489"/>
      <c r="AM759" s="1489"/>
      <c r="AN759" s="1489"/>
      <c r="AO759" s="1489"/>
      <c r="AP759" s="1489"/>
      <c r="AQ759" s="1489"/>
      <c r="AR759" s="1488"/>
      <c r="AS759" s="1488"/>
      <c r="AT759" s="1488"/>
      <c r="AU759" s="1488"/>
      <c r="AV759" s="1488"/>
      <c r="AW759" s="1488"/>
      <c r="AX759" s="1488"/>
      <c r="AY759" s="1488"/>
    </row>
    <row r="760" spans="3:51" s="1502" customFormat="1">
      <c r="C760" s="1498"/>
      <c r="D760" s="1501"/>
      <c r="E760" s="1500"/>
      <c r="F760" s="814"/>
      <c r="G760" s="1494"/>
      <c r="H760" s="1493"/>
      <c r="I760" s="1493"/>
      <c r="J760" s="813"/>
      <c r="K760" s="814"/>
      <c r="L760" s="1499"/>
      <c r="M760" s="1488"/>
      <c r="N760" s="1488"/>
      <c r="O760" s="1488"/>
      <c r="P760" s="1488"/>
      <c r="Q760" s="1489"/>
      <c r="R760" s="1489"/>
      <c r="S760" s="1489"/>
      <c r="T760" s="1489"/>
      <c r="U760" s="1489"/>
      <c r="V760" s="1489"/>
      <c r="W760" s="1489"/>
      <c r="X760" s="1489"/>
      <c r="Y760" s="1489"/>
      <c r="Z760" s="1489"/>
      <c r="AA760" s="1489"/>
      <c r="AB760" s="1489"/>
      <c r="AC760" s="1489"/>
      <c r="AD760" s="1489"/>
      <c r="AE760" s="1489"/>
      <c r="AF760" s="1489"/>
      <c r="AG760" s="1489"/>
      <c r="AH760" s="1489"/>
      <c r="AI760" s="1489"/>
      <c r="AJ760" s="1489"/>
      <c r="AK760" s="1489"/>
      <c r="AL760" s="1489"/>
      <c r="AM760" s="1489"/>
      <c r="AN760" s="1489"/>
      <c r="AO760" s="1489"/>
      <c r="AP760" s="1489"/>
      <c r="AQ760" s="1489"/>
      <c r="AR760" s="1488"/>
      <c r="AS760" s="1488"/>
      <c r="AT760" s="1488"/>
      <c r="AU760" s="1488"/>
      <c r="AV760" s="1488"/>
      <c r="AW760" s="1488"/>
      <c r="AX760" s="1488"/>
      <c r="AY760" s="1488"/>
    </row>
    <row r="761" spans="3:51" s="1502" customFormat="1">
      <c r="C761" s="1498"/>
      <c r="D761" s="1501"/>
      <c r="E761" s="1500"/>
      <c r="F761" s="814"/>
      <c r="G761" s="1494"/>
      <c r="H761" s="1493"/>
      <c r="I761" s="1493"/>
      <c r="J761" s="813"/>
      <c r="K761" s="814"/>
      <c r="L761" s="1499"/>
      <c r="M761" s="1488"/>
      <c r="N761" s="1488"/>
      <c r="O761" s="1488"/>
      <c r="P761" s="1488"/>
      <c r="Q761" s="1489"/>
      <c r="R761" s="1489"/>
      <c r="S761" s="1489"/>
      <c r="T761" s="1489"/>
      <c r="U761" s="1489"/>
      <c r="V761" s="1489"/>
      <c r="W761" s="1489"/>
      <c r="X761" s="1489"/>
      <c r="Y761" s="1489"/>
      <c r="Z761" s="1489"/>
      <c r="AA761" s="1489"/>
      <c r="AB761" s="1489"/>
      <c r="AC761" s="1489"/>
      <c r="AD761" s="1489"/>
      <c r="AE761" s="1489"/>
      <c r="AF761" s="1489"/>
      <c r="AG761" s="1489"/>
      <c r="AH761" s="1489"/>
      <c r="AI761" s="1489"/>
      <c r="AJ761" s="1489"/>
      <c r="AK761" s="1489"/>
      <c r="AL761" s="1489"/>
      <c r="AM761" s="1489"/>
      <c r="AN761" s="1489"/>
      <c r="AO761" s="1489"/>
      <c r="AP761" s="1489"/>
      <c r="AQ761" s="1489"/>
      <c r="AR761" s="1488"/>
      <c r="AS761" s="1488"/>
      <c r="AT761" s="1488"/>
      <c r="AU761" s="1488"/>
      <c r="AV761" s="1488"/>
      <c r="AW761" s="1488"/>
      <c r="AX761" s="1488"/>
      <c r="AY761" s="1488"/>
    </row>
    <row r="762" spans="3:51" s="1502" customFormat="1">
      <c r="C762" s="1498"/>
      <c r="D762" s="1501"/>
      <c r="E762" s="1500"/>
      <c r="F762" s="814"/>
      <c r="G762" s="1494"/>
      <c r="H762" s="1493"/>
      <c r="I762" s="1493"/>
      <c r="J762" s="813"/>
      <c r="K762" s="814"/>
      <c r="L762" s="1499"/>
      <c r="M762" s="1488"/>
      <c r="N762" s="1488"/>
      <c r="O762" s="1488"/>
      <c r="P762" s="1488"/>
      <c r="Q762" s="1489"/>
      <c r="R762" s="1489"/>
      <c r="S762" s="1489"/>
      <c r="T762" s="1489"/>
      <c r="U762" s="1489"/>
      <c r="V762" s="1489"/>
      <c r="W762" s="1489"/>
      <c r="X762" s="1489"/>
      <c r="Y762" s="1489"/>
      <c r="Z762" s="1489"/>
      <c r="AA762" s="1489"/>
      <c r="AB762" s="1489"/>
      <c r="AC762" s="1489"/>
      <c r="AD762" s="1489"/>
      <c r="AE762" s="1489"/>
      <c r="AF762" s="1489"/>
      <c r="AG762" s="1489"/>
      <c r="AH762" s="1489"/>
      <c r="AI762" s="1489"/>
      <c r="AJ762" s="1489"/>
      <c r="AK762" s="1489"/>
      <c r="AL762" s="1489"/>
      <c r="AM762" s="1489"/>
      <c r="AN762" s="1489"/>
      <c r="AO762" s="1489"/>
      <c r="AP762" s="1489"/>
      <c r="AQ762" s="1489"/>
      <c r="AR762" s="1488"/>
      <c r="AS762" s="1488"/>
      <c r="AT762" s="1488"/>
      <c r="AU762" s="1488"/>
      <c r="AV762" s="1488"/>
      <c r="AW762" s="1488"/>
      <c r="AX762" s="1488"/>
      <c r="AY762" s="1488"/>
    </row>
    <row r="763" spans="3:51" s="1502" customFormat="1">
      <c r="C763" s="1498"/>
      <c r="D763" s="1501"/>
      <c r="E763" s="1500"/>
      <c r="F763" s="814"/>
      <c r="G763" s="1494"/>
      <c r="H763" s="1493"/>
      <c r="I763" s="1493"/>
      <c r="J763" s="813"/>
      <c r="K763" s="814"/>
      <c r="L763" s="1499"/>
      <c r="M763" s="1488"/>
      <c r="N763" s="1488"/>
      <c r="O763" s="1488"/>
      <c r="P763" s="1488"/>
      <c r="Q763" s="1489"/>
      <c r="R763" s="1489"/>
      <c r="S763" s="1489"/>
      <c r="T763" s="1489"/>
      <c r="U763" s="1489"/>
      <c r="V763" s="1489"/>
      <c r="W763" s="1489"/>
      <c r="X763" s="1489"/>
      <c r="Y763" s="1489"/>
      <c r="Z763" s="1489"/>
      <c r="AA763" s="1489"/>
      <c r="AB763" s="1489"/>
      <c r="AC763" s="1489"/>
      <c r="AD763" s="1489"/>
      <c r="AE763" s="1489"/>
      <c r="AF763" s="1489"/>
      <c r="AG763" s="1489"/>
      <c r="AH763" s="1489"/>
      <c r="AI763" s="1489"/>
      <c r="AJ763" s="1489"/>
      <c r="AK763" s="1489"/>
      <c r="AL763" s="1489"/>
      <c r="AM763" s="1489"/>
      <c r="AN763" s="1489"/>
      <c r="AO763" s="1489"/>
      <c r="AP763" s="1489"/>
      <c r="AQ763" s="1489"/>
      <c r="AR763" s="1488"/>
      <c r="AS763" s="1488"/>
      <c r="AT763" s="1488"/>
      <c r="AU763" s="1488"/>
      <c r="AV763" s="1488"/>
      <c r="AW763" s="1488"/>
      <c r="AX763" s="1488"/>
      <c r="AY763" s="1488"/>
    </row>
    <row r="764" spans="3:51" s="1502" customFormat="1">
      <c r="C764" s="1498"/>
      <c r="D764" s="1501"/>
      <c r="E764" s="1500"/>
      <c r="F764" s="814"/>
      <c r="G764" s="1494"/>
      <c r="H764" s="1493"/>
      <c r="I764" s="1493"/>
      <c r="J764" s="813"/>
      <c r="K764" s="814"/>
      <c r="L764" s="1499"/>
      <c r="M764" s="1488"/>
      <c r="N764" s="1488"/>
      <c r="O764" s="1488"/>
      <c r="P764" s="1488"/>
      <c r="Q764" s="1489"/>
      <c r="R764" s="1489"/>
      <c r="S764" s="1489"/>
      <c r="T764" s="1489"/>
      <c r="U764" s="1489"/>
      <c r="V764" s="1489"/>
      <c r="W764" s="1489"/>
      <c r="X764" s="1489"/>
      <c r="Y764" s="1489"/>
      <c r="Z764" s="1489"/>
      <c r="AA764" s="1489"/>
      <c r="AB764" s="1489"/>
      <c r="AC764" s="1489"/>
      <c r="AD764" s="1489"/>
      <c r="AE764" s="1489"/>
      <c r="AF764" s="1489"/>
      <c r="AG764" s="1489"/>
      <c r="AH764" s="1489"/>
      <c r="AI764" s="1489"/>
      <c r="AJ764" s="1489"/>
      <c r="AK764" s="1489"/>
      <c r="AL764" s="1489"/>
      <c r="AM764" s="1489"/>
      <c r="AN764" s="1489"/>
      <c r="AO764" s="1489"/>
      <c r="AP764" s="1489"/>
      <c r="AQ764" s="1489"/>
      <c r="AR764" s="1488"/>
      <c r="AS764" s="1488"/>
      <c r="AT764" s="1488"/>
      <c r="AU764" s="1488"/>
      <c r="AV764" s="1488"/>
      <c r="AW764" s="1488"/>
      <c r="AX764" s="1488"/>
      <c r="AY764" s="1488"/>
    </row>
    <row r="765" spans="3:51" s="1502" customFormat="1">
      <c r="C765" s="1498"/>
      <c r="D765" s="1501"/>
      <c r="E765" s="1500"/>
      <c r="F765" s="814"/>
      <c r="G765" s="1494"/>
      <c r="H765" s="1493"/>
      <c r="I765" s="1493"/>
      <c r="J765" s="813"/>
      <c r="K765" s="814"/>
      <c r="L765" s="1499"/>
      <c r="M765" s="1488"/>
      <c r="N765" s="1488"/>
      <c r="O765" s="1488"/>
      <c r="P765" s="1488"/>
      <c r="Q765" s="1489"/>
      <c r="R765" s="1489"/>
      <c r="S765" s="1489"/>
      <c r="T765" s="1489"/>
      <c r="U765" s="1489"/>
      <c r="V765" s="1489"/>
      <c r="W765" s="1489"/>
      <c r="X765" s="1489"/>
      <c r="Y765" s="1489"/>
      <c r="Z765" s="1489"/>
      <c r="AA765" s="1489"/>
      <c r="AB765" s="1489"/>
      <c r="AC765" s="1489"/>
      <c r="AD765" s="1489"/>
      <c r="AE765" s="1489"/>
      <c r="AF765" s="1489"/>
      <c r="AG765" s="1489"/>
      <c r="AH765" s="1489"/>
      <c r="AI765" s="1489"/>
      <c r="AJ765" s="1489"/>
      <c r="AK765" s="1489"/>
      <c r="AL765" s="1489"/>
      <c r="AM765" s="1489"/>
      <c r="AN765" s="1489"/>
      <c r="AO765" s="1489"/>
      <c r="AP765" s="1489"/>
      <c r="AQ765" s="1489"/>
      <c r="AR765" s="1488"/>
      <c r="AS765" s="1488"/>
      <c r="AT765" s="1488"/>
      <c r="AU765" s="1488"/>
      <c r="AV765" s="1488"/>
      <c r="AW765" s="1488"/>
      <c r="AX765" s="1488"/>
      <c r="AY765" s="1488"/>
    </row>
    <row r="766" spans="3:51" s="1502" customFormat="1">
      <c r="C766" s="1498"/>
      <c r="D766" s="1501"/>
      <c r="E766" s="1500"/>
      <c r="F766" s="814"/>
      <c r="G766" s="1494"/>
      <c r="H766" s="1493"/>
      <c r="I766" s="1493"/>
      <c r="J766" s="813"/>
      <c r="K766" s="814"/>
      <c r="L766" s="1499"/>
      <c r="M766" s="1488"/>
      <c r="N766" s="1488"/>
      <c r="O766" s="1488"/>
      <c r="P766" s="1488"/>
      <c r="Q766" s="1489"/>
      <c r="R766" s="1489"/>
      <c r="S766" s="1489"/>
      <c r="T766" s="1489"/>
      <c r="U766" s="1489"/>
      <c r="V766" s="1489"/>
      <c r="W766" s="1489"/>
      <c r="X766" s="1489"/>
      <c r="Y766" s="1489"/>
      <c r="Z766" s="1489"/>
      <c r="AA766" s="1489"/>
      <c r="AB766" s="1489"/>
      <c r="AC766" s="1489"/>
      <c r="AD766" s="1489"/>
      <c r="AE766" s="1489"/>
      <c r="AF766" s="1489"/>
      <c r="AG766" s="1489"/>
      <c r="AH766" s="1489"/>
      <c r="AI766" s="1489"/>
      <c r="AJ766" s="1489"/>
      <c r="AK766" s="1489"/>
      <c r="AL766" s="1489"/>
      <c r="AM766" s="1489"/>
      <c r="AN766" s="1489"/>
      <c r="AO766" s="1489"/>
      <c r="AP766" s="1489"/>
      <c r="AQ766" s="1489"/>
      <c r="AR766" s="1488"/>
      <c r="AS766" s="1488"/>
      <c r="AT766" s="1488"/>
      <c r="AU766" s="1488"/>
      <c r="AV766" s="1488"/>
      <c r="AW766" s="1488"/>
      <c r="AX766" s="1488"/>
      <c r="AY766" s="1488"/>
    </row>
    <row r="767" spans="3:51" s="1502" customFormat="1">
      <c r="C767" s="1498"/>
      <c r="D767" s="1501"/>
      <c r="E767" s="1500"/>
      <c r="F767" s="814"/>
      <c r="G767" s="1494"/>
      <c r="H767" s="1493"/>
      <c r="I767" s="1493"/>
      <c r="J767" s="813"/>
      <c r="K767" s="814"/>
      <c r="L767" s="1499"/>
      <c r="M767" s="1488"/>
      <c r="N767" s="1488"/>
      <c r="O767" s="1488"/>
      <c r="P767" s="1488"/>
      <c r="Q767" s="1489"/>
      <c r="R767" s="1489"/>
      <c r="S767" s="1489"/>
      <c r="T767" s="1489"/>
      <c r="U767" s="1489"/>
      <c r="V767" s="1489"/>
      <c r="W767" s="1489"/>
      <c r="X767" s="1489"/>
      <c r="Y767" s="1489"/>
      <c r="Z767" s="1489"/>
      <c r="AA767" s="1489"/>
      <c r="AB767" s="1489"/>
      <c r="AC767" s="1489"/>
      <c r="AD767" s="1489"/>
      <c r="AE767" s="1489"/>
      <c r="AF767" s="1489"/>
      <c r="AG767" s="1489"/>
      <c r="AH767" s="1489"/>
      <c r="AI767" s="1489"/>
      <c r="AJ767" s="1489"/>
      <c r="AK767" s="1489"/>
      <c r="AL767" s="1489"/>
      <c r="AM767" s="1489"/>
      <c r="AN767" s="1489"/>
      <c r="AO767" s="1489"/>
      <c r="AP767" s="1489"/>
      <c r="AQ767" s="1489"/>
      <c r="AR767" s="1488"/>
      <c r="AS767" s="1488"/>
      <c r="AT767" s="1488"/>
      <c r="AU767" s="1488"/>
      <c r="AV767" s="1488"/>
      <c r="AW767" s="1488"/>
      <c r="AX767" s="1488"/>
      <c r="AY767" s="1488"/>
    </row>
    <row r="768" spans="3:51" s="1502" customFormat="1">
      <c r="C768" s="1498"/>
      <c r="D768" s="1501"/>
      <c r="E768" s="1500"/>
      <c r="F768" s="814"/>
      <c r="G768" s="1494"/>
      <c r="H768" s="1493"/>
      <c r="I768" s="1493"/>
      <c r="J768" s="813"/>
      <c r="K768" s="814"/>
      <c r="L768" s="1499"/>
      <c r="M768" s="1488"/>
      <c r="N768" s="1488"/>
      <c r="O768" s="1488"/>
      <c r="P768" s="1488"/>
      <c r="Q768" s="1489"/>
      <c r="R768" s="1489"/>
      <c r="S768" s="1489"/>
      <c r="T768" s="1489"/>
      <c r="U768" s="1489"/>
      <c r="V768" s="1489"/>
      <c r="W768" s="1489"/>
      <c r="X768" s="1489"/>
      <c r="Y768" s="1489"/>
      <c r="Z768" s="1489"/>
      <c r="AA768" s="1489"/>
      <c r="AB768" s="1489"/>
      <c r="AC768" s="1489"/>
      <c r="AD768" s="1489"/>
      <c r="AE768" s="1489"/>
      <c r="AF768" s="1489"/>
      <c r="AG768" s="1489"/>
      <c r="AH768" s="1489"/>
      <c r="AI768" s="1489"/>
      <c r="AJ768" s="1489"/>
      <c r="AK768" s="1489"/>
      <c r="AL768" s="1489"/>
      <c r="AM768" s="1489"/>
      <c r="AN768" s="1489"/>
      <c r="AO768" s="1489"/>
      <c r="AP768" s="1489"/>
      <c r="AQ768" s="1489"/>
      <c r="AR768" s="1488"/>
      <c r="AS768" s="1488"/>
      <c r="AT768" s="1488"/>
      <c r="AU768" s="1488"/>
      <c r="AV768" s="1488"/>
      <c r="AW768" s="1488"/>
      <c r="AX768" s="1488"/>
      <c r="AY768" s="1488"/>
    </row>
    <row r="769" spans="3:51" s="1502" customFormat="1">
      <c r="C769" s="1498"/>
      <c r="D769" s="1501"/>
      <c r="E769" s="1500"/>
      <c r="F769" s="814"/>
      <c r="G769" s="1494"/>
      <c r="H769" s="1493"/>
      <c r="I769" s="1493"/>
      <c r="J769" s="813"/>
      <c r="K769" s="814"/>
      <c r="L769" s="1499"/>
      <c r="M769" s="1488"/>
      <c r="N769" s="1488"/>
      <c r="O769" s="1488"/>
      <c r="P769" s="1488"/>
      <c r="Q769" s="1489"/>
      <c r="R769" s="1489"/>
      <c r="S769" s="1489"/>
      <c r="T769" s="1489"/>
      <c r="U769" s="1489"/>
      <c r="V769" s="1489"/>
      <c r="W769" s="1489"/>
      <c r="X769" s="1489"/>
      <c r="Y769" s="1489"/>
      <c r="Z769" s="1489"/>
      <c r="AA769" s="1489"/>
      <c r="AB769" s="1489"/>
      <c r="AC769" s="1489"/>
      <c r="AD769" s="1489"/>
      <c r="AE769" s="1489"/>
      <c r="AF769" s="1489"/>
      <c r="AG769" s="1489"/>
      <c r="AH769" s="1489"/>
      <c r="AI769" s="1489"/>
      <c r="AJ769" s="1489"/>
      <c r="AK769" s="1489"/>
      <c r="AL769" s="1489"/>
      <c r="AM769" s="1489"/>
      <c r="AN769" s="1489"/>
      <c r="AO769" s="1489"/>
      <c r="AP769" s="1489"/>
      <c r="AQ769" s="1489"/>
      <c r="AR769" s="1488"/>
      <c r="AS769" s="1488"/>
      <c r="AT769" s="1488"/>
      <c r="AU769" s="1488"/>
      <c r="AV769" s="1488"/>
      <c r="AW769" s="1488"/>
      <c r="AX769" s="1488"/>
      <c r="AY769" s="1488"/>
    </row>
    <row r="770" spans="3:51" s="1502" customFormat="1">
      <c r="C770" s="1498"/>
      <c r="D770" s="1501"/>
      <c r="E770" s="1500"/>
      <c r="F770" s="814"/>
      <c r="G770" s="1494"/>
      <c r="H770" s="1493"/>
      <c r="I770" s="1493"/>
      <c r="J770" s="813"/>
      <c r="K770" s="814"/>
      <c r="L770" s="1499"/>
      <c r="M770" s="1488"/>
      <c r="N770" s="1488"/>
      <c r="O770" s="1488"/>
      <c r="P770" s="1488"/>
      <c r="Q770" s="1489"/>
      <c r="R770" s="1489"/>
      <c r="S770" s="1489"/>
      <c r="T770" s="1489"/>
      <c r="U770" s="1489"/>
      <c r="V770" s="1489"/>
      <c r="W770" s="1489"/>
      <c r="X770" s="1489"/>
      <c r="Y770" s="1489"/>
      <c r="Z770" s="1489"/>
      <c r="AA770" s="1489"/>
      <c r="AB770" s="1489"/>
      <c r="AC770" s="1489"/>
      <c r="AD770" s="1489"/>
      <c r="AE770" s="1489"/>
      <c r="AF770" s="1489"/>
      <c r="AG770" s="1489"/>
      <c r="AH770" s="1489"/>
      <c r="AI770" s="1489"/>
      <c r="AJ770" s="1489"/>
      <c r="AK770" s="1489"/>
      <c r="AL770" s="1489"/>
      <c r="AM770" s="1489"/>
      <c r="AN770" s="1489"/>
      <c r="AO770" s="1489"/>
      <c r="AP770" s="1489"/>
      <c r="AQ770" s="1489"/>
      <c r="AR770" s="1488"/>
      <c r="AS770" s="1488"/>
      <c r="AT770" s="1488"/>
      <c r="AU770" s="1488"/>
      <c r="AV770" s="1488"/>
      <c r="AW770" s="1488"/>
      <c r="AX770" s="1488"/>
      <c r="AY770" s="1488"/>
    </row>
    <row r="771" spans="3:51" s="1502" customFormat="1">
      <c r="C771" s="1498"/>
      <c r="D771" s="1501"/>
      <c r="E771" s="1500"/>
      <c r="F771" s="814"/>
      <c r="G771" s="1494"/>
      <c r="H771" s="1493"/>
      <c r="I771" s="1493"/>
      <c r="J771" s="813"/>
      <c r="K771" s="814"/>
      <c r="L771" s="1499"/>
      <c r="M771" s="1488"/>
      <c r="N771" s="1488"/>
      <c r="O771" s="1488"/>
      <c r="P771" s="1488"/>
      <c r="Q771" s="1489"/>
      <c r="R771" s="1489"/>
      <c r="S771" s="1489"/>
      <c r="T771" s="1489"/>
      <c r="U771" s="1489"/>
      <c r="V771" s="1489"/>
      <c r="W771" s="1489"/>
      <c r="X771" s="1489"/>
      <c r="Y771" s="1489"/>
      <c r="Z771" s="1489"/>
      <c r="AA771" s="1489"/>
      <c r="AB771" s="1489"/>
      <c r="AC771" s="1489"/>
      <c r="AD771" s="1489"/>
      <c r="AE771" s="1489"/>
      <c r="AF771" s="1489"/>
      <c r="AG771" s="1489"/>
      <c r="AH771" s="1489"/>
      <c r="AI771" s="1489"/>
      <c r="AJ771" s="1489"/>
      <c r="AK771" s="1489"/>
      <c r="AL771" s="1489"/>
      <c r="AM771" s="1489"/>
      <c r="AN771" s="1489"/>
      <c r="AO771" s="1489"/>
      <c r="AP771" s="1489"/>
      <c r="AQ771" s="1489"/>
      <c r="AR771" s="1488"/>
      <c r="AS771" s="1488"/>
      <c r="AT771" s="1488"/>
      <c r="AU771" s="1488"/>
      <c r="AV771" s="1488"/>
      <c r="AW771" s="1488"/>
      <c r="AX771" s="1488"/>
      <c r="AY771" s="1488"/>
    </row>
    <row r="772" spans="3:51" s="1502" customFormat="1">
      <c r="C772" s="1498"/>
      <c r="D772" s="1501"/>
      <c r="E772" s="1500"/>
      <c r="F772" s="814"/>
      <c r="G772" s="1494"/>
      <c r="H772" s="1493"/>
      <c r="I772" s="1493"/>
      <c r="J772" s="813"/>
      <c r="K772" s="814"/>
      <c r="L772" s="1499"/>
      <c r="M772" s="1488"/>
      <c r="N772" s="1488"/>
      <c r="O772" s="1488"/>
      <c r="P772" s="1488"/>
      <c r="Q772" s="1489"/>
      <c r="R772" s="1489"/>
      <c r="S772" s="1489"/>
      <c r="T772" s="1489"/>
      <c r="U772" s="1489"/>
      <c r="V772" s="1489"/>
      <c r="W772" s="1489"/>
      <c r="X772" s="1489"/>
      <c r="Y772" s="1489"/>
      <c r="Z772" s="1489"/>
      <c r="AA772" s="1489"/>
      <c r="AB772" s="1489"/>
      <c r="AC772" s="1489"/>
      <c r="AD772" s="1489"/>
      <c r="AE772" s="1489"/>
      <c r="AF772" s="1489"/>
      <c r="AG772" s="1489"/>
      <c r="AH772" s="1489"/>
      <c r="AI772" s="1489"/>
      <c r="AJ772" s="1489"/>
      <c r="AK772" s="1489"/>
      <c r="AL772" s="1489"/>
      <c r="AM772" s="1489"/>
      <c r="AN772" s="1489"/>
      <c r="AO772" s="1489"/>
      <c r="AP772" s="1489"/>
      <c r="AQ772" s="1489"/>
      <c r="AR772" s="1488"/>
      <c r="AS772" s="1488"/>
      <c r="AT772" s="1488"/>
      <c r="AU772" s="1488"/>
      <c r="AV772" s="1488"/>
      <c r="AW772" s="1488"/>
      <c r="AX772" s="1488"/>
      <c r="AY772" s="1488"/>
    </row>
    <row r="773" spans="3:51" s="1502" customFormat="1">
      <c r="C773" s="1498"/>
      <c r="D773" s="1501"/>
      <c r="E773" s="1500"/>
      <c r="F773" s="814"/>
      <c r="G773" s="1494"/>
      <c r="H773" s="1493"/>
      <c r="I773" s="1493"/>
      <c r="J773" s="813"/>
      <c r="K773" s="814"/>
      <c r="L773" s="1499"/>
      <c r="M773" s="1488"/>
      <c r="N773" s="1488"/>
      <c r="O773" s="1488"/>
      <c r="P773" s="1488"/>
      <c r="Q773" s="1489"/>
      <c r="R773" s="1489"/>
      <c r="S773" s="1489"/>
      <c r="T773" s="1489"/>
      <c r="U773" s="1489"/>
      <c r="V773" s="1489"/>
      <c r="W773" s="1489"/>
      <c r="X773" s="1489"/>
      <c r="Y773" s="1489"/>
      <c r="Z773" s="1489"/>
      <c r="AA773" s="1489"/>
      <c r="AB773" s="1489"/>
      <c r="AC773" s="1489"/>
      <c r="AD773" s="1489"/>
      <c r="AE773" s="1489"/>
      <c r="AF773" s="1489"/>
      <c r="AG773" s="1489"/>
      <c r="AH773" s="1489"/>
      <c r="AI773" s="1489"/>
      <c r="AJ773" s="1489"/>
      <c r="AK773" s="1489"/>
      <c r="AL773" s="1489"/>
      <c r="AM773" s="1489"/>
      <c r="AN773" s="1489"/>
      <c r="AO773" s="1489"/>
      <c r="AP773" s="1489"/>
      <c r="AQ773" s="1489"/>
      <c r="AR773" s="1488"/>
      <c r="AS773" s="1488"/>
      <c r="AT773" s="1488"/>
      <c r="AU773" s="1488"/>
      <c r="AV773" s="1488"/>
      <c r="AW773" s="1488"/>
      <c r="AX773" s="1488"/>
      <c r="AY773" s="1488"/>
    </row>
    <row r="774" spans="3:51" s="1502" customFormat="1">
      <c r="C774" s="1498"/>
      <c r="D774" s="1501"/>
      <c r="E774" s="1500"/>
      <c r="F774" s="814"/>
      <c r="G774" s="1494"/>
      <c r="H774" s="1493"/>
      <c r="I774" s="1493"/>
      <c r="J774" s="813"/>
      <c r="K774" s="814"/>
      <c r="L774" s="1499"/>
      <c r="M774" s="1488"/>
      <c r="N774" s="1488"/>
      <c r="O774" s="1488"/>
      <c r="P774" s="1488"/>
      <c r="Q774" s="1489"/>
      <c r="R774" s="1489"/>
      <c r="S774" s="1489"/>
      <c r="T774" s="1489"/>
      <c r="U774" s="1489"/>
      <c r="V774" s="1489"/>
      <c r="W774" s="1489"/>
      <c r="X774" s="1489"/>
      <c r="Y774" s="1489"/>
      <c r="Z774" s="1489"/>
      <c r="AA774" s="1489"/>
      <c r="AB774" s="1489"/>
      <c r="AC774" s="1489"/>
      <c r="AD774" s="1489"/>
      <c r="AE774" s="1489"/>
      <c r="AF774" s="1489"/>
      <c r="AG774" s="1489"/>
      <c r="AH774" s="1489"/>
      <c r="AI774" s="1489"/>
      <c r="AJ774" s="1489"/>
      <c r="AK774" s="1489"/>
      <c r="AL774" s="1489"/>
      <c r="AM774" s="1489"/>
      <c r="AN774" s="1489"/>
      <c r="AO774" s="1489"/>
      <c r="AP774" s="1489"/>
      <c r="AQ774" s="1489"/>
      <c r="AR774" s="1488"/>
      <c r="AS774" s="1488"/>
      <c r="AT774" s="1488"/>
      <c r="AU774" s="1488"/>
      <c r="AV774" s="1488"/>
      <c r="AW774" s="1488"/>
      <c r="AX774" s="1488"/>
      <c r="AY774" s="1488"/>
    </row>
    <row r="775" spans="3:51" s="1502" customFormat="1">
      <c r="C775" s="1498"/>
      <c r="D775" s="1501"/>
      <c r="E775" s="1500"/>
      <c r="F775" s="814"/>
      <c r="G775" s="1494"/>
      <c r="H775" s="1493"/>
      <c r="I775" s="1493"/>
      <c r="J775" s="813"/>
      <c r="K775" s="814"/>
      <c r="L775" s="1499"/>
      <c r="M775" s="1488"/>
      <c r="N775" s="1488"/>
      <c r="O775" s="1488"/>
      <c r="P775" s="1488"/>
      <c r="Q775" s="1489"/>
      <c r="R775" s="1489"/>
      <c r="S775" s="1489"/>
      <c r="T775" s="1489"/>
      <c r="U775" s="1489"/>
      <c r="V775" s="1489"/>
      <c r="W775" s="1489"/>
      <c r="X775" s="1489"/>
      <c r="Y775" s="1489"/>
      <c r="Z775" s="1489"/>
      <c r="AA775" s="1489"/>
      <c r="AB775" s="1489"/>
      <c r="AC775" s="1489"/>
      <c r="AD775" s="1489"/>
      <c r="AE775" s="1489"/>
      <c r="AF775" s="1489"/>
      <c r="AG775" s="1489"/>
      <c r="AH775" s="1489"/>
      <c r="AI775" s="1489"/>
      <c r="AJ775" s="1489"/>
      <c r="AK775" s="1489"/>
      <c r="AL775" s="1489"/>
      <c r="AM775" s="1489"/>
      <c r="AN775" s="1489"/>
      <c r="AO775" s="1489"/>
      <c r="AP775" s="1489"/>
      <c r="AQ775" s="1489"/>
      <c r="AR775" s="1488"/>
      <c r="AS775" s="1488"/>
      <c r="AT775" s="1488"/>
      <c r="AU775" s="1488"/>
      <c r="AV775" s="1488"/>
      <c r="AW775" s="1488"/>
      <c r="AX775" s="1488"/>
      <c r="AY775" s="1488"/>
    </row>
    <row r="776" spans="3:51" s="1502" customFormat="1">
      <c r="C776" s="1498"/>
      <c r="D776" s="1501"/>
      <c r="E776" s="1500"/>
      <c r="F776" s="814"/>
      <c r="G776" s="1494"/>
      <c r="H776" s="1493"/>
      <c r="I776" s="1493"/>
      <c r="J776" s="813"/>
      <c r="K776" s="814"/>
      <c r="L776" s="1499"/>
      <c r="M776" s="1488"/>
      <c r="N776" s="1488"/>
      <c r="O776" s="1488"/>
      <c r="P776" s="1488"/>
      <c r="Q776" s="1489"/>
      <c r="R776" s="1489"/>
      <c r="S776" s="1489"/>
      <c r="T776" s="1489"/>
      <c r="U776" s="1489"/>
      <c r="V776" s="1489"/>
      <c r="W776" s="1489"/>
      <c r="X776" s="1489"/>
      <c r="Y776" s="1489"/>
      <c r="Z776" s="1489"/>
      <c r="AA776" s="1489"/>
      <c r="AB776" s="1489"/>
      <c r="AC776" s="1489"/>
      <c r="AD776" s="1489"/>
      <c r="AE776" s="1489"/>
      <c r="AF776" s="1489"/>
      <c r="AG776" s="1489"/>
      <c r="AH776" s="1489"/>
      <c r="AI776" s="1489"/>
      <c r="AJ776" s="1489"/>
      <c r="AK776" s="1489"/>
      <c r="AL776" s="1489"/>
      <c r="AM776" s="1489"/>
      <c r="AN776" s="1489"/>
      <c r="AO776" s="1489"/>
      <c r="AP776" s="1489"/>
      <c r="AQ776" s="1489"/>
      <c r="AR776" s="1488"/>
      <c r="AS776" s="1488"/>
      <c r="AT776" s="1488"/>
      <c r="AU776" s="1488"/>
      <c r="AV776" s="1488"/>
      <c r="AW776" s="1488"/>
      <c r="AX776" s="1488"/>
      <c r="AY776" s="1488"/>
    </row>
    <row r="777" spans="3:51" s="1502" customFormat="1">
      <c r="C777" s="1498"/>
      <c r="D777" s="1501"/>
      <c r="E777" s="1500"/>
      <c r="F777" s="814"/>
      <c r="G777" s="1494"/>
      <c r="H777" s="1493"/>
      <c r="I777" s="1493"/>
      <c r="J777" s="813"/>
      <c r="K777" s="814"/>
      <c r="L777" s="1499"/>
      <c r="M777" s="1488"/>
      <c r="N777" s="1488"/>
      <c r="O777" s="1488"/>
      <c r="P777" s="1488"/>
      <c r="Q777" s="1489"/>
      <c r="R777" s="1489"/>
      <c r="S777" s="1489"/>
      <c r="T777" s="1489"/>
      <c r="U777" s="1489"/>
      <c r="V777" s="1489"/>
      <c r="W777" s="1489"/>
      <c r="X777" s="1489"/>
      <c r="Y777" s="1489"/>
      <c r="Z777" s="1489"/>
      <c r="AA777" s="1489"/>
      <c r="AB777" s="1489"/>
      <c r="AC777" s="1489"/>
      <c r="AD777" s="1489"/>
      <c r="AE777" s="1489"/>
      <c r="AF777" s="1489"/>
      <c r="AG777" s="1489"/>
      <c r="AH777" s="1489"/>
      <c r="AI777" s="1489"/>
      <c r="AJ777" s="1489"/>
      <c r="AK777" s="1489"/>
      <c r="AL777" s="1489"/>
      <c r="AM777" s="1489"/>
      <c r="AN777" s="1489"/>
      <c r="AO777" s="1489"/>
      <c r="AP777" s="1489"/>
      <c r="AQ777" s="1489"/>
      <c r="AR777" s="1488"/>
      <c r="AS777" s="1488"/>
      <c r="AT777" s="1488"/>
      <c r="AU777" s="1488"/>
      <c r="AV777" s="1488"/>
      <c r="AW777" s="1488"/>
      <c r="AX777" s="1488"/>
      <c r="AY777" s="1488"/>
    </row>
    <row r="778" spans="3:51" s="1502" customFormat="1">
      <c r="C778" s="1498"/>
      <c r="D778" s="1501"/>
      <c r="E778" s="1500"/>
      <c r="F778" s="814"/>
      <c r="G778" s="1494"/>
      <c r="H778" s="1493"/>
      <c r="I778" s="1493"/>
      <c r="J778" s="813"/>
      <c r="K778" s="814"/>
      <c r="L778" s="1499"/>
      <c r="M778" s="1488"/>
      <c r="N778" s="1488"/>
      <c r="O778" s="1488"/>
      <c r="P778" s="1488"/>
      <c r="Q778" s="1489"/>
      <c r="R778" s="1489"/>
      <c r="S778" s="1489"/>
      <c r="T778" s="1489"/>
      <c r="U778" s="1489"/>
      <c r="V778" s="1489"/>
      <c r="W778" s="1489"/>
      <c r="X778" s="1489"/>
      <c r="Y778" s="1489"/>
      <c r="Z778" s="1489"/>
      <c r="AA778" s="1489"/>
      <c r="AB778" s="1489"/>
      <c r="AC778" s="1489"/>
      <c r="AD778" s="1489"/>
      <c r="AE778" s="1489"/>
      <c r="AF778" s="1489"/>
      <c r="AG778" s="1489"/>
      <c r="AH778" s="1489"/>
      <c r="AI778" s="1489"/>
      <c r="AJ778" s="1489"/>
      <c r="AK778" s="1489"/>
      <c r="AL778" s="1489"/>
      <c r="AM778" s="1489"/>
      <c r="AN778" s="1489"/>
      <c r="AO778" s="1489"/>
      <c r="AP778" s="1489"/>
      <c r="AQ778" s="1489"/>
      <c r="AR778" s="1488"/>
      <c r="AS778" s="1488"/>
      <c r="AT778" s="1488"/>
      <c r="AU778" s="1488"/>
      <c r="AV778" s="1488"/>
      <c r="AW778" s="1488"/>
      <c r="AX778" s="1488"/>
      <c r="AY778" s="1488"/>
    </row>
    <row r="779" spans="3:51" s="1502" customFormat="1">
      <c r="C779" s="1498"/>
      <c r="D779" s="1501"/>
      <c r="E779" s="1500"/>
      <c r="F779" s="814"/>
      <c r="G779" s="1494"/>
      <c r="H779" s="1493"/>
      <c r="I779" s="1493"/>
      <c r="J779" s="813"/>
      <c r="K779" s="814"/>
      <c r="L779" s="1499"/>
      <c r="M779" s="1488"/>
      <c r="N779" s="1488"/>
      <c r="O779" s="1488"/>
      <c r="P779" s="1488"/>
      <c r="Q779" s="1489"/>
      <c r="R779" s="1489"/>
      <c r="S779" s="1489"/>
      <c r="T779" s="1489"/>
      <c r="U779" s="1489"/>
      <c r="V779" s="1489"/>
      <c r="W779" s="1489"/>
      <c r="X779" s="1489"/>
      <c r="Y779" s="1489"/>
      <c r="Z779" s="1489"/>
      <c r="AA779" s="1489"/>
      <c r="AB779" s="1489"/>
      <c r="AC779" s="1489"/>
      <c r="AD779" s="1489"/>
      <c r="AE779" s="1489"/>
      <c r="AF779" s="1489"/>
      <c r="AG779" s="1489"/>
      <c r="AH779" s="1489"/>
      <c r="AI779" s="1489"/>
      <c r="AJ779" s="1489"/>
      <c r="AK779" s="1489"/>
      <c r="AL779" s="1489"/>
      <c r="AM779" s="1489"/>
      <c r="AN779" s="1489"/>
      <c r="AO779" s="1489"/>
      <c r="AP779" s="1489"/>
      <c r="AQ779" s="1489"/>
      <c r="AR779" s="1488"/>
      <c r="AS779" s="1488"/>
      <c r="AT779" s="1488"/>
      <c r="AU779" s="1488"/>
      <c r="AV779" s="1488"/>
      <c r="AW779" s="1488"/>
      <c r="AX779" s="1488"/>
      <c r="AY779" s="1488"/>
    </row>
    <row r="780" spans="3:51" s="1502" customFormat="1">
      <c r="C780" s="1498"/>
      <c r="D780" s="1501"/>
      <c r="E780" s="1500"/>
      <c r="F780" s="814"/>
      <c r="G780" s="1494"/>
      <c r="H780" s="1493"/>
      <c r="I780" s="1493"/>
      <c r="J780" s="813"/>
      <c r="K780" s="814"/>
      <c r="L780" s="1499"/>
      <c r="M780" s="1488"/>
      <c r="N780" s="1488"/>
      <c r="O780" s="1488"/>
      <c r="P780" s="1488"/>
      <c r="Q780" s="1489"/>
      <c r="R780" s="1489"/>
      <c r="S780" s="1489"/>
      <c r="T780" s="1489"/>
      <c r="U780" s="1489"/>
      <c r="V780" s="1489"/>
      <c r="W780" s="1489"/>
      <c r="X780" s="1489"/>
      <c r="Y780" s="1489"/>
      <c r="Z780" s="1489"/>
      <c r="AA780" s="1489"/>
      <c r="AB780" s="1489"/>
      <c r="AC780" s="1489"/>
      <c r="AD780" s="1489"/>
      <c r="AE780" s="1489"/>
      <c r="AF780" s="1489"/>
      <c r="AG780" s="1489"/>
      <c r="AH780" s="1489"/>
      <c r="AI780" s="1489"/>
      <c r="AJ780" s="1489"/>
      <c r="AK780" s="1489"/>
      <c r="AL780" s="1489"/>
      <c r="AM780" s="1489"/>
      <c r="AN780" s="1489"/>
      <c r="AO780" s="1489"/>
      <c r="AP780" s="1489"/>
      <c r="AQ780" s="1489"/>
      <c r="AR780" s="1488"/>
      <c r="AS780" s="1488"/>
      <c r="AT780" s="1488"/>
      <c r="AU780" s="1488"/>
      <c r="AV780" s="1488"/>
      <c r="AW780" s="1488"/>
      <c r="AX780" s="1488"/>
      <c r="AY780" s="1488"/>
    </row>
    <row r="781" spans="3:51" s="1502" customFormat="1">
      <c r="C781" s="1498"/>
      <c r="D781" s="1501"/>
      <c r="E781" s="1500"/>
      <c r="F781" s="814"/>
      <c r="G781" s="1494"/>
      <c r="H781" s="1493"/>
      <c r="I781" s="1493"/>
      <c r="J781" s="813"/>
      <c r="K781" s="814"/>
      <c r="L781" s="1499"/>
      <c r="M781" s="1488"/>
      <c r="N781" s="1488"/>
      <c r="O781" s="1488"/>
      <c r="P781" s="1488"/>
      <c r="Q781" s="1489"/>
      <c r="R781" s="1489"/>
      <c r="S781" s="1489"/>
      <c r="T781" s="1489"/>
      <c r="U781" s="1489"/>
      <c r="V781" s="1489"/>
      <c r="W781" s="1489"/>
      <c r="X781" s="1489"/>
      <c r="Y781" s="1489"/>
      <c r="Z781" s="1489"/>
      <c r="AA781" s="1489"/>
      <c r="AB781" s="1489"/>
      <c r="AC781" s="1489"/>
      <c r="AD781" s="1489"/>
      <c r="AE781" s="1489"/>
      <c r="AF781" s="1489"/>
      <c r="AG781" s="1489"/>
      <c r="AH781" s="1489"/>
      <c r="AI781" s="1489"/>
      <c r="AJ781" s="1489"/>
      <c r="AK781" s="1489"/>
      <c r="AL781" s="1489"/>
      <c r="AM781" s="1489"/>
      <c r="AN781" s="1489"/>
      <c r="AO781" s="1489"/>
      <c r="AP781" s="1489"/>
      <c r="AQ781" s="1489"/>
      <c r="AR781" s="1488"/>
      <c r="AS781" s="1488"/>
      <c r="AT781" s="1488"/>
      <c r="AU781" s="1488"/>
      <c r="AV781" s="1488"/>
      <c r="AW781" s="1488"/>
      <c r="AX781" s="1488"/>
      <c r="AY781" s="1488"/>
    </row>
    <row r="782" spans="3:51" s="1502" customFormat="1">
      <c r="C782" s="1498"/>
      <c r="D782" s="1501"/>
      <c r="E782" s="1500"/>
      <c r="F782" s="814"/>
      <c r="G782" s="1494"/>
      <c r="H782" s="1493"/>
      <c r="I782" s="1493"/>
      <c r="J782" s="813"/>
      <c r="K782" s="814"/>
      <c r="L782" s="1499"/>
      <c r="M782" s="1488"/>
      <c r="N782" s="1488"/>
      <c r="O782" s="1488"/>
      <c r="P782" s="1488"/>
      <c r="Q782" s="1489"/>
      <c r="R782" s="1489"/>
      <c r="S782" s="1489"/>
      <c r="T782" s="1489"/>
      <c r="U782" s="1489"/>
      <c r="V782" s="1489"/>
      <c r="W782" s="1489"/>
      <c r="X782" s="1489"/>
      <c r="Y782" s="1489"/>
      <c r="Z782" s="1489"/>
      <c r="AA782" s="1489"/>
      <c r="AB782" s="1489"/>
      <c r="AC782" s="1489"/>
      <c r="AD782" s="1489"/>
      <c r="AE782" s="1489"/>
      <c r="AF782" s="1489"/>
      <c r="AG782" s="1489"/>
      <c r="AH782" s="1489"/>
      <c r="AI782" s="1489"/>
      <c r="AJ782" s="1489"/>
      <c r="AK782" s="1489"/>
      <c r="AL782" s="1489"/>
      <c r="AM782" s="1489"/>
      <c r="AN782" s="1489"/>
      <c r="AO782" s="1489"/>
      <c r="AP782" s="1489"/>
      <c r="AQ782" s="1489"/>
      <c r="AR782" s="1488"/>
      <c r="AS782" s="1488"/>
      <c r="AT782" s="1488"/>
      <c r="AU782" s="1488"/>
      <c r="AV782" s="1488"/>
      <c r="AW782" s="1488"/>
      <c r="AX782" s="1488"/>
      <c r="AY782" s="1488"/>
    </row>
    <row r="783" spans="3:51" s="1502" customFormat="1">
      <c r="C783" s="1498"/>
      <c r="D783" s="1501"/>
      <c r="E783" s="1500"/>
      <c r="F783" s="814"/>
      <c r="G783" s="1494"/>
      <c r="H783" s="1493"/>
      <c r="I783" s="1493"/>
      <c r="J783" s="813"/>
      <c r="K783" s="814"/>
      <c r="L783" s="1499"/>
      <c r="M783" s="1488"/>
      <c r="N783" s="1488"/>
      <c r="O783" s="1488"/>
      <c r="P783" s="1488"/>
      <c r="Q783" s="1489"/>
      <c r="R783" s="1489"/>
      <c r="S783" s="1489"/>
      <c r="T783" s="1489"/>
      <c r="U783" s="1489"/>
      <c r="V783" s="1489"/>
      <c r="W783" s="1489"/>
      <c r="X783" s="1489"/>
      <c r="Y783" s="1489"/>
      <c r="Z783" s="1489"/>
      <c r="AA783" s="1489"/>
      <c r="AB783" s="1489"/>
      <c r="AC783" s="1489"/>
      <c r="AD783" s="1489"/>
      <c r="AE783" s="1489"/>
      <c r="AF783" s="1489"/>
      <c r="AG783" s="1489"/>
      <c r="AH783" s="1489"/>
      <c r="AI783" s="1489"/>
      <c r="AJ783" s="1489"/>
      <c r="AK783" s="1489"/>
      <c r="AL783" s="1489"/>
      <c r="AM783" s="1489"/>
      <c r="AN783" s="1489"/>
      <c r="AO783" s="1489"/>
      <c r="AP783" s="1489"/>
      <c r="AQ783" s="1489"/>
      <c r="AR783" s="1488"/>
      <c r="AS783" s="1488"/>
      <c r="AT783" s="1488"/>
      <c r="AU783" s="1488"/>
      <c r="AV783" s="1488"/>
      <c r="AW783" s="1488"/>
      <c r="AX783" s="1488"/>
      <c r="AY783" s="1488"/>
    </row>
    <row r="784" spans="3:51" s="1502" customFormat="1">
      <c r="C784" s="1498"/>
      <c r="D784" s="1501"/>
      <c r="E784" s="1500"/>
      <c r="F784" s="814"/>
      <c r="G784" s="1494"/>
      <c r="H784" s="1493"/>
      <c r="I784" s="1493"/>
      <c r="J784" s="813"/>
      <c r="K784" s="814"/>
      <c r="L784" s="1499"/>
      <c r="M784" s="1488"/>
      <c r="N784" s="1488"/>
      <c r="O784" s="1488"/>
      <c r="P784" s="1488"/>
      <c r="Q784" s="1489"/>
      <c r="R784" s="1489"/>
      <c r="S784" s="1489"/>
      <c r="T784" s="1489"/>
      <c r="U784" s="1489"/>
      <c r="V784" s="1489"/>
      <c r="W784" s="1489"/>
      <c r="X784" s="1489"/>
      <c r="Y784" s="1489"/>
      <c r="Z784" s="1489"/>
      <c r="AA784" s="1489"/>
      <c r="AB784" s="1489"/>
      <c r="AC784" s="1489"/>
      <c r="AD784" s="1489"/>
      <c r="AE784" s="1489"/>
      <c r="AF784" s="1489"/>
      <c r="AG784" s="1489"/>
      <c r="AH784" s="1489"/>
      <c r="AI784" s="1489"/>
      <c r="AJ784" s="1489"/>
      <c r="AK784" s="1489"/>
      <c r="AL784" s="1489"/>
      <c r="AM784" s="1489"/>
      <c r="AN784" s="1489"/>
      <c r="AO784" s="1489"/>
      <c r="AP784" s="1489"/>
      <c r="AQ784" s="1489"/>
      <c r="AR784" s="1488"/>
      <c r="AS784" s="1488"/>
      <c r="AT784" s="1488"/>
      <c r="AU784" s="1488"/>
      <c r="AV784" s="1488"/>
      <c r="AW784" s="1488"/>
      <c r="AX784" s="1488"/>
      <c r="AY784" s="1488"/>
    </row>
    <row r="785" spans="3:51" s="1502" customFormat="1">
      <c r="C785" s="1498"/>
      <c r="D785" s="1501"/>
      <c r="E785" s="1500"/>
      <c r="F785" s="814"/>
      <c r="G785" s="1494"/>
      <c r="H785" s="1493"/>
      <c r="I785" s="1493"/>
      <c r="J785" s="813"/>
      <c r="K785" s="814"/>
      <c r="L785" s="1499"/>
      <c r="M785" s="1488"/>
      <c r="N785" s="1488"/>
      <c r="O785" s="1488"/>
      <c r="P785" s="1488"/>
      <c r="Q785" s="1489"/>
      <c r="R785" s="1489"/>
      <c r="S785" s="1489"/>
      <c r="T785" s="1489"/>
      <c r="U785" s="1489"/>
      <c r="V785" s="1489"/>
      <c r="W785" s="1489"/>
      <c r="X785" s="1489"/>
      <c r="Y785" s="1489"/>
      <c r="Z785" s="1489"/>
      <c r="AA785" s="1489"/>
      <c r="AB785" s="1489"/>
      <c r="AC785" s="1489"/>
      <c r="AD785" s="1489"/>
      <c r="AE785" s="1489"/>
      <c r="AF785" s="1489"/>
      <c r="AG785" s="1489"/>
      <c r="AH785" s="1489"/>
      <c r="AI785" s="1489"/>
      <c r="AJ785" s="1489"/>
      <c r="AK785" s="1489"/>
      <c r="AL785" s="1489"/>
      <c r="AM785" s="1489"/>
      <c r="AN785" s="1489"/>
      <c r="AO785" s="1489"/>
      <c r="AP785" s="1489"/>
      <c r="AQ785" s="1489"/>
      <c r="AR785" s="1488"/>
      <c r="AS785" s="1488"/>
      <c r="AT785" s="1488"/>
      <c r="AU785" s="1488"/>
      <c r="AV785" s="1488"/>
      <c r="AW785" s="1488"/>
      <c r="AX785" s="1488"/>
      <c r="AY785" s="1488"/>
    </row>
    <row r="786" spans="3:51" s="1502" customFormat="1">
      <c r="C786" s="1498"/>
      <c r="D786" s="1501"/>
      <c r="E786" s="1500"/>
      <c r="F786" s="814"/>
      <c r="G786" s="1494"/>
      <c r="H786" s="1493"/>
      <c r="I786" s="1493"/>
      <c r="J786" s="813"/>
      <c r="K786" s="814"/>
      <c r="L786" s="1499"/>
      <c r="M786" s="1488"/>
      <c r="N786" s="1488"/>
      <c r="O786" s="1488"/>
      <c r="P786" s="1488"/>
      <c r="Q786" s="1489"/>
      <c r="R786" s="1489"/>
      <c r="S786" s="1489"/>
      <c r="T786" s="1489"/>
      <c r="U786" s="1489"/>
      <c r="V786" s="1489"/>
      <c r="W786" s="1489"/>
      <c r="X786" s="1489"/>
      <c r="Y786" s="1489"/>
      <c r="Z786" s="1489"/>
      <c r="AA786" s="1489"/>
      <c r="AB786" s="1489"/>
      <c r="AC786" s="1489"/>
      <c r="AD786" s="1489"/>
      <c r="AE786" s="1489"/>
      <c r="AF786" s="1489"/>
      <c r="AG786" s="1489"/>
      <c r="AH786" s="1489"/>
      <c r="AI786" s="1489"/>
      <c r="AJ786" s="1489"/>
      <c r="AK786" s="1489"/>
      <c r="AL786" s="1489"/>
      <c r="AM786" s="1489"/>
      <c r="AN786" s="1489"/>
      <c r="AO786" s="1489"/>
      <c r="AP786" s="1489"/>
      <c r="AQ786" s="1489"/>
      <c r="AR786" s="1488"/>
      <c r="AS786" s="1488"/>
      <c r="AT786" s="1488"/>
      <c r="AU786" s="1488"/>
      <c r="AV786" s="1488"/>
      <c r="AW786" s="1488"/>
      <c r="AX786" s="1488"/>
      <c r="AY786" s="1488"/>
    </row>
    <row r="787" spans="3:51" s="1502" customFormat="1">
      <c r="C787" s="1498"/>
      <c r="D787" s="1501"/>
      <c r="E787" s="1500"/>
      <c r="F787" s="814"/>
      <c r="G787" s="1494"/>
      <c r="H787" s="1493"/>
      <c r="I787" s="1493"/>
      <c r="J787" s="813"/>
      <c r="K787" s="814"/>
      <c r="L787" s="1499"/>
      <c r="M787" s="1488"/>
      <c r="N787" s="1488"/>
      <c r="O787" s="1488"/>
      <c r="P787" s="1488"/>
      <c r="Q787" s="1489"/>
      <c r="R787" s="1489"/>
      <c r="S787" s="1489"/>
      <c r="T787" s="1489"/>
      <c r="U787" s="1489"/>
      <c r="V787" s="1489"/>
      <c r="W787" s="1489"/>
      <c r="X787" s="1489"/>
      <c r="Y787" s="1489"/>
      <c r="Z787" s="1489"/>
      <c r="AA787" s="1489"/>
      <c r="AB787" s="1489"/>
      <c r="AC787" s="1489"/>
      <c r="AD787" s="1489"/>
      <c r="AE787" s="1489"/>
      <c r="AF787" s="1489"/>
      <c r="AG787" s="1489"/>
      <c r="AH787" s="1489"/>
      <c r="AI787" s="1489"/>
      <c r="AJ787" s="1489"/>
      <c r="AK787" s="1489"/>
      <c r="AL787" s="1489"/>
      <c r="AM787" s="1489"/>
      <c r="AN787" s="1489"/>
      <c r="AO787" s="1489"/>
      <c r="AP787" s="1489"/>
      <c r="AQ787" s="1489"/>
      <c r="AR787" s="1488"/>
      <c r="AS787" s="1488"/>
      <c r="AT787" s="1488"/>
      <c r="AU787" s="1488"/>
      <c r="AV787" s="1488"/>
      <c r="AW787" s="1488"/>
      <c r="AX787" s="1488"/>
      <c r="AY787" s="1488"/>
    </row>
    <row r="788" spans="3:51" s="1502" customFormat="1">
      <c r="C788" s="1498"/>
      <c r="D788" s="1501"/>
      <c r="E788" s="1500"/>
      <c r="F788" s="814"/>
      <c r="G788" s="1494"/>
      <c r="H788" s="1493"/>
      <c r="I788" s="1493"/>
      <c r="J788" s="813"/>
      <c r="K788" s="814"/>
      <c r="L788" s="1499"/>
      <c r="M788" s="1488"/>
      <c r="N788" s="1488"/>
      <c r="O788" s="1488"/>
      <c r="P788" s="1488"/>
      <c r="Q788" s="1489"/>
      <c r="R788" s="1489"/>
      <c r="S788" s="1489"/>
      <c r="T788" s="1489"/>
      <c r="U788" s="1489"/>
      <c r="V788" s="1489"/>
      <c r="W788" s="1489"/>
      <c r="X788" s="1489"/>
      <c r="Y788" s="1489"/>
      <c r="Z788" s="1489"/>
      <c r="AA788" s="1489"/>
      <c r="AB788" s="1489"/>
      <c r="AC788" s="1489"/>
      <c r="AD788" s="1489"/>
      <c r="AE788" s="1489"/>
      <c r="AF788" s="1489"/>
      <c r="AG788" s="1489"/>
      <c r="AH788" s="1489"/>
      <c r="AI788" s="1489"/>
      <c r="AJ788" s="1489"/>
      <c r="AK788" s="1489"/>
      <c r="AL788" s="1489"/>
      <c r="AM788" s="1489"/>
      <c r="AN788" s="1489"/>
      <c r="AO788" s="1489"/>
      <c r="AP788" s="1489"/>
      <c r="AQ788" s="1489"/>
      <c r="AR788" s="1488"/>
      <c r="AS788" s="1488"/>
      <c r="AT788" s="1488"/>
      <c r="AU788" s="1488"/>
      <c r="AV788" s="1488"/>
      <c r="AW788" s="1488"/>
      <c r="AX788" s="1488"/>
      <c r="AY788" s="1488"/>
    </row>
    <row r="789" spans="3:51" s="1502" customFormat="1">
      <c r="C789" s="1498"/>
      <c r="D789" s="1501"/>
      <c r="E789" s="1500"/>
      <c r="F789" s="814"/>
      <c r="G789" s="1494"/>
      <c r="H789" s="1493"/>
      <c r="I789" s="1493"/>
      <c r="J789" s="813"/>
      <c r="K789" s="814"/>
      <c r="L789" s="1499"/>
      <c r="M789" s="1488"/>
      <c r="N789" s="1488"/>
      <c r="O789" s="1488"/>
      <c r="P789" s="1488"/>
      <c r="Q789" s="1489"/>
      <c r="R789" s="1489"/>
      <c r="S789" s="1489"/>
      <c r="T789" s="1489"/>
      <c r="U789" s="1489"/>
      <c r="V789" s="1489"/>
      <c r="W789" s="1489"/>
      <c r="X789" s="1489"/>
      <c r="Y789" s="1489"/>
      <c r="Z789" s="1489"/>
      <c r="AA789" s="1489"/>
      <c r="AB789" s="1489"/>
      <c r="AC789" s="1489"/>
      <c r="AD789" s="1489"/>
      <c r="AE789" s="1489"/>
      <c r="AF789" s="1489"/>
      <c r="AG789" s="1489"/>
      <c r="AH789" s="1489"/>
      <c r="AI789" s="1489"/>
      <c r="AJ789" s="1489"/>
      <c r="AK789" s="1489"/>
      <c r="AL789" s="1489"/>
      <c r="AM789" s="1489"/>
      <c r="AN789" s="1489"/>
      <c r="AO789" s="1489"/>
      <c r="AP789" s="1489"/>
      <c r="AQ789" s="1489"/>
      <c r="AR789" s="1488"/>
      <c r="AS789" s="1488"/>
      <c r="AT789" s="1488"/>
      <c r="AU789" s="1488"/>
      <c r="AV789" s="1488"/>
      <c r="AW789" s="1488"/>
      <c r="AX789" s="1488"/>
      <c r="AY789" s="1488"/>
    </row>
    <row r="790" spans="3:51" s="1502" customFormat="1">
      <c r="C790" s="1498"/>
      <c r="D790" s="1501"/>
      <c r="E790" s="1500"/>
      <c r="F790" s="814"/>
      <c r="G790" s="1494"/>
      <c r="H790" s="1493"/>
      <c r="I790" s="1493"/>
      <c r="J790" s="813"/>
      <c r="K790" s="814"/>
      <c r="L790" s="1499"/>
      <c r="M790" s="1488"/>
      <c r="N790" s="1488"/>
      <c r="O790" s="1488"/>
      <c r="P790" s="1488"/>
      <c r="Q790" s="1489"/>
      <c r="R790" s="1489"/>
      <c r="S790" s="1489"/>
      <c r="T790" s="1489"/>
      <c r="U790" s="1489"/>
      <c r="V790" s="1489"/>
      <c r="W790" s="1489"/>
      <c r="X790" s="1489"/>
      <c r="Y790" s="1489"/>
      <c r="Z790" s="1489"/>
      <c r="AA790" s="1489"/>
      <c r="AB790" s="1489"/>
      <c r="AC790" s="1489"/>
      <c r="AD790" s="1489"/>
      <c r="AE790" s="1489"/>
      <c r="AF790" s="1489"/>
      <c r="AG790" s="1489"/>
      <c r="AH790" s="1489"/>
      <c r="AI790" s="1489"/>
      <c r="AJ790" s="1489"/>
      <c r="AK790" s="1489"/>
      <c r="AL790" s="1489"/>
      <c r="AM790" s="1489"/>
      <c r="AN790" s="1489"/>
      <c r="AO790" s="1489"/>
      <c r="AP790" s="1489"/>
      <c r="AQ790" s="1489"/>
      <c r="AR790" s="1488"/>
      <c r="AS790" s="1488"/>
      <c r="AT790" s="1488"/>
      <c r="AU790" s="1488"/>
      <c r="AV790" s="1488"/>
      <c r="AW790" s="1488"/>
      <c r="AX790" s="1488"/>
      <c r="AY790" s="1488"/>
    </row>
    <row r="791" spans="3:51" s="1502" customFormat="1">
      <c r="C791" s="1498"/>
      <c r="D791" s="1501"/>
      <c r="E791" s="1500"/>
      <c r="F791" s="814"/>
      <c r="G791" s="1494"/>
      <c r="H791" s="1493"/>
      <c r="I791" s="1493"/>
      <c r="J791" s="813"/>
      <c r="K791" s="814"/>
      <c r="L791" s="1499"/>
      <c r="M791" s="1488"/>
      <c r="N791" s="1488"/>
      <c r="O791" s="1488"/>
      <c r="P791" s="1488"/>
      <c r="Q791" s="1489"/>
      <c r="R791" s="1489"/>
      <c r="S791" s="1489"/>
      <c r="T791" s="1489"/>
      <c r="U791" s="1489"/>
      <c r="V791" s="1489"/>
      <c r="W791" s="1489"/>
      <c r="X791" s="1489"/>
      <c r="Y791" s="1489"/>
      <c r="Z791" s="1489"/>
      <c r="AA791" s="1489"/>
      <c r="AB791" s="1489"/>
      <c r="AC791" s="1489"/>
      <c r="AD791" s="1489"/>
      <c r="AE791" s="1489"/>
      <c r="AF791" s="1489"/>
      <c r="AG791" s="1489"/>
      <c r="AH791" s="1489"/>
      <c r="AI791" s="1489"/>
      <c r="AJ791" s="1489"/>
      <c r="AK791" s="1489"/>
      <c r="AL791" s="1489"/>
      <c r="AM791" s="1489"/>
      <c r="AN791" s="1489"/>
      <c r="AO791" s="1489"/>
      <c r="AP791" s="1489"/>
      <c r="AQ791" s="1489"/>
      <c r="AR791" s="1488"/>
      <c r="AS791" s="1488"/>
      <c r="AT791" s="1488"/>
      <c r="AU791" s="1488"/>
      <c r="AV791" s="1488"/>
      <c r="AW791" s="1488"/>
      <c r="AX791" s="1488"/>
      <c r="AY791" s="1488"/>
    </row>
    <row r="792" spans="3:51" s="1502" customFormat="1">
      <c r="C792" s="1498"/>
      <c r="D792" s="1501"/>
      <c r="E792" s="1500"/>
      <c r="F792" s="814"/>
      <c r="G792" s="1494"/>
      <c r="H792" s="1493"/>
      <c r="I792" s="1493"/>
      <c r="J792" s="813"/>
      <c r="K792" s="814"/>
      <c r="L792" s="1499"/>
      <c r="M792" s="1488"/>
      <c r="N792" s="1488"/>
      <c r="O792" s="1488"/>
      <c r="P792" s="1488"/>
      <c r="Q792" s="1489"/>
      <c r="R792" s="1489"/>
      <c r="S792" s="1489"/>
      <c r="T792" s="1489"/>
      <c r="U792" s="1489"/>
      <c r="V792" s="1489"/>
      <c r="W792" s="1489"/>
      <c r="X792" s="1489"/>
      <c r="Y792" s="1489"/>
      <c r="Z792" s="1489"/>
      <c r="AA792" s="1489"/>
      <c r="AB792" s="1489"/>
      <c r="AC792" s="1489"/>
      <c r="AD792" s="1489"/>
      <c r="AE792" s="1489"/>
      <c r="AF792" s="1489"/>
      <c r="AG792" s="1489"/>
      <c r="AH792" s="1489"/>
      <c r="AI792" s="1489"/>
      <c r="AJ792" s="1489"/>
      <c r="AK792" s="1489"/>
      <c r="AL792" s="1489"/>
      <c r="AM792" s="1489"/>
      <c r="AN792" s="1489"/>
      <c r="AO792" s="1489"/>
      <c r="AP792" s="1489"/>
      <c r="AQ792" s="1489"/>
      <c r="AR792" s="1488"/>
      <c r="AS792" s="1488"/>
      <c r="AT792" s="1488"/>
      <c r="AU792" s="1488"/>
      <c r="AV792" s="1488"/>
      <c r="AW792" s="1488"/>
      <c r="AX792" s="1488"/>
      <c r="AY792" s="1488"/>
    </row>
    <row r="793" spans="3:51" s="1502" customFormat="1">
      <c r="C793" s="1498"/>
      <c r="D793" s="1501"/>
      <c r="E793" s="1500"/>
      <c r="F793" s="814"/>
      <c r="G793" s="1494"/>
      <c r="H793" s="1493"/>
      <c r="I793" s="1493"/>
      <c r="J793" s="813"/>
      <c r="K793" s="814"/>
      <c r="L793" s="1499"/>
      <c r="M793" s="1488"/>
      <c r="N793" s="1488"/>
      <c r="O793" s="1488"/>
      <c r="P793" s="1488"/>
      <c r="Q793" s="1489"/>
      <c r="R793" s="1489"/>
      <c r="S793" s="1489"/>
      <c r="T793" s="1489"/>
      <c r="U793" s="1489"/>
      <c r="V793" s="1489"/>
      <c r="W793" s="1489"/>
      <c r="X793" s="1489"/>
      <c r="Y793" s="1489"/>
      <c r="Z793" s="1489"/>
      <c r="AA793" s="1489"/>
      <c r="AB793" s="1489"/>
      <c r="AC793" s="1489"/>
      <c r="AD793" s="1489"/>
      <c r="AE793" s="1489"/>
      <c r="AF793" s="1489"/>
      <c r="AG793" s="1489"/>
      <c r="AH793" s="1489"/>
      <c r="AI793" s="1489"/>
      <c r="AJ793" s="1489"/>
      <c r="AK793" s="1489"/>
      <c r="AL793" s="1489"/>
      <c r="AM793" s="1489"/>
      <c r="AN793" s="1489"/>
      <c r="AO793" s="1489"/>
      <c r="AP793" s="1489"/>
      <c r="AQ793" s="1489"/>
      <c r="AR793" s="1488"/>
      <c r="AS793" s="1488"/>
      <c r="AT793" s="1488"/>
      <c r="AU793" s="1488"/>
      <c r="AV793" s="1488"/>
      <c r="AW793" s="1488"/>
      <c r="AX793" s="1488"/>
      <c r="AY793" s="1488"/>
    </row>
    <row r="794" spans="3:51" s="1502" customFormat="1">
      <c r="C794" s="1498"/>
      <c r="D794" s="1501"/>
      <c r="E794" s="1500"/>
      <c r="F794" s="814"/>
      <c r="G794" s="1494"/>
      <c r="H794" s="1493"/>
      <c r="I794" s="1493"/>
      <c r="J794" s="813"/>
      <c r="K794" s="814"/>
      <c r="L794" s="1499"/>
      <c r="M794" s="1488"/>
      <c r="N794" s="1488"/>
      <c r="O794" s="1488"/>
      <c r="P794" s="1488"/>
      <c r="Q794" s="1489"/>
      <c r="R794" s="1489"/>
      <c r="S794" s="1489"/>
      <c r="T794" s="1489"/>
      <c r="U794" s="1489"/>
      <c r="V794" s="1489"/>
      <c r="W794" s="1489"/>
      <c r="X794" s="1489"/>
      <c r="Y794" s="1489"/>
      <c r="Z794" s="1489"/>
      <c r="AA794" s="1489"/>
      <c r="AB794" s="1489"/>
      <c r="AC794" s="1489"/>
      <c r="AD794" s="1489"/>
      <c r="AE794" s="1489"/>
      <c r="AF794" s="1489"/>
      <c r="AG794" s="1489"/>
      <c r="AH794" s="1489"/>
      <c r="AI794" s="1489"/>
      <c r="AJ794" s="1489"/>
      <c r="AK794" s="1489"/>
      <c r="AL794" s="1489"/>
      <c r="AM794" s="1489"/>
      <c r="AN794" s="1489"/>
      <c r="AO794" s="1489"/>
      <c r="AP794" s="1489"/>
      <c r="AQ794" s="1489"/>
      <c r="AR794" s="1488"/>
      <c r="AS794" s="1488"/>
      <c r="AT794" s="1488"/>
      <c r="AU794" s="1488"/>
      <c r="AV794" s="1488"/>
      <c r="AW794" s="1488"/>
      <c r="AX794" s="1488"/>
      <c r="AY794" s="1488"/>
    </row>
    <row r="795" spans="3:51" s="1502" customFormat="1">
      <c r="C795" s="1498"/>
      <c r="D795" s="1501"/>
      <c r="E795" s="1500"/>
      <c r="F795" s="814"/>
      <c r="G795" s="1494"/>
      <c r="H795" s="1493"/>
      <c r="I795" s="1493"/>
      <c r="J795" s="813"/>
      <c r="K795" s="814"/>
      <c r="L795" s="1499"/>
      <c r="M795" s="1488"/>
      <c r="N795" s="1488"/>
      <c r="O795" s="1488"/>
      <c r="P795" s="1488"/>
      <c r="Q795" s="1489"/>
      <c r="R795" s="1489"/>
      <c r="S795" s="1489"/>
      <c r="T795" s="1489"/>
      <c r="U795" s="1489"/>
      <c r="V795" s="1489"/>
      <c r="W795" s="1489"/>
      <c r="X795" s="1489"/>
      <c r="Y795" s="1489"/>
      <c r="Z795" s="1489"/>
      <c r="AA795" s="1489"/>
      <c r="AB795" s="1489"/>
      <c r="AC795" s="1489"/>
      <c r="AD795" s="1489"/>
      <c r="AE795" s="1489"/>
      <c r="AF795" s="1489"/>
      <c r="AG795" s="1489"/>
      <c r="AH795" s="1489"/>
      <c r="AI795" s="1489"/>
      <c r="AJ795" s="1489"/>
      <c r="AK795" s="1489"/>
      <c r="AL795" s="1489"/>
      <c r="AM795" s="1489"/>
      <c r="AN795" s="1489"/>
      <c r="AO795" s="1489"/>
      <c r="AP795" s="1489"/>
      <c r="AQ795" s="1489"/>
      <c r="AR795" s="1488"/>
      <c r="AS795" s="1488"/>
      <c r="AT795" s="1488"/>
      <c r="AU795" s="1488"/>
      <c r="AV795" s="1488"/>
      <c r="AW795" s="1488"/>
      <c r="AX795" s="1488"/>
      <c r="AY795" s="1488"/>
    </row>
    <row r="796" spans="3:51" s="1502" customFormat="1">
      <c r="C796" s="1498"/>
      <c r="D796" s="1501"/>
      <c r="E796" s="1500"/>
      <c r="F796" s="814"/>
      <c r="G796" s="1494"/>
      <c r="H796" s="1493"/>
      <c r="I796" s="1493"/>
      <c r="J796" s="813"/>
      <c r="K796" s="814"/>
      <c r="L796" s="1499"/>
      <c r="M796" s="1488"/>
      <c r="N796" s="1488"/>
      <c r="O796" s="1488"/>
      <c r="P796" s="1488"/>
      <c r="Q796" s="1489"/>
      <c r="R796" s="1489"/>
      <c r="S796" s="1489"/>
      <c r="T796" s="1489"/>
      <c r="U796" s="1489"/>
      <c r="V796" s="1489"/>
      <c r="W796" s="1489"/>
      <c r="X796" s="1489"/>
      <c r="Y796" s="1489"/>
      <c r="Z796" s="1489"/>
      <c r="AA796" s="1489"/>
      <c r="AB796" s="1489"/>
      <c r="AC796" s="1489"/>
      <c r="AD796" s="1489"/>
      <c r="AE796" s="1489"/>
      <c r="AF796" s="1489"/>
      <c r="AG796" s="1489"/>
      <c r="AH796" s="1489"/>
      <c r="AI796" s="1489"/>
      <c r="AJ796" s="1489"/>
      <c r="AK796" s="1489"/>
      <c r="AL796" s="1489"/>
      <c r="AM796" s="1489"/>
      <c r="AN796" s="1489"/>
      <c r="AO796" s="1489"/>
      <c r="AP796" s="1489"/>
      <c r="AQ796" s="1489"/>
      <c r="AR796" s="1488"/>
      <c r="AS796" s="1488"/>
      <c r="AT796" s="1488"/>
      <c r="AU796" s="1488"/>
      <c r="AV796" s="1488"/>
      <c r="AW796" s="1488"/>
      <c r="AX796" s="1488"/>
      <c r="AY796" s="1488"/>
    </row>
    <row r="797" spans="3:51" s="1502" customFormat="1">
      <c r="C797" s="1498"/>
      <c r="D797" s="1501"/>
      <c r="E797" s="1500"/>
      <c r="F797" s="814"/>
      <c r="G797" s="1494"/>
      <c r="H797" s="1493"/>
      <c r="I797" s="1493"/>
      <c r="J797" s="813"/>
      <c r="K797" s="814"/>
      <c r="L797" s="1499"/>
      <c r="M797" s="1488"/>
      <c r="N797" s="1488"/>
      <c r="O797" s="1488"/>
      <c r="P797" s="1488"/>
      <c r="Q797" s="1489"/>
      <c r="R797" s="1489"/>
      <c r="S797" s="1489"/>
      <c r="T797" s="1489"/>
      <c r="U797" s="1489"/>
      <c r="V797" s="1489"/>
      <c r="W797" s="1489"/>
      <c r="X797" s="1489"/>
      <c r="Y797" s="1489"/>
      <c r="Z797" s="1489"/>
      <c r="AA797" s="1489"/>
      <c r="AB797" s="1489"/>
      <c r="AC797" s="1489"/>
      <c r="AD797" s="1489"/>
      <c r="AE797" s="1489"/>
      <c r="AF797" s="1489"/>
      <c r="AG797" s="1489"/>
      <c r="AH797" s="1489"/>
      <c r="AI797" s="1489"/>
      <c r="AJ797" s="1489"/>
      <c r="AK797" s="1489"/>
      <c r="AL797" s="1489"/>
      <c r="AM797" s="1489"/>
      <c r="AN797" s="1489"/>
      <c r="AO797" s="1489"/>
      <c r="AP797" s="1489"/>
      <c r="AQ797" s="1489"/>
      <c r="AR797" s="1488"/>
      <c r="AS797" s="1488"/>
      <c r="AT797" s="1488"/>
      <c r="AU797" s="1488"/>
      <c r="AV797" s="1488"/>
      <c r="AW797" s="1488"/>
      <c r="AX797" s="1488"/>
      <c r="AY797" s="1488"/>
    </row>
    <row r="798" spans="3:51" s="1502" customFormat="1">
      <c r="C798" s="1498"/>
      <c r="D798" s="1501"/>
      <c r="E798" s="1500"/>
      <c r="F798" s="814"/>
      <c r="G798" s="1494"/>
      <c r="H798" s="1493"/>
      <c r="I798" s="1493"/>
      <c r="J798" s="813"/>
      <c r="K798" s="814"/>
      <c r="L798" s="1499"/>
      <c r="M798" s="1488"/>
      <c r="N798" s="1488"/>
      <c r="O798" s="1488"/>
      <c r="P798" s="1488"/>
      <c r="Q798" s="1489"/>
      <c r="R798" s="1489"/>
      <c r="S798" s="1489"/>
      <c r="T798" s="1489"/>
      <c r="U798" s="1489"/>
      <c r="V798" s="1489"/>
      <c r="W798" s="1489"/>
      <c r="X798" s="1489"/>
      <c r="Y798" s="1489"/>
      <c r="Z798" s="1489"/>
      <c r="AA798" s="1489"/>
      <c r="AB798" s="1489"/>
      <c r="AC798" s="1489"/>
      <c r="AD798" s="1489"/>
      <c r="AE798" s="1489"/>
      <c r="AF798" s="1489"/>
      <c r="AG798" s="1489"/>
      <c r="AH798" s="1489"/>
      <c r="AI798" s="1489"/>
      <c r="AJ798" s="1489"/>
      <c r="AK798" s="1489"/>
      <c r="AL798" s="1489"/>
      <c r="AM798" s="1489"/>
      <c r="AN798" s="1489"/>
      <c r="AO798" s="1489"/>
      <c r="AP798" s="1489"/>
      <c r="AQ798" s="1489"/>
      <c r="AR798" s="1488"/>
      <c r="AS798" s="1488"/>
      <c r="AT798" s="1488"/>
      <c r="AU798" s="1488"/>
      <c r="AV798" s="1488"/>
      <c r="AW798" s="1488"/>
      <c r="AX798" s="1488"/>
      <c r="AY798" s="1488"/>
    </row>
    <row r="799" spans="3:51" s="1502" customFormat="1">
      <c r="C799" s="1498"/>
      <c r="D799" s="1501"/>
      <c r="E799" s="1500"/>
      <c r="F799" s="814"/>
      <c r="G799" s="1494"/>
      <c r="H799" s="1493"/>
      <c r="I799" s="1493"/>
      <c r="J799" s="813"/>
      <c r="K799" s="814"/>
      <c r="L799" s="1499"/>
      <c r="M799" s="1488"/>
      <c r="N799" s="1488"/>
      <c r="O799" s="1488"/>
      <c r="P799" s="1488"/>
      <c r="Q799" s="1489"/>
      <c r="R799" s="1489"/>
      <c r="S799" s="1489"/>
      <c r="T799" s="1489"/>
      <c r="U799" s="1489"/>
      <c r="V799" s="1489"/>
      <c r="W799" s="1489"/>
      <c r="X799" s="1489"/>
      <c r="Y799" s="1489"/>
      <c r="Z799" s="1489"/>
      <c r="AA799" s="1489"/>
      <c r="AB799" s="1489"/>
      <c r="AC799" s="1489"/>
      <c r="AD799" s="1489"/>
      <c r="AE799" s="1489"/>
      <c r="AF799" s="1489"/>
      <c r="AG799" s="1489"/>
      <c r="AH799" s="1489"/>
      <c r="AI799" s="1489"/>
      <c r="AJ799" s="1489"/>
      <c r="AK799" s="1489"/>
      <c r="AL799" s="1489"/>
      <c r="AM799" s="1489"/>
      <c r="AN799" s="1489"/>
      <c r="AO799" s="1489"/>
      <c r="AP799" s="1489"/>
      <c r="AQ799" s="1489"/>
      <c r="AR799" s="1488"/>
      <c r="AS799" s="1488"/>
      <c r="AT799" s="1488"/>
      <c r="AU799" s="1488"/>
      <c r="AV799" s="1488"/>
      <c r="AW799" s="1488"/>
      <c r="AX799" s="1488"/>
      <c r="AY799" s="1488"/>
    </row>
    <row r="800" spans="3:51" s="1502" customFormat="1">
      <c r="C800" s="1498"/>
      <c r="D800" s="1501"/>
      <c r="E800" s="1500"/>
      <c r="F800" s="814"/>
      <c r="G800" s="1494"/>
      <c r="H800" s="1493"/>
      <c r="I800" s="1493"/>
      <c r="J800" s="813"/>
      <c r="K800" s="814"/>
      <c r="L800" s="1499"/>
      <c r="M800" s="1488"/>
      <c r="N800" s="1488"/>
      <c r="O800" s="1488"/>
      <c r="P800" s="1488"/>
      <c r="Q800" s="1489"/>
      <c r="R800" s="1489"/>
      <c r="S800" s="1489"/>
      <c r="T800" s="1489"/>
      <c r="U800" s="1489"/>
      <c r="V800" s="1489"/>
      <c r="W800" s="1489"/>
      <c r="X800" s="1489"/>
      <c r="Y800" s="1489"/>
      <c r="Z800" s="1489"/>
      <c r="AA800" s="1489"/>
      <c r="AB800" s="1489"/>
      <c r="AC800" s="1489"/>
      <c r="AD800" s="1489"/>
      <c r="AE800" s="1489"/>
      <c r="AF800" s="1489"/>
      <c r="AG800" s="1489"/>
      <c r="AH800" s="1489"/>
      <c r="AI800" s="1489"/>
      <c r="AJ800" s="1489"/>
      <c r="AK800" s="1489"/>
      <c r="AL800" s="1489"/>
      <c r="AM800" s="1489"/>
      <c r="AN800" s="1489"/>
      <c r="AO800" s="1489"/>
      <c r="AP800" s="1489"/>
      <c r="AQ800" s="1489"/>
      <c r="AR800" s="1488"/>
      <c r="AS800" s="1488"/>
      <c r="AT800" s="1488"/>
      <c r="AU800" s="1488"/>
      <c r="AV800" s="1488"/>
      <c r="AW800" s="1488"/>
      <c r="AX800" s="1488"/>
      <c r="AY800" s="1488"/>
    </row>
    <row r="801" spans="3:51" s="1502" customFormat="1">
      <c r="C801" s="1498"/>
      <c r="D801" s="1501"/>
      <c r="E801" s="1500"/>
      <c r="F801" s="814"/>
      <c r="G801" s="1494"/>
      <c r="H801" s="1493"/>
      <c r="I801" s="1493"/>
      <c r="J801" s="813"/>
      <c r="K801" s="814"/>
      <c r="L801" s="1499"/>
      <c r="M801" s="1488"/>
      <c r="N801" s="1488"/>
      <c r="O801" s="1488"/>
      <c r="P801" s="1488"/>
      <c r="Q801" s="1489"/>
      <c r="R801" s="1489"/>
      <c r="S801" s="1489"/>
      <c r="T801" s="1489"/>
      <c r="U801" s="1489"/>
      <c r="V801" s="1489"/>
      <c r="W801" s="1489"/>
      <c r="X801" s="1489"/>
      <c r="Y801" s="1489"/>
      <c r="Z801" s="1489"/>
      <c r="AA801" s="1489"/>
      <c r="AB801" s="1489"/>
      <c r="AC801" s="1489"/>
      <c r="AD801" s="1489"/>
      <c r="AE801" s="1489"/>
      <c r="AF801" s="1489"/>
      <c r="AG801" s="1489"/>
      <c r="AH801" s="1489"/>
      <c r="AI801" s="1489"/>
      <c r="AJ801" s="1489"/>
      <c r="AK801" s="1489"/>
      <c r="AL801" s="1489"/>
      <c r="AM801" s="1489"/>
      <c r="AN801" s="1489"/>
      <c r="AO801" s="1489"/>
      <c r="AP801" s="1489"/>
      <c r="AQ801" s="1489"/>
      <c r="AR801" s="1488"/>
      <c r="AS801" s="1488"/>
      <c r="AT801" s="1488"/>
      <c r="AU801" s="1488"/>
      <c r="AV801" s="1488"/>
      <c r="AW801" s="1488"/>
      <c r="AX801" s="1488"/>
      <c r="AY801" s="1488"/>
    </row>
    <row r="802" spans="3:51" s="1502" customFormat="1">
      <c r="C802" s="1498"/>
      <c r="D802" s="1501"/>
      <c r="E802" s="1500"/>
      <c r="F802" s="814"/>
      <c r="G802" s="1494"/>
      <c r="H802" s="1493"/>
      <c r="I802" s="1493"/>
      <c r="J802" s="813"/>
      <c r="K802" s="814"/>
      <c r="L802" s="1499"/>
      <c r="M802" s="1488"/>
      <c r="N802" s="1488"/>
      <c r="O802" s="1488"/>
      <c r="P802" s="1488"/>
      <c r="Q802" s="1489"/>
      <c r="R802" s="1489"/>
      <c r="S802" s="1489"/>
      <c r="T802" s="1489"/>
      <c r="U802" s="1489"/>
      <c r="V802" s="1489"/>
      <c r="W802" s="1489"/>
      <c r="X802" s="1489"/>
      <c r="Y802" s="1489"/>
      <c r="Z802" s="1489"/>
      <c r="AA802" s="1489"/>
      <c r="AB802" s="1489"/>
      <c r="AC802" s="1489"/>
      <c r="AD802" s="1489"/>
      <c r="AE802" s="1489"/>
      <c r="AF802" s="1489"/>
      <c r="AG802" s="1489"/>
      <c r="AH802" s="1489"/>
      <c r="AI802" s="1489"/>
      <c r="AJ802" s="1489"/>
      <c r="AK802" s="1489"/>
      <c r="AL802" s="1489"/>
      <c r="AM802" s="1489"/>
      <c r="AN802" s="1489"/>
      <c r="AO802" s="1489"/>
      <c r="AP802" s="1489"/>
      <c r="AQ802" s="1489"/>
      <c r="AR802" s="1488"/>
      <c r="AS802" s="1488"/>
      <c r="AT802" s="1488"/>
      <c r="AU802" s="1488"/>
      <c r="AV802" s="1488"/>
      <c r="AW802" s="1488"/>
      <c r="AX802" s="1488"/>
      <c r="AY802" s="1488"/>
    </row>
    <row r="803" spans="3:51" s="1502" customFormat="1">
      <c r="C803" s="1498"/>
      <c r="D803" s="1501"/>
      <c r="E803" s="1500"/>
      <c r="F803" s="814"/>
      <c r="G803" s="1494"/>
      <c r="H803" s="1493"/>
      <c r="I803" s="1493"/>
      <c r="J803" s="813"/>
      <c r="K803" s="814"/>
      <c r="L803" s="1499"/>
      <c r="M803" s="1488"/>
      <c r="N803" s="1488"/>
      <c r="O803" s="1488"/>
      <c r="P803" s="1488"/>
      <c r="Q803" s="1489"/>
      <c r="R803" s="1489"/>
      <c r="S803" s="1489"/>
      <c r="T803" s="1489"/>
      <c r="U803" s="1489"/>
      <c r="V803" s="1489"/>
      <c r="W803" s="1489"/>
      <c r="X803" s="1489"/>
      <c r="Y803" s="1489"/>
      <c r="Z803" s="1489"/>
      <c r="AA803" s="1489"/>
      <c r="AB803" s="1489"/>
      <c r="AC803" s="1489"/>
      <c r="AD803" s="1489"/>
      <c r="AE803" s="1489"/>
      <c r="AF803" s="1489"/>
      <c r="AG803" s="1489"/>
      <c r="AH803" s="1489"/>
      <c r="AI803" s="1489"/>
      <c r="AJ803" s="1489"/>
      <c r="AK803" s="1489"/>
      <c r="AL803" s="1489"/>
      <c r="AM803" s="1489"/>
      <c r="AN803" s="1489"/>
      <c r="AO803" s="1489"/>
      <c r="AP803" s="1489"/>
      <c r="AQ803" s="1489"/>
      <c r="AR803" s="1488"/>
      <c r="AS803" s="1488"/>
      <c r="AT803" s="1488"/>
      <c r="AU803" s="1488"/>
      <c r="AV803" s="1488"/>
      <c r="AW803" s="1488"/>
      <c r="AX803" s="1488"/>
      <c r="AY803" s="1488"/>
    </row>
    <row r="804" spans="3:51" s="1502" customFormat="1">
      <c r="C804" s="1498"/>
      <c r="D804" s="1501"/>
      <c r="E804" s="1500"/>
      <c r="F804" s="814"/>
      <c r="G804" s="1494"/>
      <c r="H804" s="1493"/>
      <c r="I804" s="1493"/>
      <c r="J804" s="813"/>
      <c r="K804" s="814"/>
      <c r="L804" s="1499"/>
      <c r="M804" s="1488"/>
      <c r="N804" s="1488"/>
      <c r="O804" s="1488"/>
      <c r="P804" s="1488"/>
      <c r="Q804" s="1489"/>
      <c r="R804" s="1489"/>
      <c r="S804" s="1489"/>
      <c r="T804" s="1489"/>
      <c r="U804" s="1489"/>
      <c r="V804" s="1489"/>
      <c r="W804" s="1489"/>
      <c r="X804" s="1489"/>
      <c r="Y804" s="1489"/>
      <c r="Z804" s="1489"/>
      <c r="AA804" s="1489"/>
      <c r="AB804" s="1489"/>
      <c r="AC804" s="1489"/>
      <c r="AD804" s="1489"/>
      <c r="AE804" s="1489"/>
      <c r="AF804" s="1489"/>
      <c r="AG804" s="1489"/>
      <c r="AH804" s="1489"/>
      <c r="AI804" s="1489"/>
      <c r="AJ804" s="1489"/>
      <c r="AK804" s="1489"/>
      <c r="AL804" s="1489"/>
      <c r="AM804" s="1489"/>
      <c r="AN804" s="1489"/>
      <c r="AO804" s="1489"/>
      <c r="AP804" s="1489"/>
      <c r="AQ804" s="1489"/>
      <c r="AR804" s="1488"/>
      <c r="AS804" s="1488"/>
      <c r="AT804" s="1488"/>
      <c r="AU804" s="1488"/>
      <c r="AV804" s="1488"/>
      <c r="AW804" s="1488"/>
      <c r="AX804" s="1488"/>
      <c r="AY804" s="1488"/>
    </row>
    <row r="805" spans="3:51" s="1502" customFormat="1">
      <c r="C805" s="1498"/>
      <c r="D805" s="1501"/>
      <c r="E805" s="1500"/>
      <c r="F805" s="814"/>
      <c r="G805" s="1494"/>
      <c r="H805" s="1493"/>
      <c r="I805" s="1493"/>
      <c r="J805" s="813"/>
      <c r="K805" s="814"/>
      <c r="L805" s="1499"/>
      <c r="M805" s="1488"/>
      <c r="N805" s="1488"/>
      <c r="O805" s="1488"/>
      <c r="P805" s="1488"/>
      <c r="Q805" s="1489"/>
      <c r="R805" s="1489"/>
      <c r="S805" s="1489"/>
      <c r="T805" s="1489"/>
      <c r="U805" s="1489"/>
      <c r="V805" s="1489"/>
      <c r="W805" s="1489"/>
      <c r="X805" s="1489"/>
      <c r="Y805" s="1489"/>
      <c r="Z805" s="1489"/>
      <c r="AA805" s="1489"/>
      <c r="AB805" s="1489"/>
      <c r="AC805" s="1489"/>
      <c r="AD805" s="1489"/>
      <c r="AE805" s="1489"/>
      <c r="AF805" s="1489"/>
      <c r="AG805" s="1489"/>
      <c r="AH805" s="1489"/>
      <c r="AI805" s="1489"/>
      <c r="AJ805" s="1489"/>
      <c r="AK805" s="1489"/>
      <c r="AL805" s="1489"/>
      <c r="AM805" s="1489"/>
      <c r="AN805" s="1489"/>
      <c r="AO805" s="1489"/>
      <c r="AP805" s="1489"/>
      <c r="AQ805" s="1489"/>
      <c r="AR805" s="1488"/>
      <c r="AS805" s="1488"/>
      <c r="AT805" s="1488"/>
      <c r="AU805" s="1488"/>
      <c r="AV805" s="1488"/>
      <c r="AW805" s="1488"/>
      <c r="AX805" s="1488"/>
      <c r="AY805" s="1488"/>
    </row>
    <row r="806" spans="3:51" s="1502" customFormat="1">
      <c r="C806" s="1498"/>
      <c r="D806" s="1501"/>
      <c r="E806" s="1500"/>
      <c r="F806" s="814"/>
      <c r="G806" s="1494"/>
      <c r="H806" s="1493"/>
      <c r="I806" s="1493"/>
      <c r="J806" s="813"/>
      <c r="K806" s="814"/>
      <c r="L806" s="1499"/>
      <c r="M806" s="1488"/>
      <c r="N806" s="1488"/>
      <c r="O806" s="1488"/>
      <c r="P806" s="1488"/>
      <c r="Q806" s="1489"/>
      <c r="R806" s="1489"/>
      <c r="S806" s="1489"/>
      <c r="T806" s="1489"/>
      <c r="U806" s="1489"/>
      <c r="V806" s="1489"/>
      <c r="W806" s="1489"/>
      <c r="X806" s="1489"/>
      <c r="Y806" s="1489"/>
      <c r="Z806" s="1489"/>
      <c r="AA806" s="1489"/>
      <c r="AB806" s="1489"/>
      <c r="AC806" s="1489"/>
      <c r="AD806" s="1489"/>
      <c r="AE806" s="1489"/>
      <c r="AF806" s="1489"/>
      <c r="AG806" s="1489"/>
      <c r="AH806" s="1489"/>
      <c r="AI806" s="1489"/>
      <c r="AJ806" s="1489"/>
      <c r="AK806" s="1489"/>
      <c r="AL806" s="1489"/>
      <c r="AM806" s="1489"/>
      <c r="AN806" s="1489"/>
      <c r="AO806" s="1489"/>
      <c r="AP806" s="1489"/>
      <c r="AQ806" s="1489"/>
      <c r="AR806" s="1488"/>
      <c r="AS806" s="1488"/>
      <c r="AT806" s="1488"/>
      <c r="AU806" s="1488"/>
      <c r="AV806" s="1488"/>
      <c r="AW806" s="1488"/>
      <c r="AX806" s="1488"/>
      <c r="AY806" s="1488"/>
    </row>
    <row r="807" spans="3:51" s="1502" customFormat="1">
      <c r="C807" s="1498"/>
      <c r="D807" s="1501"/>
      <c r="E807" s="1500"/>
      <c r="F807" s="814"/>
      <c r="G807" s="1494"/>
      <c r="H807" s="1493"/>
      <c r="I807" s="1493"/>
      <c r="J807" s="813"/>
      <c r="K807" s="814"/>
      <c r="L807" s="1499"/>
      <c r="M807" s="1488"/>
      <c r="N807" s="1488"/>
      <c r="O807" s="1488"/>
      <c r="P807" s="1488"/>
      <c r="Q807" s="1489"/>
      <c r="R807" s="1489"/>
      <c r="S807" s="1489"/>
      <c r="T807" s="1489"/>
      <c r="U807" s="1489"/>
      <c r="V807" s="1489"/>
      <c r="W807" s="1489"/>
      <c r="X807" s="1489"/>
      <c r="Y807" s="1489"/>
      <c r="Z807" s="1489"/>
      <c r="AA807" s="1489"/>
      <c r="AB807" s="1489"/>
      <c r="AC807" s="1489"/>
      <c r="AD807" s="1489"/>
      <c r="AE807" s="1489"/>
      <c r="AF807" s="1489"/>
      <c r="AG807" s="1489"/>
      <c r="AH807" s="1489"/>
      <c r="AI807" s="1489"/>
      <c r="AJ807" s="1489"/>
      <c r="AK807" s="1489"/>
      <c r="AL807" s="1489"/>
      <c r="AM807" s="1489"/>
      <c r="AN807" s="1489"/>
      <c r="AO807" s="1489"/>
      <c r="AP807" s="1489"/>
      <c r="AQ807" s="1489"/>
      <c r="AR807" s="1488"/>
      <c r="AS807" s="1488"/>
      <c r="AT807" s="1488"/>
      <c r="AU807" s="1488"/>
      <c r="AV807" s="1488"/>
      <c r="AW807" s="1488"/>
      <c r="AX807" s="1488"/>
      <c r="AY807" s="1488"/>
    </row>
    <row r="808" spans="3:51" s="1502" customFormat="1">
      <c r="C808" s="1498"/>
      <c r="D808" s="1501"/>
      <c r="E808" s="1500"/>
      <c r="F808" s="814"/>
      <c r="G808" s="1494"/>
      <c r="H808" s="1493"/>
      <c r="I808" s="1493"/>
      <c r="J808" s="813"/>
      <c r="K808" s="814"/>
      <c r="L808" s="1499"/>
      <c r="M808" s="1488"/>
      <c r="N808" s="1488"/>
      <c r="O808" s="1488"/>
      <c r="P808" s="1488"/>
      <c r="Q808" s="1489"/>
      <c r="R808" s="1489"/>
      <c r="S808" s="1489"/>
      <c r="T808" s="1489"/>
      <c r="U808" s="1489"/>
      <c r="V808" s="1489"/>
      <c r="W808" s="1489"/>
      <c r="X808" s="1489"/>
      <c r="Y808" s="1489"/>
      <c r="Z808" s="1489"/>
      <c r="AA808" s="1489"/>
      <c r="AB808" s="1489"/>
      <c r="AC808" s="1489"/>
      <c r="AD808" s="1489"/>
      <c r="AE808" s="1489"/>
      <c r="AF808" s="1489"/>
      <c r="AG808" s="1489"/>
      <c r="AH808" s="1489"/>
      <c r="AI808" s="1489"/>
      <c r="AJ808" s="1489"/>
      <c r="AK808" s="1489"/>
      <c r="AL808" s="1489"/>
      <c r="AM808" s="1489"/>
      <c r="AN808" s="1489"/>
      <c r="AO808" s="1489"/>
      <c r="AP808" s="1489"/>
      <c r="AQ808" s="1489"/>
      <c r="AR808" s="1488"/>
      <c r="AS808" s="1488"/>
      <c r="AT808" s="1488"/>
      <c r="AU808" s="1488"/>
      <c r="AV808" s="1488"/>
      <c r="AW808" s="1488"/>
      <c r="AX808" s="1488"/>
      <c r="AY808" s="1488"/>
    </row>
    <row r="809" spans="3:51" s="1502" customFormat="1">
      <c r="C809" s="1498"/>
      <c r="D809" s="1501"/>
      <c r="E809" s="1500"/>
      <c r="F809" s="814"/>
      <c r="G809" s="1494"/>
      <c r="H809" s="1493"/>
      <c r="I809" s="1493"/>
      <c r="J809" s="813"/>
      <c r="K809" s="814"/>
      <c r="L809" s="1499"/>
      <c r="M809" s="1488"/>
      <c r="N809" s="1488"/>
      <c r="O809" s="1488"/>
      <c r="P809" s="1488"/>
      <c r="Q809" s="1489"/>
      <c r="R809" s="1489"/>
      <c r="S809" s="1489"/>
      <c r="T809" s="1489"/>
      <c r="U809" s="1489"/>
      <c r="V809" s="1489"/>
      <c r="W809" s="1489"/>
      <c r="X809" s="1489"/>
      <c r="Y809" s="1489"/>
      <c r="Z809" s="1489"/>
      <c r="AA809" s="1489"/>
      <c r="AB809" s="1489"/>
      <c r="AC809" s="1489"/>
      <c r="AD809" s="1489"/>
      <c r="AE809" s="1489"/>
      <c r="AF809" s="1489"/>
      <c r="AG809" s="1489"/>
      <c r="AH809" s="1489"/>
      <c r="AI809" s="1489"/>
      <c r="AJ809" s="1489"/>
      <c r="AK809" s="1489"/>
      <c r="AL809" s="1489"/>
      <c r="AM809" s="1489"/>
      <c r="AN809" s="1489"/>
      <c r="AO809" s="1489"/>
      <c r="AP809" s="1489"/>
      <c r="AQ809" s="1489"/>
      <c r="AR809" s="1488"/>
      <c r="AS809" s="1488"/>
      <c r="AT809" s="1488"/>
      <c r="AU809" s="1488"/>
      <c r="AV809" s="1488"/>
      <c r="AW809" s="1488"/>
      <c r="AX809" s="1488"/>
      <c r="AY809" s="1488"/>
    </row>
    <row r="810" spans="3:51" s="1502" customFormat="1">
      <c r="C810" s="1498"/>
      <c r="D810" s="1501"/>
      <c r="E810" s="1500"/>
      <c r="F810" s="814"/>
      <c r="G810" s="1494"/>
      <c r="H810" s="1493"/>
      <c r="I810" s="1493"/>
      <c r="J810" s="813"/>
      <c r="K810" s="814"/>
      <c r="L810" s="1499"/>
      <c r="M810" s="1488"/>
      <c r="N810" s="1488"/>
      <c r="O810" s="1488"/>
      <c r="P810" s="1488"/>
      <c r="Q810" s="1489"/>
      <c r="R810" s="1489"/>
      <c r="S810" s="1489"/>
      <c r="T810" s="1489"/>
      <c r="U810" s="1489"/>
      <c r="V810" s="1489"/>
      <c r="W810" s="1489"/>
      <c r="X810" s="1489"/>
      <c r="Y810" s="1489"/>
      <c r="Z810" s="1489"/>
      <c r="AA810" s="1489"/>
      <c r="AB810" s="1489"/>
      <c r="AC810" s="1489"/>
      <c r="AD810" s="1489"/>
      <c r="AE810" s="1489"/>
      <c r="AF810" s="1489"/>
      <c r="AG810" s="1489"/>
      <c r="AH810" s="1489"/>
      <c r="AI810" s="1489"/>
      <c r="AJ810" s="1489"/>
      <c r="AK810" s="1489"/>
      <c r="AL810" s="1489"/>
      <c r="AM810" s="1489"/>
      <c r="AN810" s="1489"/>
      <c r="AO810" s="1489"/>
      <c r="AP810" s="1489"/>
      <c r="AQ810" s="1489"/>
      <c r="AR810" s="1488"/>
      <c r="AS810" s="1488"/>
      <c r="AT810" s="1488"/>
      <c r="AU810" s="1488"/>
      <c r="AV810" s="1488"/>
      <c r="AW810" s="1488"/>
      <c r="AX810" s="1488"/>
      <c r="AY810" s="1488"/>
    </row>
    <row r="811" spans="3:51" s="1502" customFormat="1">
      <c r="C811" s="1498"/>
      <c r="D811" s="1501"/>
      <c r="E811" s="1500"/>
      <c r="F811" s="814"/>
      <c r="G811" s="1494"/>
      <c r="H811" s="1493"/>
      <c r="I811" s="1493"/>
      <c r="J811" s="813"/>
      <c r="K811" s="814"/>
      <c r="L811" s="1499"/>
      <c r="M811" s="1488"/>
      <c r="N811" s="1488"/>
      <c r="O811" s="1488"/>
      <c r="P811" s="1488"/>
      <c r="Q811" s="1489"/>
      <c r="R811" s="1489"/>
      <c r="S811" s="1489"/>
      <c r="T811" s="1489"/>
      <c r="U811" s="1489"/>
      <c r="V811" s="1489"/>
      <c r="W811" s="1489"/>
      <c r="X811" s="1489"/>
      <c r="Y811" s="1489"/>
      <c r="Z811" s="1489"/>
      <c r="AA811" s="1489"/>
      <c r="AB811" s="1489"/>
      <c r="AC811" s="1489"/>
      <c r="AD811" s="1489"/>
      <c r="AE811" s="1489"/>
      <c r="AF811" s="1489"/>
      <c r="AG811" s="1489"/>
      <c r="AH811" s="1489"/>
      <c r="AI811" s="1489"/>
      <c r="AJ811" s="1489"/>
      <c r="AK811" s="1489"/>
      <c r="AL811" s="1489"/>
      <c r="AM811" s="1489"/>
      <c r="AN811" s="1489"/>
      <c r="AO811" s="1489"/>
      <c r="AP811" s="1489"/>
      <c r="AQ811" s="1489"/>
      <c r="AR811" s="1488"/>
      <c r="AS811" s="1488"/>
      <c r="AT811" s="1488"/>
      <c r="AU811" s="1488"/>
      <c r="AV811" s="1488"/>
      <c r="AW811" s="1488"/>
      <c r="AX811" s="1488"/>
      <c r="AY811" s="1488"/>
    </row>
    <row r="812" spans="3:51" s="1502" customFormat="1">
      <c r="C812" s="1498"/>
      <c r="D812" s="1501"/>
      <c r="E812" s="1500"/>
      <c r="F812" s="814"/>
      <c r="G812" s="1494"/>
      <c r="H812" s="1493"/>
      <c r="I812" s="1493"/>
      <c r="J812" s="813"/>
      <c r="K812" s="814"/>
      <c r="L812" s="1499"/>
      <c r="M812" s="1488"/>
      <c r="N812" s="1488"/>
      <c r="O812" s="1488"/>
      <c r="P812" s="1488"/>
      <c r="Q812" s="1489"/>
      <c r="R812" s="1489"/>
      <c r="S812" s="1489"/>
      <c r="T812" s="1489"/>
      <c r="U812" s="1489"/>
      <c r="V812" s="1489"/>
      <c r="W812" s="1489"/>
      <c r="X812" s="1489"/>
      <c r="Y812" s="1489"/>
      <c r="Z812" s="1489"/>
      <c r="AA812" s="1489"/>
      <c r="AB812" s="1489"/>
      <c r="AC812" s="1489"/>
      <c r="AD812" s="1489"/>
      <c r="AE812" s="1489"/>
      <c r="AF812" s="1489"/>
      <c r="AG812" s="1489"/>
      <c r="AH812" s="1489"/>
      <c r="AI812" s="1489"/>
      <c r="AJ812" s="1489"/>
      <c r="AK812" s="1489"/>
      <c r="AL812" s="1489"/>
      <c r="AM812" s="1489"/>
      <c r="AN812" s="1489"/>
      <c r="AO812" s="1489"/>
      <c r="AP812" s="1489"/>
      <c r="AQ812" s="1489"/>
      <c r="AR812" s="1488"/>
      <c r="AS812" s="1488"/>
      <c r="AT812" s="1488"/>
      <c r="AU812" s="1488"/>
      <c r="AV812" s="1488"/>
      <c r="AW812" s="1488"/>
      <c r="AX812" s="1488"/>
      <c r="AY812" s="1488"/>
    </row>
    <row r="813" spans="3:51" s="1502" customFormat="1">
      <c r="C813" s="1498"/>
      <c r="D813" s="1501"/>
      <c r="E813" s="1500"/>
      <c r="F813" s="814"/>
      <c r="G813" s="1494"/>
      <c r="H813" s="1493"/>
      <c r="I813" s="1493"/>
      <c r="J813" s="813"/>
      <c r="K813" s="814"/>
      <c r="L813" s="1499"/>
      <c r="M813" s="1488"/>
      <c r="N813" s="1488"/>
      <c r="O813" s="1488"/>
      <c r="P813" s="1488"/>
      <c r="Q813" s="1489"/>
      <c r="R813" s="1489"/>
      <c r="S813" s="1489"/>
      <c r="T813" s="1489"/>
      <c r="U813" s="1489"/>
      <c r="V813" s="1489"/>
      <c r="W813" s="1489"/>
      <c r="X813" s="1489"/>
      <c r="Y813" s="1489"/>
      <c r="Z813" s="1489"/>
      <c r="AA813" s="1489"/>
      <c r="AB813" s="1489"/>
      <c r="AC813" s="1489"/>
      <c r="AD813" s="1489"/>
      <c r="AE813" s="1489"/>
      <c r="AF813" s="1489"/>
      <c r="AG813" s="1489"/>
      <c r="AH813" s="1489"/>
      <c r="AI813" s="1489"/>
      <c r="AJ813" s="1489"/>
      <c r="AK813" s="1489"/>
      <c r="AL813" s="1489"/>
      <c r="AM813" s="1489"/>
      <c r="AN813" s="1489"/>
      <c r="AO813" s="1489"/>
      <c r="AP813" s="1489"/>
      <c r="AQ813" s="1489"/>
      <c r="AR813" s="1488"/>
      <c r="AS813" s="1488"/>
      <c r="AT813" s="1488"/>
      <c r="AU813" s="1488"/>
      <c r="AV813" s="1488"/>
      <c r="AW813" s="1488"/>
      <c r="AX813" s="1488"/>
      <c r="AY813" s="1488"/>
    </row>
    <row r="814" spans="3:51" s="1502" customFormat="1">
      <c r="C814" s="1498"/>
      <c r="D814" s="1501"/>
      <c r="E814" s="1500"/>
      <c r="F814" s="814"/>
      <c r="G814" s="1494"/>
      <c r="H814" s="1493"/>
      <c r="I814" s="1493"/>
      <c r="J814" s="813"/>
      <c r="K814" s="814"/>
      <c r="L814" s="1499"/>
      <c r="M814" s="1488"/>
      <c r="N814" s="1488"/>
      <c r="O814" s="1488"/>
      <c r="P814" s="1488"/>
      <c r="Q814" s="1489"/>
      <c r="R814" s="1489"/>
      <c r="S814" s="1489"/>
      <c r="T814" s="1489"/>
      <c r="U814" s="1489"/>
      <c r="V814" s="1489"/>
      <c r="W814" s="1489"/>
      <c r="X814" s="1489"/>
      <c r="Y814" s="1489"/>
      <c r="Z814" s="1489"/>
      <c r="AA814" s="1489"/>
      <c r="AB814" s="1489"/>
      <c r="AC814" s="1489"/>
      <c r="AD814" s="1489"/>
      <c r="AE814" s="1489"/>
      <c r="AF814" s="1489"/>
      <c r="AG814" s="1489"/>
      <c r="AH814" s="1489"/>
      <c r="AI814" s="1489"/>
      <c r="AJ814" s="1489"/>
      <c r="AK814" s="1489"/>
      <c r="AL814" s="1489"/>
      <c r="AM814" s="1489"/>
      <c r="AN814" s="1489"/>
      <c r="AO814" s="1489"/>
      <c r="AP814" s="1489"/>
      <c r="AQ814" s="1489"/>
      <c r="AR814" s="1488"/>
      <c r="AS814" s="1488"/>
      <c r="AT814" s="1488"/>
      <c r="AU814" s="1488"/>
      <c r="AV814" s="1488"/>
      <c r="AW814" s="1488"/>
      <c r="AX814" s="1488"/>
      <c r="AY814" s="1488"/>
    </row>
    <row r="815" spans="3:51" s="1502" customFormat="1">
      <c r="C815" s="1498"/>
      <c r="D815" s="1501"/>
      <c r="E815" s="1500"/>
      <c r="F815" s="814"/>
      <c r="G815" s="1494"/>
      <c r="H815" s="1493"/>
      <c r="I815" s="1493"/>
      <c r="J815" s="813"/>
      <c r="K815" s="814"/>
      <c r="L815" s="1499"/>
      <c r="M815" s="1488"/>
      <c r="N815" s="1488"/>
      <c r="O815" s="1488"/>
      <c r="P815" s="1488"/>
      <c r="Q815" s="1489"/>
      <c r="R815" s="1489"/>
      <c r="S815" s="1489"/>
      <c r="T815" s="1489"/>
      <c r="U815" s="1489"/>
      <c r="V815" s="1489"/>
      <c r="W815" s="1489"/>
      <c r="X815" s="1489"/>
      <c r="Y815" s="1489"/>
      <c r="Z815" s="1489"/>
      <c r="AA815" s="1489"/>
      <c r="AB815" s="1489"/>
      <c r="AC815" s="1489"/>
      <c r="AD815" s="1489"/>
      <c r="AE815" s="1489"/>
      <c r="AF815" s="1489"/>
      <c r="AG815" s="1489"/>
      <c r="AH815" s="1489"/>
      <c r="AI815" s="1489"/>
      <c r="AJ815" s="1489"/>
      <c r="AK815" s="1489"/>
      <c r="AL815" s="1489"/>
      <c r="AM815" s="1489"/>
      <c r="AN815" s="1489"/>
      <c r="AO815" s="1489"/>
      <c r="AP815" s="1489"/>
      <c r="AQ815" s="1489"/>
      <c r="AR815" s="1488"/>
      <c r="AS815" s="1488"/>
      <c r="AT815" s="1488"/>
      <c r="AU815" s="1488"/>
      <c r="AV815" s="1488"/>
      <c r="AW815" s="1488"/>
      <c r="AX815" s="1488"/>
      <c r="AY815" s="1488"/>
    </row>
    <row r="816" spans="3:51" s="1502" customFormat="1">
      <c r="C816" s="1498"/>
      <c r="D816" s="1501"/>
      <c r="E816" s="1500"/>
      <c r="F816" s="814"/>
      <c r="G816" s="1494"/>
      <c r="H816" s="1493"/>
      <c r="I816" s="1493"/>
      <c r="J816" s="813"/>
      <c r="K816" s="814"/>
      <c r="L816" s="1499"/>
      <c r="M816" s="1488"/>
      <c r="N816" s="1488"/>
      <c r="O816" s="1488"/>
      <c r="P816" s="1488"/>
      <c r="Q816" s="1489"/>
      <c r="R816" s="1489"/>
      <c r="S816" s="1489"/>
      <c r="T816" s="1489"/>
      <c r="U816" s="1489"/>
      <c r="V816" s="1489"/>
      <c r="W816" s="1489"/>
      <c r="X816" s="1489"/>
      <c r="Y816" s="1489"/>
      <c r="Z816" s="1489"/>
      <c r="AA816" s="1489"/>
      <c r="AB816" s="1489"/>
      <c r="AC816" s="1489"/>
      <c r="AD816" s="1489"/>
      <c r="AE816" s="1489"/>
      <c r="AF816" s="1489"/>
      <c r="AG816" s="1489"/>
      <c r="AH816" s="1489"/>
      <c r="AI816" s="1489"/>
      <c r="AJ816" s="1489"/>
      <c r="AK816" s="1489"/>
      <c r="AL816" s="1489"/>
      <c r="AM816" s="1489"/>
      <c r="AN816" s="1489"/>
      <c r="AO816" s="1489"/>
      <c r="AP816" s="1489"/>
      <c r="AQ816" s="1489"/>
      <c r="AR816" s="1488"/>
      <c r="AS816" s="1488"/>
      <c r="AT816" s="1488"/>
      <c r="AU816" s="1488"/>
      <c r="AV816" s="1488"/>
      <c r="AW816" s="1488"/>
      <c r="AX816" s="1488"/>
      <c r="AY816" s="1488"/>
    </row>
    <row r="817" spans="3:51" s="1502" customFormat="1">
      <c r="C817" s="1498"/>
      <c r="D817" s="1501"/>
      <c r="E817" s="1500"/>
      <c r="F817" s="814"/>
      <c r="G817" s="1494"/>
      <c r="H817" s="1493"/>
      <c r="I817" s="1493"/>
      <c r="J817" s="813"/>
      <c r="K817" s="814"/>
      <c r="L817" s="1499"/>
      <c r="M817" s="1488"/>
      <c r="N817" s="1488"/>
      <c r="O817" s="1488"/>
      <c r="P817" s="1488"/>
      <c r="Q817" s="1489"/>
      <c r="R817" s="1489"/>
      <c r="S817" s="1489"/>
      <c r="T817" s="1489"/>
      <c r="U817" s="1489"/>
      <c r="V817" s="1489"/>
      <c r="W817" s="1489"/>
      <c r="X817" s="1489"/>
      <c r="Y817" s="1489"/>
      <c r="Z817" s="1489"/>
      <c r="AA817" s="1489"/>
      <c r="AB817" s="1489"/>
      <c r="AC817" s="1489"/>
      <c r="AD817" s="1489"/>
      <c r="AE817" s="1489"/>
      <c r="AF817" s="1489"/>
      <c r="AG817" s="1489"/>
      <c r="AH817" s="1489"/>
      <c r="AI817" s="1489"/>
      <c r="AJ817" s="1489"/>
      <c r="AK817" s="1489"/>
      <c r="AL817" s="1489"/>
      <c r="AM817" s="1489"/>
      <c r="AN817" s="1489"/>
      <c r="AO817" s="1489"/>
      <c r="AP817" s="1489"/>
      <c r="AQ817" s="1489"/>
      <c r="AR817" s="1488"/>
      <c r="AS817" s="1488"/>
      <c r="AT817" s="1488"/>
      <c r="AU817" s="1488"/>
      <c r="AV817" s="1488"/>
      <c r="AW817" s="1488"/>
      <c r="AX817" s="1488"/>
      <c r="AY817" s="1488"/>
    </row>
    <row r="818" spans="3:51" s="1502" customFormat="1">
      <c r="C818" s="1498"/>
      <c r="D818" s="1501"/>
      <c r="E818" s="1500"/>
      <c r="F818" s="814"/>
      <c r="G818" s="1494"/>
      <c r="H818" s="1493"/>
      <c r="I818" s="1493"/>
      <c r="J818" s="813"/>
      <c r="K818" s="814"/>
      <c r="L818" s="1499"/>
      <c r="M818" s="1488"/>
      <c r="N818" s="1488"/>
      <c r="O818" s="1488"/>
      <c r="P818" s="1488"/>
      <c r="Q818" s="1489"/>
      <c r="R818" s="1489"/>
      <c r="S818" s="1489"/>
      <c r="T818" s="1489"/>
      <c r="U818" s="1489"/>
      <c r="V818" s="1489"/>
      <c r="W818" s="1489"/>
      <c r="X818" s="1489"/>
      <c r="Y818" s="1489"/>
      <c r="Z818" s="1489"/>
      <c r="AA818" s="1489"/>
      <c r="AB818" s="1489"/>
      <c r="AC818" s="1489"/>
      <c r="AD818" s="1489"/>
      <c r="AE818" s="1489"/>
      <c r="AF818" s="1489"/>
      <c r="AG818" s="1489"/>
      <c r="AH818" s="1489"/>
      <c r="AI818" s="1489"/>
      <c r="AJ818" s="1489"/>
      <c r="AK818" s="1489"/>
      <c r="AL818" s="1489"/>
      <c r="AM818" s="1489"/>
      <c r="AN818" s="1489"/>
      <c r="AO818" s="1489"/>
      <c r="AP818" s="1489"/>
      <c r="AQ818" s="1489"/>
      <c r="AR818" s="1488"/>
      <c r="AS818" s="1488"/>
      <c r="AT818" s="1488"/>
      <c r="AU818" s="1488"/>
      <c r="AV818" s="1488"/>
      <c r="AW818" s="1488"/>
      <c r="AX818" s="1488"/>
      <c r="AY818" s="1488"/>
    </row>
    <row r="819" spans="3:51" s="1502" customFormat="1">
      <c r="C819" s="1498"/>
      <c r="D819" s="1501"/>
      <c r="E819" s="1500"/>
      <c r="F819" s="814"/>
      <c r="G819" s="1494"/>
      <c r="H819" s="1493"/>
      <c r="I819" s="1493"/>
      <c r="J819" s="813"/>
      <c r="K819" s="814"/>
      <c r="L819" s="1499"/>
      <c r="M819" s="1488"/>
      <c r="N819" s="1488"/>
      <c r="O819" s="1488"/>
      <c r="P819" s="1488"/>
      <c r="Q819" s="1489"/>
      <c r="R819" s="1489"/>
      <c r="S819" s="1489"/>
      <c r="T819" s="1489"/>
      <c r="U819" s="1489"/>
      <c r="V819" s="1489"/>
      <c r="W819" s="1489"/>
      <c r="X819" s="1489"/>
      <c r="Y819" s="1489"/>
      <c r="Z819" s="1489"/>
      <c r="AA819" s="1489"/>
      <c r="AB819" s="1489"/>
      <c r="AC819" s="1489"/>
      <c r="AD819" s="1489"/>
      <c r="AE819" s="1489"/>
      <c r="AF819" s="1489"/>
      <c r="AG819" s="1489"/>
      <c r="AH819" s="1489"/>
      <c r="AI819" s="1489"/>
      <c r="AJ819" s="1489"/>
      <c r="AK819" s="1489"/>
      <c r="AL819" s="1489"/>
      <c r="AM819" s="1489"/>
      <c r="AN819" s="1489"/>
      <c r="AO819" s="1489"/>
      <c r="AP819" s="1489"/>
      <c r="AQ819" s="1489"/>
      <c r="AR819" s="1488"/>
      <c r="AS819" s="1488"/>
      <c r="AT819" s="1488"/>
      <c r="AU819" s="1488"/>
      <c r="AV819" s="1488"/>
      <c r="AW819" s="1488"/>
      <c r="AX819" s="1488"/>
      <c r="AY819" s="1488"/>
    </row>
    <row r="820" spans="3:51" s="1502" customFormat="1">
      <c r="C820" s="1498"/>
      <c r="D820" s="1501"/>
      <c r="E820" s="1500"/>
      <c r="F820" s="814"/>
      <c r="G820" s="1494"/>
      <c r="H820" s="1493"/>
      <c r="I820" s="1493"/>
      <c r="J820" s="813"/>
      <c r="K820" s="814"/>
      <c r="L820" s="1499"/>
      <c r="M820" s="1488"/>
      <c r="N820" s="1488"/>
      <c r="O820" s="1488"/>
      <c r="P820" s="1488"/>
      <c r="Q820" s="1489"/>
      <c r="R820" s="1489"/>
      <c r="S820" s="1489"/>
      <c r="T820" s="1489"/>
      <c r="U820" s="1489"/>
      <c r="V820" s="1489"/>
      <c r="W820" s="1489"/>
      <c r="X820" s="1489"/>
      <c r="Y820" s="1489"/>
      <c r="Z820" s="1489"/>
      <c r="AA820" s="1489"/>
      <c r="AB820" s="1489"/>
      <c r="AC820" s="1489"/>
      <c r="AD820" s="1489"/>
      <c r="AE820" s="1489"/>
      <c r="AF820" s="1489"/>
      <c r="AG820" s="1489"/>
      <c r="AH820" s="1489"/>
      <c r="AI820" s="1489"/>
      <c r="AJ820" s="1489"/>
      <c r="AK820" s="1489"/>
      <c r="AL820" s="1489"/>
      <c r="AM820" s="1489"/>
      <c r="AN820" s="1489"/>
      <c r="AO820" s="1489"/>
      <c r="AP820" s="1489"/>
      <c r="AQ820" s="1489"/>
      <c r="AR820" s="1488"/>
      <c r="AS820" s="1488"/>
      <c r="AT820" s="1488"/>
      <c r="AU820" s="1488"/>
      <c r="AV820" s="1488"/>
      <c r="AW820" s="1488"/>
      <c r="AX820" s="1488"/>
      <c r="AY820" s="1488"/>
    </row>
    <row r="821" spans="3:51" s="1502" customFormat="1">
      <c r="C821" s="1498"/>
      <c r="D821" s="1501"/>
      <c r="E821" s="1500"/>
      <c r="F821" s="814"/>
      <c r="G821" s="1494"/>
      <c r="H821" s="1493"/>
      <c r="I821" s="1493"/>
      <c r="J821" s="813"/>
      <c r="K821" s="814"/>
      <c r="L821" s="1499"/>
      <c r="M821" s="1488"/>
      <c r="N821" s="1488"/>
      <c r="O821" s="1488"/>
      <c r="P821" s="1488"/>
      <c r="Q821" s="1489"/>
      <c r="R821" s="1489"/>
      <c r="S821" s="1489"/>
      <c r="T821" s="1489"/>
      <c r="U821" s="1489"/>
      <c r="V821" s="1489"/>
      <c r="W821" s="1489"/>
      <c r="X821" s="1489"/>
      <c r="Y821" s="1489"/>
      <c r="Z821" s="1489"/>
      <c r="AA821" s="1489"/>
      <c r="AB821" s="1489"/>
      <c r="AC821" s="1489"/>
      <c r="AD821" s="1489"/>
      <c r="AE821" s="1489"/>
      <c r="AF821" s="1489"/>
      <c r="AG821" s="1489"/>
      <c r="AH821" s="1489"/>
      <c r="AI821" s="1489"/>
      <c r="AJ821" s="1489"/>
      <c r="AK821" s="1489"/>
      <c r="AL821" s="1489"/>
      <c r="AM821" s="1489"/>
      <c r="AN821" s="1489"/>
      <c r="AO821" s="1489"/>
      <c r="AP821" s="1489"/>
      <c r="AQ821" s="1489"/>
      <c r="AR821" s="1488"/>
      <c r="AS821" s="1488"/>
      <c r="AT821" s="1488"/>
      <c r="AU821" s="1488"/>
      <c r="AV821" s="1488"/>
      <c r="AW821" s="1488"/>
      <c r="AX821" s="1488"/>
      <c r="AY821" s="1488"/>
    </row>
    <row r="822" spans="3:51" s="1502" customFormat="1">
      <c r="C822" s="1498"/>
      <c r="D822" s="1501"/>
      <c r="E822" s="1500"/>
      <c r="F822" s="814"/>
      <c r="G822" s="1494"/>
      <c r="H822" s="1493"/>
      <c r="I822" s="1493"/>
      <c r="J822" s="813"/>
      <c r="K822" s="814"/>
      <c r="L822" s="1499"/>
      <c r="M822" s="1488"/>
      <c r="N822" s="1488"/>
      <c r="O822" s="1488"/>
      <c r="P822" s="1488"/>
      <c r="Q822" s="1489"/>
      <c r="R822" s="1489"/>
      <c r="S822" s="1489"/>
      <c r="T822" s="1489"/>
      <c r="U822" s="1489"/>
      <c r="V822" s="1489"/>
      <c r="W822" s="1489"/>
      <c r="X822" s="1489"/>
      <c r="Y822" s="1489"/>
      <c r="Z822" s="1489"/>
      <c r="AA822" s="1489"/>
      <c r="AB822" s="1489"/>
      <c r="AC822" s="1489"/>
      <c r="AD822" s="1489"/>
      <c r="AE822" s="1489"/>
      <c r="AF822" s="1489"/>
      <c r="AG822" s="1489"/>
      <c r="AH822" s="1489"/>
      <c r="AI822" s="1489"/>
      <c r="AJ822" s="1489"/>
      <c r="AK822" s="1489"/>
      <c r="AL822" s="1489"/>
      <c r="AM822" s="1489"/>
      <c r="AN822" s="1489"/>
      <c r="AO822" s="1489"/>
      <c r="AP822" s="1489"/>
      <c r="AQ822" s="1489"/>
      <c r="AR822" s="1488"/>
      <c r="AS822" s="1488"/>
      <c r="AT822" s="1488"/>
      <c r="AU822" s="1488"/>
      <c r="AV822" s="1488"/>
      <c r="AW822" s="1488"/>
      <c r="AX822" s="1488"/>
      <c r="AY822" s="1488"/>
    </row>
    <row r="823" spans="3:51" s="1502" customFormat="1">
      <c r="C823" s="1498"/>
      <c r="D823" s="1501"/>
      <c r="E823" s="1500"/>
      <c r="F823" s="814"/>
      <c r="G823" s="1494"/>
      <c r="H823" s="1493"/>
      <c r="I823" s="1493"/>
      <c r="J823" s="813"/>
      <c r="K823" s="814"/>
      <c r="L823" s="1499"/>
      <c r="M823" s="1488"/>
      <c r="N823" s="1488"/>
      <c r="O823" s="1488"/>
      <c r="P823" s="1488"/>
      <c r="Q823" s="1489"/>
      <c r="R823" s="1489"/>
      <c r="S823" s="1489"/>
      <c r="T823" s="1489"/>
      <c r="U823" s="1489"/>
      <c r="V823" s="1489"/>
      <c r="W823" s="1489"/>
      <c r="X823" s="1489"/>
      <c r="Y823" s="1489"/>
      <c r="Z823" s="1489"/>
      <c r="AA823" s="1489"/>
      <c r="AB823" s="1489"/>
      <c r="AC823" s="1489"/>
      <c r="AD823" s="1489"/>
      <c r="AE823" s="1489"/>
      <c r="AF823" s="1489"/>
      <c r="AG823" s="1489"/>
      <c r="AH823" s="1489"/>
      <c r="AI823" s="1489"/>
      <c r="AJ823" s="1489"/>
      <c r="AK823" s="1489"/>
      <c r="AL823" s="1489"/>
      <c r="AM823" s="1489"/>
      <c r="AN823" s="1489"/>
      <c r="AO823" s="1489"/>
      <c r="AP823" s="1489"/>
      <c r="AQ823" s="1489"/>
      <c r="AR823" s="1488"/>
      <c r="AS823" s="1488"/>
      <c r="AT823" s="1488"/>
      <c r="AU823" s="1488"/>
      <c r="AV823" s="1488"/>
      <c r="AW823" s="1488"/>
      <c r="AX823" s="1488"/>
      <c r="AY823" s="1488"/>
    </row>
    <row r="824" spans="3:51" s="1502" customFormat="1">
      <c r="C824" s="1498"/>
      <c r="D824" s="1501"/>
      <c r="E824" s="1500"/>
      <c r="F824" s="814"/>
      <c r="G824" s="1494"/>
      <c r="H824" s="1493"/>
      <c r="I824" s="1493"/>
      <c r="J824" s="813"/>
      <c r="K824" s="814"/>
      <c r="L824" s="1499"/>
      <c r="M824" s="1488"/>
      <c r="N824" s="1488"/>
      <c r="O824" s="1488"/>
      <c r="P824" s="1488"/>
      <c r="Q824" s="1489"/>
      <c r="R824" s="1489"/>
      <c r="S824" s="1489"/>
      <c r="T824" s="1489"/>
      <c r="U824" s="1489"/>
      <c r="V824" s="1489"/>
      <c r="W824" s="1489"/>
      <c r="X824" s="1489"/>
      <c r="Y824" s="1489"/>
      <c r="Z824" s="1489"/>
      <c r="AA824" s="1489"/>
      <c r="AB824" s="1489"/>
      <c r="AC824" s="1489"/>
      <c r="AD824" s="1489"/>
      <c r="AE824" s="1489"/>
      <c r="AF824" s="1489"/>
      <c r="AG824" s="1489"/>
      <c r="AH824" s="1489"/>
      <c r="AI824" s="1489"/>
      <c r="AJ824" s="1489"/>
      <c r="AK824" s="1489"/>
      <c r="AL824" s="1489"/>
      <c r="AM824" s="1489"/>
      <c r="AN824" s="1489"/>
      <c r="AO824" s="1489"/>
      <c r="AP824" s="1489"/>
      <c r="AQ824" s="1489"/>
      <c r="AR824" s="1488"/>
      <c r="AS824" s="1488"/>
      <c r="AT824" s="1488"/>
      <c r="AU824" s="1488"/>
      <c r="AV824" s="1488"/>
      <c r="AW824" s="1488"/>
      <c r="AX824" s="1488"/>
      <c r="AY824" s="1488"/>
    </row>
    <row r="825" spans="3:51" s="1502" customFormat="1">
      <c r="C825" s="1498"/>
      <c r="D825" s="1501"/>
      <c r="E825" s="1500"/>
      <c r="F825" s="814"/>
      <c r="G825" s="1494"/>
      <c r="H825" s="1493"/>
      <c r="I825" s="1493"/>
      <c r="J825" s="813"/>
      <c r="K825" s="814"/>
      <c r="L825" s="1499"/>
      <c r="M825" s="1488"/>
      <c r="N825" s="1488"/>
      <c r="O825" s="1488"/>
      <c r="P825" s="1488"/>
      <c r="Q825" s="1489"/>
      <c r="R825" s="1489"/>
      <c r="S825" s="1489"/>
      <c r="T825" s="1489"/>
      <c r="U825" s="1489"/>
      <c r="V825" s="1489"/>
      <c r="W825" s="1489"/>
      <c r="X825" s="1489"/>
      <c r="Y825" s="1489"/>
      <c r="Z825" s="1489"/>
      <c r="AA825" s="1489"/>
      <c r="AB825" s="1489"/>
      <c r="AC825" s="1489"/>
      <c r="AD825" s="1489"/>
      <c r="AE825" s="1489"/>
      <c r="AF825" s="1489"/>
      <c r="AG825" s="1489"/>
      <c r="AH825" s="1489"/>
      <c r="AI825" s="1489"/>
      <c r="AJ825" s="1489"/>
      <c r="AK825" s="1489"/>
      <c r="AL825" s="1489"/>
      <c r="AM825" s="1489"/>
      <c r="AN825" s="1489"/>
      <c r="AO825" s="1489"/>
      <c r="AP825" s="1489"/>
      <c r="AQ825" s="1489"/>
      <c r="AR825" s="1488"/>
      <c r="AS825" s="1488"/>
      <c r="AT825" s="1488"/>
      <c r="AU825" s="1488"/>
      <c r="AV825" s="1488"/>
      <c r="AW825" s="1488"/>
      <c r="AX825" s="1488"/>
      <c r="AY825" s="1488"/>
    </row>
    <row r="826" spans="3:51" s="1502" customFormat="1">
      <c r="C826" s="1498"/>
      <c r="D826" s="1501"/>
      <c r="E826" s="1500"/>
      <c r="F826" s="814"/>
      <c r="G826" s="1494"/>
      <c r="H826" s="1493"/>
      <c r="I826" s="1493"/>
      <c r="J826" s="813"/>
      <c r="K826" s="814"/>
      <c r="L826" s="1499"/>
      <c r="M826" s="1488"/>
      <c r="N826" s="1488"/>
      <c r="O826" s="1488"/>
      <c r="P826" s="1488"/>
      <c r="Q826" s="1489"/>
      <c r="R826" s="1489"/>
      <c r="S826" s="1489"/>
      <c r="T826" s="1489"/>
      <c r="U826" s="1489"/>
      <c r="V826" s="1489"/>
      <c r="W826" s="1489"/>
      <c r="X826" s="1489"/>
      <c r="Y826" s="1489"/>
      <c r="Z826" s="1489"/>
      <c r="AA826" s="1489"/>
      <c r="AB826" s="1489"/>
      <c r="AC826" s="1489"/>
      <c r="AD826" s="1489"/>
      <c r="AE826" s="1489"/>
      <c r="AF826" s="1489"/>
      <c r="AG826" s="1489"/>
      <c r="AH826" s="1489"/>
      <c r="AI826" s="1489"/>
      <c r="AJ826" s="1489"/>
      <c r="AK826" s="1489"/>
      <c r="AL826" s="1489"/>
      <c r="AM826" s="1489"/>
      <c r="AN826" s="1489"/>
      <c r="AO826" s="1489"/>
      <c r="AP826" s="1489"/>
      <c r="AQ826" s="1489"/>
      <c r="AR826" s="1488"/>
      <c r="AS826" s="1488"/>
      <c r="AT826" s="1488"/>
      <c r="AU826" s="1488"/>
      <c r="AV826" s="1488"/>
      <c r="AW826" s="1488"/>
      <c r="AX826" s="1488"/>
      <c r="AY826" s="1488"/>
    </row>
    <row r="827" spans="3:51" s="1502" customFormat="1">
      <c r="C827" s="1498"/>
      <c r="D827" s="1501"/>
      <c r="E827" s="1500"/>
      <c r="F827" s="814"/>
      <c r="G827" s="1494"/>
      <c r="H827" s="1493"/>
      <c r="I827" s="1493"/>
      <c r="J827" s="813"/>
      <c r="K827" s="814"/>
      <c r="L827" s="1499"/>
      <c r="M827" s="1488"/>
      <c r="N827" s="1488"/>
      <c r="O827" s="1488"/>
      <c r="P827" s="1488"/>
      <c r="Q827" s="1489"/>
      <c r="R827" s="1489"/>
      <c r="S827" s="1489"/>
      <c r="T827" s="1489"/>
      <c r="U827" s="1489"/>
      <c r="V827" s="1489"/>
      <c r="W827" s="1489"/>
      <c r="X827" s="1489"/>
      <c r="Y827" s="1489"/>
      <c r="Z827" s="1489"/>
      <c r="AA827" s="1489"/>
      <c r="AB827" s="1489"/>
      <c r="AC827" s="1489"/>
      <c r="AD827" s="1489"/>
      <c r="AE827" s="1489"/>
      <c r="AF827" s="1489"/>
      <c r="AG827" s="1489"/>
      <c r="AH827" s="1489"/>
      <c r="AI827" s="1489"/>
      <c r="AJ827" s="1489"/>
      <c r="AK827" s="1489"/>
      <c r="AL827" s="1489"/>
      <c r="AM827" s="1489"/>
      <c r="AN827" s="1489"/>
      <c r="AO827" s="1489"/>
      <c r="AP827" s="1489"/>
      <c r="AQ827" s="1489"/>
      <c r="AR827" s="1488"/>
      <c r="AS827" s="1488"/>
      <c r="AT827" s="1488"/>
      <c r="AU827" s="1488"/>
      <c r="AV827" s="1488"/>
      <c r="AW827" s="1488"/>
      <c r="AX827" s="1488"/>
      <c r="AY827" s="1488"/>
    </row>
    <row r="828" spans="3:51" s="1502" customFormat="1">
      <c r="C828" s="1498"/>
      <c r="D828" s="1501"/>
      <c r="E828" s="1500"/>
      <c r="F828" s="814"/>
      <c r="G828" s="1494"/>
      <c r="H828" s="1493"/>
      <c r="I828" s="1493"/>
      <c r="J828" s="813"/>
      <c r="K828" s="814"/>
      <c r="L828" s="1499"/>
      <c r="M828" s="1488"/>
      <c r="N828" s="1488"/>
      <c r="O828" s="1488"/>
      <c r="P828" s="1488"/>
      <c r="Q828" s="1489"/>
      <c r="R828" s="1489"/>
      <c r="S828" s="1489"/>
      <c r="T828" s="1489"/>
      <c r="U828" s="1489"/>
      <c r="V828" s="1489"/>
      <c r="W828" s="1489"/>
      <c r="X828" s="1489"/>
      <c r="Y828" s="1489"/>
      <c r="Z828" s="1489"/>
      <c r="AA828" s="1489"/>
      <c r="AB828" s="1489"/>
      <c r="AC828" s="1489"/>
      <c r="AD828" s="1489"/>
      <c r="AE828" s="1489"/>
      <c r="AF828" s="1489"/>
      <c r="AG828" s="1489"/>
      <c r="AH828" s="1489"/>
      <c r="AI828" s="1489"/>
      <c r="AJ828" s="1489"/>
      <c r="AK828" s="1489"/>
      <c r="AL828" s="1489"/>
      <c r="AM828" s="1489"/>
      <c r="AN828" s="1489"/>
      <c r="AO828" s="1489"/>
      <c r="AP828" s="1489"/>
      <c r="AQ828" s="1489"/>
      <c r="AR828" s="1488"/>
      <c r="AS828" s="1488"/>
      <c r="AT828" s="1488"/>
      <c r="AU828" s="1488"/>
      <c r="AV828" s="1488"/>
      <c r="AW828" s="1488"/>
      <c r="AX828" s="1488"/>
      <c r="AY828" s="1488"/>
    </row>
    <row r="829" spans="3:51" s="1502" customFormat="1">
      <c r="C829" s="1498"/>
      <c r="D829" s="1501"/>
      <c r="E829" s="1500"/>
      <c r="F829" s="814"/>
      <c r="G829" s="1494"/>
      <c r="H829" s="1493"/>
      <c r="I829" s="1493"/>
      <c r="J829" s="813"/>
      <c r="K829" s="814"/>
      <c r="L829" s="1499"/>
      <c r="M829" s="1488"/>
      <c r="N829" s="1488"/>
      <c r="O829" s="1488"/>
      <c r="P829" s="1488"/>
      <c r="Q829" s="1489"/>
      <c r="R829" s="1489"/>
      <c r="S829" s="1489"/>
      <c r="T829" s="1489"/>
      <c r="U829" s="1489"/>
      <c r="V829" s="1489"/>
      <c r="W829" s="1489"/>
      <c r="X829" s="1489"/>
      <c r="Y829" s="1489"/>
      <c r="Z829" s="1489"/>
      <c r="AA829" s="1489"/>
      <c r="AB829" s="1489"/>
      <c r="AC829" s="1489"/>
      <c r="AD829" s="1489"/>
      <c r="AE829" s="1489"/>
      <c r="AF829" s="1489"/>
      <c r="AG829" s="1489"/>
      <c r="AH829" s="1489"/>
      <c r="AI829" s="1489"/>
      <c r="AJ829" s="1489"/>
      <c r="AK829" s="1489"/>
      <c r="AL829" s="1489"/>
      <c r="AM829" s="1489"/>
      <c r="AN829" s="1489"/>
      <c r="AO829" s="1489"/>
      <c r="AP829" s="1489"/>
      <c r="AQ829" s="1489"/>
      <c r="AR829" s="1488"/>
      <c r="AS829" s="1488"/>
      <c r="AT829" s="1488"/>
      <c r="AU829" s="1488"/>
      <c r="AV829" s="1488"/>
      <c r="AW829" s="1488"/>
      <c r="AX829" s="1488"/>
      <c r="AY829" s="1488"/>
    </row>
    <row r="830" spans="3:51" s="1502" customFormat="1">
      <c r="C830" s="1498"/>
      <c r="D830" s="1501"/>
      <c r="E830" s="1500"/>
      <c r="F830" s="814"/>
      <c r="G830" s="1494"/>
      <c r="H830" s="1493"/>
      <c r="I830" s="1493"/>
      <c r="J830" s="813"/>
      <c r="K830" s="814"/>
      <c r="L830" s="1499"/>
      <c r="M830" s="1488"/>
      <c r="N830" s="1488"/>
      <c r="O830" s="1488"/>
      <c r="P830" s="1488"/>
      <c r="Q830" s="1489"/>
      <c r="R830" s="1489"/>
      <c r="S830" s="1489"/>
      <c r="T830" s="1489"/>
      <c r="U830" s="1489"/>
      <c r="V830" s="1489"/>
      <c r="W830" s="1489"/>
      <c r="X830" s="1489"/>
      <c r="Y830" s="1489"/>
      <c r="Z830" s="1489"/>
      <c r="AA830" s="1489"/>
      <c r="AB830" s="1489"/>
      <c r="AC830" s="1489"/>
      <c r="AD830" s="1489"/>
      <c r="AE830" s="1489"/>
      <c r="AF830" s="1489"/>
      <c r="AG830" s="1489"/>
      <c r="AH830" s="1489"/>
      <c r="AI830" s="1489"/>
      <c r="AJ830" s="1489"/>
      <c r="AK830" s="1489"/>
      <c r="AL830" s="1489"/>
      <c r="AM830" s="1489"/>
      <c r="AN830" s="1489"/>
      <c r="AO830" s="1489"/>
      <c r="AP830" s="1489"/>
      <c r="AQ830" s="1489"/>
      <c r="AR830" s="1488"/>
      <c r="AS830" s="1488"/>
      <c r="AT830" s="1488"/>
      <c r="AU830" s="1488"/>
      <c r="AV830" s="1488"/>
      <c r="AW830" s="1488"/>
      <c r="AX830" s="1488"/>
      <c r="AY830" s="1488"/>
    </row>
    <row r="831" spans="3:51" s="1502" customFormat="1">
      <c r="C831" s="1498"/>
      <c r="D831" s="1501"/>
      <c r="E831" s="1500"/>
      <c r="F831" s="814"/>
      <c r="G831" s="1494"/>
      <c r="H831" s="1493"/>
      <c r="I831" s="1493"/>
      <c r="J831" s="813"/>
      <c r="K831" s="814"/>
      <c r="L831" s="1499"/>
      <c r="M831" s="1488"/>
      <c r="N831" s="1488"/>
      <c r="O831" s="1488"/>
      <c r="P831" s="1488"/>
      <c r="Q831" s="1489"/>
      <c r="R831" s="1489"/>
      <c r="S831" s="1489"/>
      <c r="T831" s="1489"/>
      <c r="U831" s="1489"/>
      <c r="V831" s="1489"/>
      <c r="W831" s="1489"/>
      <c r="X831" s="1489"/>
      <c r="Y831" s="1489"/>
      <c r="Z831" s="1489"/>
      <c r="AA831" s="1489"/>
      <c r="AB831" s="1489"/>
      <c r="AC831" s="1489"/>
      <c r="AD831" s="1489"/>
      <c r="AE831" s="1489"/>
      <c r="AF831" s="1489"/>
      <c r="AG831" s="1489"/>
      <c r="AH831" s="1489"/>
      <c r="AI831" s="1489"/>
      <c r="AJ831" s="1489"/>
      <c r="AK831" s="1489"/>
      <c r="AL831" s="1489"/>
      <c r="AM831" s="1489"/>
      <c r="AN831" s="1489"/>
      <c r="AO831" s="1489"/>
      <c r="AP831" s="1489"/>
      <c r="AQ831" s="1489"/>
      <c r="AR831" s="1488"/>
      <c r="AS831" s="1488"/>
      <c r="AT831" s="1488"/>
      <c r="AU831" s="1488"/>
      <c r="AV831" s="1488"/>
      <c r="AW831" s="1488"/>
      <c r="AX831" s="1488"/>
      <c r="AY831" s="1488"/>
    </row>
    <row r="832" spans="3:51" s="1502" customFormat="1">
      <c r="C832" s="1498"/>
      <c r="D832" s="1501"/>
      <c r="E832" s="1500"/>
      <c r="F832" s="814"/>
      <c r="G832" s="1494"/>
      <c r="H832" s="1493"/>
      <c r="I832" s="1493"/>
      <c r="J832" s="813"/>
      <c r="K832" s="814"/>
      <c r="L832" s="1499"/>
      <c r="M832" s="1488"/>
      <c r="N832" s="1488"/>
      <c r="O832" s="1488"/>
      <c r="P832" s="1488"/>
      <c r="Q832" s="1489"/>
      <c r="R832" s="1489"/>
      <c r="S832" s="1489"/>
      <c r="T832" s="1489"/>
      <c r="U832" s="1489"/>
      <c r="V832" s="1489"/>
      <c r="W832" s="1489"/>
      <c r="X832" s="1489"/>
      <c r="Y832" s="1489"/>
      <c r="Z832" s="1489"/>
      <c r="AA832" s="1489"/>
      <c r="AB832" s="1489"/>
      <c r="AC832" s="1489"/>
      <c r="AD832" s="1489"/>
      <c r="AE832" s="1489"/>
      <c r="AF832" s="1489"/>
      <c r="AG832" s="1489"/>
      <c r="AH832" s="1489"/>
      <c r="AI832" s="1489"/>
      <c r="AJ832" s="1489"/>
      <c r="AK832" s="1489"/>
      <c r="AL832" s="1489"/>
      <c r="AM832" s="1489"/>
      <c r="AN832" s="1489"/>
      <c r="AO832" s="1489"/>
      <c r="AP832" s="1489"/>
      <c r="AQ832" s="1489"/>
      <c r="AR832" s="1488"/>
      <c r="AS832" s="1488"/>
      <c r="AT832" s="1488"/>
      <c r="AU832" s="1488"/>
      <c r="AV832" s="1488"/>
      <c r="AW832" s="1488"/>
      <c r="AX832" s="1488"/>
      <c r="AY832" s="1488"/>
    </row>
    <row r="833" spans="3:51" s="1502" customFormat="1">
      <c r="C833" s="1498"/>
      <c r="D833" s="1501"/>
      <c r="E833" s="1500"/>
      <c r="F833" s="814"/>
      <c r="G833" s="1494"/>
      <c r="H833" s="1493"/>
      <c r="I833" s="1493"/>
      <c r="J833" s="813"/>
      <c r="K833" s="814"/>
      <c r="L833" s="1499"/>
      <c r="M833" s="1488"/>
      <c r="N833" s="1488"/>
      <c r="O833" s="1488"/>
      <c r="P833" s="1488"/>
      <c r="Q833" s="1489"/>
      <c r="R833" s="1489"/>
      <c r="S833" s="1489"/>
      <c r="T833" s="1489"/>
      <c r="U833" s="1489"/>
      <c r="V833" s="1489"/>
      <c r="W833" s="1489"/>
      <c r="X833" s="1489"/>
      <c r="Y833" s="1489"/>
      <c r="Z833" s="1489"/>
      <c r="AA833" s="1489"/>
      <c r="AB833" s="1489"/>
      <c r="AC833" s="1489"/>
      <c r="AD833" s="1489"/>
      <c r="AE833" s="1489"/>
      <c r="AF833" s="1489"/>
      <c r="AG833" s="1489"/>
      <c r="AH833" s="1489"/>
      <c r="AI833" s="1489"/>
      <c r="AJ833" s="1489"/>
      <c r="AK833" s="1489"/>
      <c r="AL833" s="1489"/>
      <c r="AM833" s="1489"/>
      <c r="AN833" s="1489"/>
      <c r="AO833" s="1489"/>
      <c r="AP833" s="1489"/>
      <c r="AQ833" s="1489"/>
      <c r="AR833" s="1488"/>
      <c r="AS833" s="1488"/>
      <c r="AT833" s="1488"/>
      <c r="AU833" s="1488"/>
      <c r="AV833" s="1488"/>
      <c r="AW833" s="1488"/>
      <c r="AX833" s="1488"/>
      <c r="AY833" s="1488"/>
    </row>
    <row r="834" spans="3:51" s="1502" customFormat="1">
      <c r="C834" s="1498"/>
      <c r="D834" s="1501"/>
      <c r="E834" s="1500"/>
      <c r="F834" s="814"/>
      <c r="G834" s="1494"/>
      <c r="H834" s="1493"/>
      <c r="I834" s="1493"/>
      <c r="J834" s="813"/>
      <c r="K834" s="814"/>
      <c r="L834" s="1499"/>
      <c r="M834" s="1488"/>
      <c r="N834" s="1488"/>
      <c r="O834" s="1488"/>
      <c r="P834" s="1488"/>
      <c r="Q834" s="1489"/>
      <c r="R834" s="1489"/>
      <c r="S834" s="1489"/>
      <c r="T834" s="1489"/>
      <c r="U834" s="1489"/>
      <c r="V834" s="1489"/>
      <c r="W834" s="1489"/>
      <c r="X834" s="1489"/>
      <c r="Y834" s="1489"/>
      <c r="Z834" s="1489"/>
      <c r="AA834" s="1489"/>
      <c r="AB834" s="1489"/>
      <c r="AC834" s="1489"/>
      <c r="AD834" s="1489"/>
      <c r="AE834" s="1489"/>
      <c r="AF834" s="1489"/>
      <c r="AG834" s="1489"/>
      <c r="AH834" s="1489"/>
      <c r="AI834" s="1489"/>
      <c r="AJ834" s="1489"/>
      <c r="AK834" s="1489"/>
      <c r="AL834" s="1489"/>
      <c r="AM834" s="1489"/>
      <c r="AN834" s="1489"/>
      <c r="AO834" s="1489"/>
      <c r="AP834" s="1489"/>
      <c r="AQ834" s="1489"/>
      <c r="AR834" s="1488"/>
      <c r="AS834" s="1488"/>
      <c r="AT834" s="1488"/>
      <c r="AU834" s="1488"/>
      <c r="AV834" s="1488"/>
      <c r="AW834" s="1488"/>
      <c r="AX834" s="1488"/>
      <c r="AY834" s="1488"/>
    </row>
    <row r="835" spans="3:51" s="1502" customFormat="1">
      <c r="C835" s="1498"/>
      <c r="D835" s="1501"/>
      <c r="E835" s="1500"/>
      <c r="F835" s="814"/>
      <c r="G835" s="1494"/>
      <c r="H835" s="1493"/>
      <c r="I835" s="1493"/>
      <c r="J835" s="813"/>
      <c r="K835" s="814"/>
      <c r="L835" s="1499"/>
      <c r="M835" s="1488"/>
      <c r="N835" s="1488"/>
      <c r="O835" s="1488"/>
      <c r="P835" s="1488"/>
      <c r="Q835" s="1489"/>
      <c r="R835" s="1489"/>
      <c r="S835" s="1489"/>
      <c r="T835" s="1489"/>
      <c r="U835" s="1489"/>
      <c r="V835" s="1489"/>
      <c r="W835" s="1489"/>
      <c r="X835" s="1489"/>
      <c r="Y835" s="1489"/>
      <c r="Z835" s="1489"/>
      <c r="AA835" s="1489"/>
      <c r="AB835" s="1489"/>
      <c r="AC835" s="1489"/>
      <c r="AD835" s="1489"/>
      <c r="AE835" s="1489"/>
      <c r="AF835" s="1489"/>
      <c r="AG835" s="1489"/>
      <c r="AH835" s="1489"/>
      <c r="AI835" s="1489"/>
      <c r="AJ835" s="1489"/>
      <c r="AK835" s="1489"/>
      <c r="AL835" s="1489"/>
      <c r="AM835" s="1489"/>
      <c r="AN835" s="1489"/>
      <c r="AO835" s="1489"/>
      <c r="AP835" s="1489"/>
      <c r="AQ835" s="1489"/>
      <c r="AR835" s="1488"/>
      <c r="AS835" s="1488"/>
      <c r="AT835" s="1488"/>
      <c r="AU835" s="1488"/>
      <c r="AV835" s="1488"/>
      <c r="AW835" s="1488"/>
      <c r="AX835" s="1488"/>
      <c r="AY835" s="1488"/>
    </row>
    <row r="836" spans="3:51" s="1502" customFormat="1">
      <c r="C836" s="1498"/>
      <c r="D836" s="1501"/>
      <c r="E836" s="1500"/>
      <c r="F836" s="814"/>
      <c r="G836" s="1494"/>
      <c r="H836" s="1493"/>
      <c r="I836" s="1493"/>
      <c r="J836" s="813"/>
      <c r="K836" s="814"/>
      <c r="L836" s="1499"/>
      <c r="M836" s="1488"/>
      <c r="N836" s="1488"/>
      <c r="O836" s="1488"/>
      <c r="P836" s="1488"/>
      <c r="Q836" s="1489"/>
      <c r="R836" s="1489"/>
      <c r="S836" s="1489"/>
      <c r="T836" s="1489"/>
      <c r="U836" s="1489"/>
      <c r="V836" s="1489"/>
      <c r="W836" s="1489"/>
      <c r="X836" s="1489"/>
      <c r="Y836" s="1489"/>
      <c r="Z836" s="1489"/>
      <c r="AA836" s="1489"/>
      <c r="AB836" s="1489"/>
      <c r="AC836" s="1489"/>
      <c r="AD836" s="1489"/>
      <c r="AE836" s="1489"/>
      <c r="AF836" s="1489"/>
      <c r="AG836" s="1489"/>
      <c r="AH836" s="1489"/>
      <c r="AI836" s="1489"/>
      <c r="AJ836" s="1489"/>
      <c r="AK836" s="1489"/>
      <c r="AL836" s="1489"/>
      <c r="AM836" s="1489"/>
      <c r="AN836" s="1489"/>
      <c r="AO836" s="1489"/>
      <c r="AP836" s="1489"/>
      <c r="AQ836" s="1489"/>
      <c r="AR836" s="1488"/>
      <c r="AS836" s="1488"/>
      <c r="AT836" s="1488"/>
      <c r="AU836" s="1488"/>
      <c r="AV836" s="1488"/>
      <c r="AW836" s="1488"/>
      <c r="AX836" s="1488"/>
      <c r="AY836" s="1488"/>
    </row>
    <row r="837" spans="3:51" s="1502" customFormat="1">
      <c r="C837" s="1498"/>
      <c r="D837" s="1501"/>
      <c r="E837" s="1500"/>
      <c r="F837" s="814"/>
      <c r="G837" s="1494"/>
      <c r="H837" s="1493"/>
      <c r="I837" s="1493"/>
      <c r="J837" s="813"/>
      <c r="K837" s="814"/>
      <c r="L837" s="1499"/>
      <c r="M837" s="1488"/>
      <c r="N837" s="1488"/>
      <c r="O837" s="1488"/>
      <c r="P837" s="1488"/>
      <c r="Q837" s="1489"/>
      <c r="R837" s="1489"/>
      <c r="S837" s="1489"/>
      <c r="T837" s="1489"/>
      <c r="U837" s="1489"/>
      <c r="V837" s="1489"/>
      <c r="W837" s="1489"/>
      <c r="X837" s="1489"/>
      <c r="Y837" s="1489"/>
      <c r="Z837" s="1489"/>
      <c r="AA837" s="1489"/>
      <c r="AB837" s="1489"/>
      <c r="AC837" s="1489"/>
      <c r="AD837" s="1489"/>
      <c r="AE837" s="1489"/>
      <c r="AF837" s="1489"/>
      <c r="AG837" s="1489"/>
      <c r="AH837" s="1489"/>
      <c r="AI837" s="1489"/>
      <c r="AJ837" s="1489"/>
      <c r="AK837" s="1489"/>
      <c r="AL837" s="1489"/>
      <c r="AM837" s="1489"/>
      <c r="AN837" s="1489"/>
      <c r="AO837" s="1489"/>
      <c r="AP837" s="1489"/>
      <c r="AQ837" s="1489"/>
      <c r="AR837" s="1488"/>
      <c r="AS837" s="1488"/>
      <c r="AT837" s="1488"/>
      <c r="AU837" s="1488"/>
      <c r="AV837" s="1488"/>
      <c r="AW837" s="1488"/>
      <c r="AX837" s="1488"/>
      <c r="AY837" s="1488"/>
    </row>
    <row r="838" spans="3:51" s="1502" customFormat="1">
      <c r="C838" s="1498"/>
      <c r="D838" s="1501"/>
      <c r="E838" s="1500"/>
      <c r="F838" s="814"/>
      <c r="G838" s="1494"/>
      <c r="H838" s="1493"/>
      <c r="I838" s="1493"/>
      <c r="J838" s="813"/>
      <c r="K838" s="814"/>
      <c r="L838" s="1499"/>
      <c r="M838" s="1488"/>
      <c r="N838" s="1488"/>
      <c r="O838" s="1488"/>
      <c r="P838" s="1488"/>
      <c r="Q838" s="1489"/>
      <c r="R838" s="1489"/>
      <c r="S838" s="1489"/>
      <c r="T838" s="1489"/>
      <c r="U838" s="1489"/>
      <c r="V838" s="1489"/>
      <c r="W838" s="1489"/>
      <c r="X838" s="1489"/>
      <c r="Y838" s="1489"/>
      <c r="Z838" s="1489"/>
      <c r="AA838" s="1489"/>
      <c r="AB838" s="1489"/>
      <c r="AC838" s="1489"/>
      <c r="AD838" s="1489"/>
      <c r="AE838" s="1489"/>
      <c r="AF838" s="1489"/>
      <c r="AG838" s="1489"/>
      <c r="AH838" s="1489"/>
      <c r="AI838" s="1489"/>
      <c r="AJ838" s="1489"/>
      <c r="AK838" s="1489"/>
      <c r="AL838" s="1489"/>
      <c r="AM838" s="1489"/>
      <c r="AN838" s="1489"/>
      <c r="AO838" s="1489"/>
      <c r="AP838" s="1489"/>
      <c r="AQ838" s="1489"/>
      <c r="AR838" s="1488"/>
      <c r="AS838" s="1488"/>
      <c r="AT838" s="1488"/>
      <c r="AU838" s="1488"/>
      <c r="AV838" s="1488"/>
      <c r="AW838" s="1488"/>
      <c r="AX838" s="1488"/>
      <c r="AY838" s="1488"/>
    </row>
    <row r="839" spans="3:51" s="1502" customFormat="1">
      <c r="C839" s="1498"/>
      <c r="D839" s="1501"/>
      <c r="E839" s="1500"/>
      <c r="F839" s="814"/>
      <c r="G839" s="1494"/>
      <c r="H839" s="1493"/>
      <c r="I839" s="1493"/>
      <c r="J839" s="813"/>
      <c r="K839" s="814"/>
      <c r="L839" s="1499"/>
      <c r="M839" s="1488"/>
      <c r="N839" s="1488"/>
      <c r="O839" s="1488"/>
      <c r="P839" s="1488"/>
      <c r="Q839" s="1489"/>
      <c r="R839" s="1489"/>
      <c r="S839" s="1489"/>
      <c r="T839" s="1489"/>
      <c r="U839" s="1489"/>
      <c r="V839" s="1489"/>
      <c r="W839" s="1489"/>
      <c r="X839" s="1489"/>
      <c r="Y839" s="1489"/>
      <c r="Z839" s="1489"/>
      <c r="AA839" s="1489"/>
      <c r="AB839" s="1489"/>
      <c r="AC839" s="1489"/>
      <c r="AD839" s="1489"/>
      <c r="AE839" s="1489"/>
      <c r="AF839" s="1489"/>
      <c r="AG839" s="1489"/>
      <c r="AH839" s="1489"/>
      <c r="AI839" s="1489"/>
      <c r="AJ839" s="1489"/>
      <c r="AK839" s="1489"/>
      <c r="AL839" s="1489"/>
      <c r="AM839" s="1489"/>
      <c r="AN839" s="1489"/>
      <c r="AO839" s="1489"/>
      <c r="AP839" s="1489"/>
      <c r="AQ839" s="1489"/>
      <c r="AR839" s="1488"/>
      <c r="AS839" s="1488"/>
      <c r="AT839" s="1488"/>
      <c r="AU839" s="1488"/>
      <c r="AV839" s="1488"/>
      <c r="AW839" s="1488"/>
      <c r="AX839" s="1488"/>
      <c r="AY839" s="1488"/>
    </row>
    <row r="840" spans="3:51" s="1502" customFormat="1">
      <c r="C840" s="1498"/>
      <c r="D840" s="1501"/>
      <c r="E840" s="1500"/>
      <c r="F840" s="814"/>
      <c r="G840" s="1494"/>
      <c r="H840" s="1493"/>
      <c r="I840" s="1493"/>
      <c r="J840" s="813"/>
      <c r="K840" s="814"/>
      <c r="L840" s="1499"/>
      <c r="M840" s="1488"/>
      <c r="N840" s="1488"/>
      <c r="O840" s="1488"/>
      <c r="P840" s="1488"/>
      <c r="Q840" s="1489"/>
      <c r="R840" s="1489"/>
      <c r="S840" s="1489"/>
      <c r="T840" s="1489"/>
      <c r="U840" s="1489"/>
      <c r="V840" s="1489"/>
      <c r="W840" s="1489"/>
      <c r="X840" s="1489"/>
      <c r="Y840" s="1489"/>
      <c r="Z840" s="1489"/>
      <c r="AA840" s="1489"/>
      <c r="AB840" s="1489"/>
      <c r="AC840" s="1489"/>
      <c r="AD840" s="1489"/>
      <c r="AE840" s="1489"/>
      <c r="AF840" s="1489"/>
      <c r="AG840" s="1489"/>
      <c r="AH840" s="1489"/>
      <c r="AI840" s="1489"/>
      <c r="AJ840" s="1489"/>
      <c r="AK840" s="1489"/>
      <c r="AL840" s="1489"/>
      <c r="AM840" s="1489"/>
      <c r="AN840" s="1489"/>
      <c r="AO840" s="1489"/>
      <c r="AP840" s="1489"/>
      <c r="AQ840" s="1489"/>
      <c r="AR840" s="1488"/>
      <c r="AS840" s="1488"/>
      <c r="AT840" s="1488"/>
      <c r="AU840" s="1488"/>
      <c r="AV840" s="1488"/>
      <c r="AW840" s="1488"/>
      <c r="AX840" s="1488"/>
      <c r="AY840" s="1488"/>
    </row>
    <row r="841" spans="3:51" s="1502" customFormat="1">
      <c r="C841" s="1498"/>
      <c r="D841" s="1501"/>
      <c r="E841" s="1500"/>
      <c r="F841" s="814"/>
      <c r="G841" s="1494"/>
      <c r="H841" s="1493"/>
      <c r="I841" s="1493"/>
      <c r="J841" s="813"/>
      <c r="K841" s="814"/>
      <c r="L841" s="1499"/>
      <c r="M841" s="1488"/>
      <c r="N841" s="1488"/>
      <c r="O841" s="1488"/>
      <c r="P841" s="1488"/>
      <c r="Q841" s="1489"/>
      <c r="R841" s="1489"/>
      <c r="S841" s="1489"/>
      <c r="T841" s="1489"/>
      <c r="U841" s="1489"/>
      <c r="V841" s="1489"/>
      <c r="W841" s="1489"/>
      <c r="X841" s="1489"/>
      <c r="Y841" s="1489"/>
      <c r="Z841" s="1489"/>
      <c r="AA841" s="1489"/>
      <c r="AB841" s="1489"/>
      <c r="AC841" s="1489"/>
      <c r="AD841" s="1489"/>
      <c r="AE841" s="1489"/>
      <c r="AF841" s="1489"/>
      <c r="AG841" s="1489"/>
      <c r="AH841" s="1489"/>
      <c r="AI841" s="1489"/>
      <c r="AJ841" s="1489"/>
      <c r="AK841" s="1489"/>
      <c r="AL841" s="1489"/>
      <c r="AM841" s="1489"/>
      <c r="AN841" s="1489"/>
      <c r="AO841" s="1489"/>
      <c r="AP841" s="1489"/>
      <c r="AQ841" s="1489"/>
      <c r="AR841" s="1488"/>
      <c r="AS841" s="1488"/>
      <c r="AT841" s="1488"/>
      <c r="AU841" s="1488"/>
      <c r="AV841" s="1488"/>
      <c r="AW841" s="1488"/>
      <c r="AX841" s="1488"/>
      <c r="AY841" s="1488"/>
    </row>
    <row r="842" spans="3:51" s="1502" customFormat="1">
      <c r="C842" s="1498"/>
      <c r="D842" s="1501"/>
      <c r="E842" s="1500"/>
      <c r="F842" s="814"/>
      <c r="G842" s="1494"/>
      <c r="H842" s="1493"/>
      <c r="I842" s="1493"/>
      <c r="J842" s="813"/>
      <c r="K842" s="814"/>
      <c r="L842" s="1499"/>
      <c r="M842" s="1488"/>
      <c r="N842" s="1488"/>
      <c r="O842" s="1488"/>
      <c r="P842" s="1488"/>
      <c r="Q842" s="1489"/>
      <c r="R842" s="1489"/>
      <c r="S842" s="1489"/>
      <c r="T842" s="1489"/>
      <c r="U842" s="1489"/>
      <c r="V842" s="1489"/>
      <c r="W842" s="1489"/>
      <c r="X842" s="1489"/>
      <c r="Y842" s="1489"/>
      <c r="Z842" s="1489"/>
      <c r="AA842" s="1489"/>
      <c r="AB842" s="1489"/>
      <c r="AC842" s="1489"/>
      <c r="AD842" s="1489"/>
      <c r="AE842" s="1489"/>
      <c r="AF842" s="1489"/>
      <c r="AG842" s="1489"/>
      <c r="AH842" s="1489"/>
      <c r="AI842" s="1489"/>
      <c r="AJ842" s="1489"/>
      <c r="AK842" s="1489"/>
      <c r="AL842" s="1489"/>
      <c r="AM842" s="1489"/>
      <c r="AN842" s="1489"/>
      <c r="AO842" s="1489"/>
      <c r="AP842" s="1489"/>
      <c r="AQ842" s="1489"/>
      <c r="AR842" s="1488"/>
      <c r="AS842" s="1488"/>
      <c r="AT842" s="1488"/>
      <c r="AU842" s="1488"/>
      <c r="AV842" s="1488"/>
      <c r="AW842" s="1488"/>
      <c r="AX842" s="1488"/>
      <c r="AY842" s="1488"/>
    </row>
    <row r="843" spans="3:51" s="1502" customFormat="1">
      <c r="C843" s="1498"/>
      <c r="D843" s="1501"/>
      <c r="E843" s="1500"/>
      <c r="F843" s="814"/>
      <c r="G843" s="1494"/>
      <c r="H843" s="1493"/>
      <c r="I843" s="1493"/>
      <c r="J843" s="813"/>
      <c r="K843" s="814"/>
      <c r="L843" s="1499"/>
      <c r="M843" s="1488"/>
      <c r="N843" s="1488"/>
      <c r="O843" s="1488"/>
      <c r="P843" s="1488"/>
      <c r="Q843" s="1489"/>
      <c r="R843" s="1489"/>
      <c r="S843" s="1489"/>
      <c r="T843" s="1489"/>
      <c r="U843" s="1489"/>
      <c r="V843" s="1489"/>
      <c r="W843" s="1489"/>
      <c r="X843" s="1489"/>
      <c r="Y843" s="1489"/>
      <c r="Z843" s="1489"/>
      <c r="AA843" s="1489"/>
      <c r="AB843" s="1489"/>
      <c r="AC843" s="1489"/>
      <c r="AD843" s="1489"/>
      <c r="AE843" s="1489"/>
      <c r="AF843" s="1489"/>
      <c r="AG843" s="1489"/>
      <c r="AH843" s="1489"/>
      <c r="AI843" s="1489"/>
      <c r="AJ843" s="1489"/>
      <c r="AK843" s="1489"/>
      <c r="AL843" s="1489"/>
      <c r="AM843" s="1489"/>
      <c r="AN843" s="1489"/>
      <c r="AO843" s="1489"/>
      <c r="AP843" s="1489"/>
      <c r="AQ843" s="1489"/>
      <c r="AR843" s="1488"/>
      <c r="AS843" s="1488"/>
      <c r="AT843" s="1488"/>
      <c r="AU843" s="1488"/>
      <c r="AV843" s="1488"/>
      <c r="AW843" s="1488"/>
      <c r="AX843" s="1488"/>
      <c r="AY843" s="1488"/>
    </row>
    <row r="844" spans="3:51" s="1502" customFormat="1">
      <c r="C844" s="1498"/>
      <c r="D844" s="1501"/>
      <c r="E844" s="1500"/>
      <c r="F844" s="814"/>
      <c r="G844" s="1494"/>
      <c r="H844" s="1493"/>
      <c r="I844" s="1493"/>
      <c r="J844" s="813"/>
      <c r="K844" s="814"/>
      <c r="L844" s="1499"/>
      <c r="M844" s="1488"/>
      <c r="N844" s="1488"/>
      <c r="O844" s="1488"/>
      <c r="P844" s="1488"/>
      <c r="Q844" s="1489"/>
      <c r="R844" s="1489"/>
      <c r="S844" s="1489"/>
      <c r="T844" s="1489"/>
      <c r="U844" s="1489"/>
      <c r="V844" s="1489"/>
      <c r="W844" s="1489"/>
      <c r="X844" s="1489"/>
      <c r="Y844" s="1489"/>
      <c r="Z844" s="1489"/>
      <c r="AA844" s="1489"/>
      <c r="AB844" s="1489"/>
      <c r="AC844" s="1489"/>
      <c r="AD844" s="1489"/>
      <c r="AE844" s="1489"/>
      <c r="AF844" s="1489"/>
      <c r="AG844" s="1489"/>
      <c r="AH844" s="1489"/>
      <c r="AI844" s="1489"/>
      <c r="AJ844" s="1489"/>
      <c r="AK844" s="1489"/>
      <c r="AL844" s="1489"/>
      <c r="AM844" s="1489"/>
      <c r="AN844" s="1489"/>
      <c r="AO844" s="1489"/>
      <c r="AP844" s="1489"/>
      <c r="AQ844" s="1489"/>
      <c r="AR844" s="1488"/>
      <c r="AS844" s="1488"/>
      <c r="AT844" s="1488"/>
      <c r="AU844" s="1488"/>
      <c r="AV844" s="1488"/>
      <c r="AW844" s="1488"/>
      <c r="AX844" s="1488"/>
      <c r="AY844" s="1488"/>
    </row>
    <row r="845" spans="3:51" s="1502" customFormat="1">
      <c r="C845" s="1498"/>
      <c r="D845" s="1501"/>
      <c r="E845" s="1500"/>
      <c r="F845" s="814"/>
      <c r="G845" s="1494"/>
      <c r="H845" s="1493"/>
      <c r="I845" s="1493"/>
      <c r="J845" s="813"/>
      <c r="K845" s="814"/>
      <c r="L845" s="1499"/>
      <c r="M845" s="1488"/>
      <c r="N845" s="1488"/>
      <c r="O845" s="1488"/>
      <c r="P845" s="1488"/>
      <c r="Q845" s="1489"/>
      <c r="R845" s="1489"/>
      <c r="S845" s="1489"/>
      <c r="T845" s="1489"/>
      <c r="U845" s="1489"/>
      <c r="V845" s="1489"/>
      <c r="W845" s="1489"/>
      <c r="X845" s="1489"/>
      <c r="Y845" s="1489"/>
      <c r="Z845" s="1489"/>
      <c r="AA845" s="1489"/>
      <c r="AB845" s="1489"/>
      <c r="AC845" s="1489"/>
      <c r="AD845" s="1489"/>
      <c r="AE845" s="1489"/>
      <c r="AF845" s="1489"/>
      <c r="AG845" s="1489"/>
      <c r="AH845" s="1489"/>
      <c r="AI845" s="1489"/>
      <c r="AJ845" s="1489"/>
      <c r="AK845" s="1489"/>
      <c r="AL845" s="1489"/>
      <c r="AM845" s="1489"/>
      <c r="AN845" s="1489"/>
      <c r="AO845" s="1489"/>
      <c r="AP845" s="1489"/>
      <c r="AQ845" s="1489"/>
      <c r="AR845" s="1488"/>
      <c r="AS845" s="1488"/>
      <c r="AT845" s="1488"/>
      <c r="AU845" s="1488"/>
      <c r="AV845" s="1488"/>
      <c r="AW845" s="1488"/>
      <c r="AX845" s="1488"/>
      <c r="AY845" s="1488"/>
    </row>
    <row r="846" spans="3:51" s="1502" customFormat="1">
      <c r="C846" s="1498"/>
      <c r="D846" s="1501"/>
      <c r="E846" s="1500"/>
      <c r="F846" s="814"/>
      <c r="G846" s="1494"/>
      <c r="H846" s="1493"/>
      <c r="I846" s="1493"/>
      <c r="J846" s="813"/>
      <c r="K846" s="814"/>
      <c r="L846" s="1499"/>
      <c r="M846" s="1488"/>
      <c r="N846" s="1488"/>
      <c r="O846" s="1488"/>
      <c r="P846" s="1488"/>
      <c r="Q846" s="1489"/>
      <c r="R846" s="1489"/>
      <c r="S846" s="1489"/>
      <c r="T846" s="1489"/>
      <c r="U846" s="1489"/>
      <c r="V846" s="1489"/>
      <c r="W846" s="1489"/>
      <c r="X846" s="1489"/>
      <c r="Y846" s="1489"/>
      <c r="Z846" s="1489"/>
      <c r="AA846" s="1489"/>
      <c r="AB846" s="1489"/>
      <c r="AC846" s="1489"/>
      <c r="AD846" s="1489"/>
      <c r="AE846" s="1489"/>
      <c r="AF846" s="1489"/>
      <c r="AG846" s="1489"/>
      <c r="AH846" s="1489"/>
      <c r="AI846" s="1489"/>
      <c r="AJ846" s="1489"/>
      <c r="AK846" s="1489"/>
      <c r="AL846" s="1489"/>
      <c r="AM846" s="1489"/>
      <c r="AN846" s="1489"/>
      <c r="AO846" s="1489"/>
      <c r="AP846" s="1489"/>
      <c r="AQ846" s="1489"/>
      <c r="AR846" s="1488"/>
      <c r="AS846" s="1488"/>
      <c r="AT846" s="1488"/>
      <c r="AU846" s="1488"/>
      <c r="AV846" s="1488"/>
      <c r="AW846" s="1488"/>
      <c r="AX846" s="1488"/>
      <c r="AY846" s="1488"/>
    </row>
    <row r="847" spans="3:51" s="1502" customFormat="1">
      <c r="C847" s="1498"/>
      <c r="D847" s="1501"/>
      <c r="E847" s="1500"/>
      <c r="F847" s="814"/>
      <c r="G847" s="1494"/>
      <c r="H847" s="1493"/>
      <c r="I847" s="1493"/>
      <c r="J847" s="813"/>
      <c r="K847" s="814"/>
      <c r="L847" s="1499"/>
      <c r="M847" s="1488"/>
      <c r="N847" s="1488"/>
      <c r="O847" s="1488"/>
      <c r="P847" s="1488"/>
      <c r="Q847" s="1489"/>
      <c r="R847" s="1489"/>
      <c r="S847" s="1489"/>
      <c r="T847" s="1489"/>
      <c r="U847" s="1489"/>
      <c r="V847" s="1489"/>
      <c r="W847" s="1489"/>
      <c r="X847" s="1489"/>
      <c r="Y847" s="1489"/>
      <c r="Z847" s="1489"/>
      <c r="AA847" s="1489"/>
      <c r="AB847" s="1489"/>
      <c r="AC847" s="1489"/>
      <c r="AD847" s="1489"/>
      <c r="AE847" s="1489"/>
      <c r="AF847" s="1489"/>
      <c r="AG847" s="1489"/>
      <c r="AH847" s="1489"/>
      <c r="AI847" s="1489"/>
      <c r="AJ847" s="1489"/>
      <c r="AK847" s="1489"/>
      <c r="AL847" s="1489"/>
      <c r="AM847" s="1489"/>
      <c r="AN847" s="1489"/>
      <c r="AO847" s="1489"/>
      <c r="AP847" s="1489"/>
      <c r="AQ847" s="1489"/>
      <c r="AR847" s="1488"/>
      <c r="AS847" s="1488"/>
      <c r="AT847" s="1488"/>
      <c r="AU847" s="1488"/>
      <c r="AV847" s="1488"/>
      <c r="AW847" s="1488"/>
      <c r="AX847" s="1488"/>
      <c r="AY847" s="1488"/>
    </row>
    <row r="848" spans="3:51" s="1502" customFormat="1">
      <c r="C848" s="1498"/>
      <c r="D848" s="1501"/>
      <c r="E848" s="1500"/>
      <c r="F848" s="814"/>
      <c r="G848" s="1494"/>
      <c r="H848" s="1493"/>
      <c r="I848" s="1493"/>
      <c r="J848" s="813"/>
      <c r="K848" s="814"/>
      <c r="L848" s="1499"/>
      <c r="M848" s="1488"/>
      <c r="N848" s="1488"/>
      <c r="O848" s="1488"/>
      <c r="P848" s="1488"/>
      <c r="Q848" s="1489"/>
      <c r="R848" s="1489"/>
      <c r="S848" s="1489"/>
      <c r="T848" s="1489"/>
      <c r="U848" s="1489"/>
      <c r="V848" s="1489"/>
      <c r="W848" s="1489"/>
      <c r="X848" s="1489"/>
      <c r="Y848" s="1489"/>
      <c r="Z848" s="1489"/>
      <c r="AA848" s="1489"/>
      <c r="AB848" s="1489"/>
      <c r="AC848" s="1489"/>
      <c r="AD848" s="1489"/>
      <c r="AE848" s="1489"/>
      <c r="AF848" s="1489"/>
      <c r="AG848" s="1489"/>
      <c r="AH848" s="1489"/>
      <c r="AI848" s="1489"/>
      <c r="AJ848" s="1489"/>
      <c r="AK848" s="1489"/>
      <c r="AL848" s="1489"/>
      <c r="AM848" s="1489"/>
      <c r="AN848" s="1489"/>
      <c r="AO848" s="1489"/>
      <c r="AP848" s="1489"/>
      <c r="AQ848" s="1489"/>
      <c r="AR848" s="1488"/>
      <c r="AS848" s="1488"/>
      <c r="AT848" s="1488"/>
      <c r="AU848" s="1488"/>
      <c r="AV848" s="1488"/>
      <c r="AW848" s="1488"/>
      <c r="AX848" s="1488"/>
      <c r="AY848" s="1488"/>
    </row>
    <row r="849" spans="3:51" s="1502" customFormat="1">
      <c r="C849" s="1498"/>
      <c r="D849" s="1501"/>
      <c r="E849" s="1500"/>
      <c r="F849" s="814"/>
      <c r="G849" s="1494"/>
      <c r="H849" s="1493"/>
      <c r="I849" s="1493"/>
      <c r="J849" s="813"/>
      <c r="K849" s="814"/>
      <c r="L849" s="1499"/>
      <c r="M849" s="1488"/>
      <c r="N849" s="1488"/>
      <c r="O849" s="1488"/>
      <c r="P849" s="1488"/>
      <c r="Q849" s="1489"/>
      <c r="R849" s="1489"/>
      <c r="S849" s="1489"/>
      <c r="T849" s="1489"/>
      <c r="U849" s="1489"/>
      <c r="V849" s="1489"/>
      <c r="W849" s="1489"/>
      <c r="X849" s="1489"/>
      <c r="Y849" s="1489"/>
      <c r="Z849" s="1489"/>
      <c r="AA849" s="1489"/>
      <c r="AB849" s="1489"/>
      <c r="AC849" s="1489"/>
      <c r="AD849" s="1489"/>
      <c r="AE849" s="1489"/>
      <c r="AF849" s="1489"/>
      <c r="AG849" s="1489"/>
      <c r="AH849" s="1489"/>
      <c r="AI849" s="1489"/>
      <c r="AJ849" s="1489"/>
      <c r="AK849" s="1489"/>
      <c r="AL849" s="1489"/>
      <c r="AM849" s="1489"/>
      <c r="AN849" s="1489"/>
      <c r="AO849" s="1489"/>
      <c r="AP849" s="1489"/>
      <c r="AQ849" s="1489"/>
      <c r="AR849" s="1488"/>
      <c r="AS849" s="1488"/>
      <c r="AT849" s="1488"/>
      <c r="AU849" s="1488"/>
      <c r="AV849" s="1488"/>
      <c r="AW849" s="1488"/>
      <c r="AX849" s="1488"/>
      <c r="AY849" s="1488"/>
    </row>
    <row r="850" spans="3:51" s="1502" customFormat="1">
      <c r="C850" s="1498"/>
      <c r="D850" s="1501"/>
      <c r="E850" s="1500"/>
      <c r="F850" s="814"/>
      <c r="G850" s="1494"/>
      <c r="H850" s="1493"/>
      <c r="I850" s="1493"/>
      <c r="J850" s="813"/>
      <c r="K850" s="814"/>
      <c r="L850" s="1499"/>
      <c r="M850" s="1488"/>
      <c r="N850" s="1488"/>
      <c r="O850" s="1488"/>
      <c r="P850" s="1488"/>
      <c r="Q850" s="1489"/>
      <c r="R850" s="1489"/>
      <c r="S850" s="1489"/>
      <c r="T850" s="1489"/>
      <c r="U850" s="1489"/>
      <c r="V850" s="1489"/>
      <c r="W850" s="1489"/>
      <c r="X850" s="1489"/>
      <c r="Y850" s="1489"/>
      <c r="Z850" s="1489"/>
      <c r="AA850" s="1489"/>
      <c r="AB850" s="1489"/>
      <c r="AC850" s="1489"/>
      <c r="AD850" s="1489"/>
      <c r="AE850" s="1489"/>
      <c r="AF850" s="1489"/>
      <c r="AG850" s="1489"/>
      <c r="AH850" s="1489"/>
      <c r="AI850" s="1489"/>
      <c r="AJ850" s="1489"/>
      <c r="AK850" s="1489"/>
      <c r="AL850" s="1489"/>
      <c r="AM850" s="1489"/>
      <c r="AN850" s="1489"/>
      <c r="AO850" s="1489"/>
      <c r="AP850" s="1489"/>
      <c r="AQ850" s="1489"/>
      <c r="AR850" s="1488"/>
      <c r="AS850" s="1488"/>
      <c r="AT850" s="1488"/>
      <c r="AU850" s="1488"/>
      <c r="AV850" s="1488"/>
      <c r="AW850" s="1488"/>
      <c r="AX850" s="1488"/>
      <c r="AY850" s="1488"/>
    </row>
    <row r="851" spans="3:51" s="1502" customFormat="1">
      <c r="C851" s="1498"/>
      <c r="D851" s="1501"/>
      <c r="E851" s="1500"/>
      <c r="F851" s="814"/>
      <c r="G851" s="1494"/>
      <c r="H851" s="1493"/>
      <c r="I851" s="1493"/>
      <c r="J851" s="813"/>
      <c r="K851" s="814"/>
      <c r="L851" s="1499"/>
      <c r="M851" s="1488"/>
      <c r="N851" s="1488"/>
      <c r="O851" s="1488"/>
      <c r="P851" s="1488"/>
      <c r="Q851" s="1489"/>
      <c r="R851" s="1489"/>
      <c r="S851" s="1489"/>
      <c r="T851" s="1489"/>
      <c r="U851" s="1489"/>
      <c r="V851" s="1489"/>
      <c r="W851" s="1489"/>
      <c r="X851" s="1489"/>
      <c r="Y851" s="1489"/>
      <c r="Z851" s="1489"/>
      <c r="AA851" s="1489"/>
      <c r="AB851" s="1489"/>
      <c r="AC851" s="1489"/>
      <c r="AD851" s="1489"/>
      <c r="AE851" s="1489"/>
      <c r="AF851" s="1489"/>
      <c r="AG851" s="1489"/>
      <c r="AH851" s="1489"/>
      <c r="AI851" s="1489"/>
      <c r="AJ851" s="1489"/>
      <c r="AK851" s="1489"/>
      <c r="AL851" s="1489"/>
      <c r="AM851" s="1489"/>
      <c r="AN851" s="1489"/>
      <c r="AO851" s="1489"/>
      <c r="AP851" s="1489"/>
      <c r="AQ851" s="1489"/>
      <c r="AR851" s="1488"/>
      <c r="AS851" s="1488"/>
      <c r="AT851" s="1488"/>
      <c r="AU851" s="1488"/>
      <c r="AV851" s="1488"/>
      <c r="AW851" s="1488"/>
      <c r="AX851" s="1488"/>
      <c r="AY851" s="1488"/>
    </row>
    <row r="852" spans="3:51" s="1502" customFormat="1">
      <c r="C852" s="1498"/>
      <c r="D852" s="1501"/>
      <c r="E852" s="1500"/>
      <c r="F852" s="814"/>
      <c r="G852" s="1494"/>
      <c r="H852" s="1493"/>
      <c r="I852" s="1493"/>
      <c r="J852" s="813"/>
      <c r="K852" s="814"/>
      <c r="L852" s="1499"/>
      <c r="M852" s="1488"/>
      <c r="N852" s="1488"/>
      <c r="O852" s="1488"/>
      <c r="P852" s="1488"/>
      <c r="Q852" s="1489"/>
      <c r="R852" s="1489"/>
      <c r="S852" s="1489"/>
      <c r="T852" s="1489"/>
      <c r="U852" s="1489"/>
      <c r="V852" s="1489"/>
      <c r="W852" s="1489"/>
      <c r="X852" s="1489"/>
      <c r="Y852" s="1489"/>
      <c r="Z852" s="1489"/>
      <c r="AA852" s="1489"/>
      <c r="AB852" s="1489"/>
      <c r="AC852" s="1489"/>
      <c r="AD852" s="1489"/>
      <c r="AE852" s="1489"/>
      <c r="AF852" s="1489"/>
      <c r="AG852" s="1489"/>
      <c r="AH852" s="1489"/>
      <c r="AI852" s="1489"/>
      <c r="AJ852" s="1489"/>
      <c r="AK852" s="1489"/>
      <c r="AL852" s="1489"/>
      <c r="AM852" s="1489"/>
      <c r="AN852" s="1489"/>
      <c r="AO852" s="1489"/>
      <c r="AP852" s="1489"/>
      <c r="AQ852" s="1489"/>
      <c r="AR852" s="1488"/>
      <c r="AS852" s="1488"/>
      <c r="AT852" s="1488"/>
      <c r="AU852" s="1488"/>
      <c r="AV852" s="1488"/>
      <c r="AW852" s="1488"/>
      <c r="AX852" s="1488"/>
      <c r="AY852" s="1488"/>
    </row>
    <row r="853" spans="3:51" s="1502" customFormat="1">
      <c r="C853" s="1498"/>
      <c r="D853" s="1501"/>
      <c r="E853" s="1500"/>
      <c r="F853" s="814"/>
      <c r="G853" s="1494"/>
      <c r="H853" s="1493"/>
      <c r="I853" s="1493"/>
      <c r="J853" s="813"/>
      <c r="K853" s="814"/>
      <c r="L853" s="1499"/>
      <c r="M853" s="1488"/>
      <c r="N853" s="1488"/>
      <c r="O853" s="1488"/>
      <c r="P853" s="1488"/>
      <c r="Q853" s="1489"/>
      <c r="R853" s="1489"/>
      <c r="S853" s="1489"/>
      <c r="T853" s="1489"/>
      <c r="U853" s="1489"/>
      <c r="V853" s="1489"/>
      <c r="W853" s="1489"/>
      <c r="X853" s="1489"/>
      <c r="Y853" s="1489"/>
      <c r="Z853" s="1489"/>
      <c r="AA853" s="1489"/>
      <c r="AB853" s="1489"/>
      <c r="AC853" s="1489"/>
      <c r="AD853" s="1489"/>
      <c r="AE853" s="1489"/>
      <c r="AF853" s="1489"/>
      <c r="AG853" s="1489"/>
      <c r="AH853" s="1489"/>
      <c r="AI853" s="1489"/>
      <c r="AJ853" s="1489"/>
      <c r="AK853" s="1489"/>
      <c r="AL853" s="1489"/>
      <c r="AM853" s="1489"/>
      <c r="AN853" s="1489"/>
      <c r="AO853" s="1489"/>
      <c r="AP853" s="1489"/>
      <c r="AQ853" s="1489"/>
      <c r="AR853" s="1488"/>
      <c r="AS853" s="1488"/>
      <c r="AT853" s="1488"/>
      <c r="AU853" s="1488"/>
      <c r="AV853" s="1488"/>
      <c r="AW853" s="1488"/>
      <c r="AX853" s="1488"/>
      <c r="AY853" s="1488"/>
    </row>
    <row r="854" spans="3:51" s="1502" customFormat="1">
      <c r="C854" s="1498"/>
      <c r="D854" s="1501"/>
      <c r="E854" s="1500"/>
      <c r="F854" s="814"/>
      <c r="G854" s="1494"/>
      <c r="H854" s="1493"/>
      <c r="I854" s="1493"/>
      <c r="J854" s="813"/>
      <c r="K854" s="814"/>
      <c r="L854" s="1499"/>
      <c r="M854" s="1488"/>
      <c r="N854" s="1488"/>
      <c r="O854" s="1488"/>
      <c r="P854" s="1488"/>
      <c r="Q854" s="1489"/>
      <c r="R854" s="1489"/>
      <c r="S854" s="1489"/>
      <c r="T854" s="1489"/>
      <c r="U854" s="1489"/>
      <c r="V854" s="1489"/>
      <c r="W854" s="1489"/>
      <c r="X854" s="1489"/>
      <c r="Y854" s="1489"/>
      <c r="Z854" s="1489"/>
      <c r="AA854" s="1489"/>
      <c r="AB854" s="1489"/>
      <c r="AC854" s="1489"/>
      <c r="AD854" s="1489"/>
      <c r="AE854" s="1489"/>
      <c r="AF854" s="1489"/>
      <c r="AG854" s="1489"/>
      <c r="AH854" s="1489"/>
      <c r="AI854" s="1489"/>
      <c r="AJ854" s="1489"/>
      <c r="AK854" s="1489"/>
      <c r="AL854" s="1489"/>
      <c r="AM854" s="1489"/>
      <c r="AN854" s="1489"/>
      <c r="AO854" s="1489"/>
      <c r="AP854" s="1489"/>
      <c r="AQ854" s="1489"/>
      <c r="AR854" s="1488"/>
      <c r="AS854" s="1488"/>
      <c r="AT854" s="1488"/>
      <c r="AU854" s="1488"/>
      <c r="AV854" s="1488"/>
      <c r="AW854" s="1488"/>
      <c r="AX854" s="1488"/>
      <c r="AY854" s="1488"/>
    </row>
    <row r="855" spans="3:51" s="1502" customFormat="1">
      <c r="C855" s="1498"/>
      <c r="D855" s="1501"/>
      <c r="E855" s="1500"/>
      <c r="F855" s="814"/>
      <c r="G855" s="1494"/>
      <c r="H855" s="1493"/>
      <c r="I855" s="1493"/>
      <c r="J855" s="813"/>
      <c r="K855" s="814"/>
      <c r="L855" s="1499"/>
      <c r="M855" s="1488"/>
      <c r="N855" s="1488"/>
      <c r="O855" s="1488"/>
      <c r="P855" s="1488"/>
      <c r="Q855" s="1489"/>
      <c r="R855" s="1489"/>
      <c r="S855" s="1489"/>
      <c r="T855" s="1489"/>
      <c r="U855" s="1489"/>
      <c r="V855" s="1489"/>
      <c r="W855" s="1489"/>
      <c r="X855" s="1489"/>
      <c r="Y855" s="1489"/>
      <c r="Z855" s="1489"/>
      <c r="AA855" s="1489"/>
      <c r="AB855" s="1489"/>
      <c r="AC855" s="1489"/>
      <c r="AD855" s="1489"/>
      <c r="AE855" s="1489"/>
      <c r="AF855" s="1489"/>
      <c r="AG855" s="1489"/>
      <c r="AH855" s="1489"/>
      <c r="AI855" s="1489"/>
      <c r="AJ855" s="1489"/>
      <c r="AK855" s="1489"/>
      <c r="AL855" s="1489"/>
      <c r="AM855" s="1489"/>
      <c r="AN855" s="1489"/>
      <c r="AO855" s="1489"/>
      <c r="AP855" s="1489"/>
      <c r="AQ855" s="1489"/>
      <c r="AR855" s="1488"/>
      <c r="AS855" s="1488"/>
      <c r="AT855" s="1488"/>
      <c r="AU855" s="1488"/>
      <c r="AV855" s="1488"/>
      <c r="AW855" s="1488"/>
      <c r="AX855" s="1488"/>
      <c r="AY855" s="1488"/>
    </row>
    <row r="856" spans="3:51" s="1502" customFormat="1">
      <c r="C856" s="1498"/>
      <c r="D856" s="1501"/>
      <c r="E856" s="1500"/>
      <c r="F856" s="814"/>
      <c r="G856" s="1494"/>
      <c r="H856" s="1493"/>
      <c r="I856" s="1493"/>
      <c r="J856" s="813"/>
      <c r="K856" s="814"/>
      <c r="L856" s="1499"/>
      <c r="M856" s="1488"/>
      <c r="N856" s="1488"/>
      <c r="O856" s="1488"/>
      <c r="P856" s="1488"/>
      <c r="Q856" s="1489"/>
      <c r="R856" s="1489"/>
      <c r="S856" s="1489"/>
      <c r="T856" s="1489"/>
      <c r="U856" s="1489"/>
      <c r="V856" s="1489"/>
      <c r="W856" s="1489"/>
      <c r="X856" s="1489"/>
      <c r="Y856" s="1489"/>
      <c r="Z856" s="1489"/>
      <c r="AA856" s="1489"/>
      <c r="AB856" s="1489"/>
      <c r="AC856" s="1489"/>
      <c r="AD856" s="1489"/>
      <c r="AE856" s="1489"/>
      <c r="AF856" s="1489"/>
      <c r="AG856" s="1489"/>
      <c r="AH856" s="1489"/>
      <c r="AI856" s="1489"/>
      <c r="AJ856" s="1489"/>
      <c r="AK856" s="1489"/>
      <c r="AL856" s="1489"/>
      <c r="AM856" s="1489"/>
      <c r="AN856" s="1489"/>
      <c r="AO856" s="1489"/>
      <c r="AP856" s="1489"/>
      <c r="AQ856" s="1489"/>
      <c r="AR856" s="1488"/>
      <c r="AS856" s="1488"/>
      <c r="AT856" s="1488"/>
      <c r="AU856" s="1488"/>
      <c r="AV856" s="1488"/>
      <c r="AW856" s="1488"/>
      <c r="AX856" s="1488"/>
      <c r="AY856" s="1488"/>
    </row>
    <row r="857" spans="3:51" s="1502" customFormat="1">
      <c r="C857" s="1498"/>
      <c r="D857" s="1501"/>
      <c r="E857" s="1500"/>
      <c r="F857" s="814"/>
      <c r="G857" s="1494"/>
      <c r="H857" s="1493"/>
      <c r="I857" s="1493"/>
      <c r="J857" s="813"/>
      <c r="K857" s="814"/>
      <c r="L857" s="1499"/>
      <c r="M857" s="1488"/>
      <c r="N857" s="1488"/>
      <c r="O857" s="1488"/>
      <c r="P857" s="1488"/>
      <c r="Q857" s="1489"/>
      <c r="R857" s="1489"/>
      <c r="S857" s="1489"/>
      <c r="T857" s="1489"/>
      <c r="U857" s="1489"/>
      <c r="V857" s="1489"/>
      <c r="W857" s="1489"/>
      <c r="X857" s="1489"/>
      <c r="Y857" s="1489"/>
      <c r="Z857" s="1489"/>
      <c r="AA857" s="1489"/>
      <c r="AB857" s="1489"/>
      <c r="AC857" s="1489"/>
      <c r="AD857" s="1489"/>
      <c r="AE857" s="1489"/>
      <c r="AF857" s="1489"/>
      <c r="AG857" s="1489"/>
      <c r="AH857" s="1489"/>
      <c r="AI857" s="1489"/>
      <c r="AJ857" s="1489"/>
      <c r="AK857" s="1489"/>
      <c r="AL857" s="1489"/>
      <c r="AM857" s="1489"/>
      <c r="AN857" s="1489"/>
      <c r="AO857" s="1489"/>
      <c r="AP857" s="1489"/>
      <c r="AQ857" s="1489"/>
      <c r="AR857" s="1488"/>
      <c r="AS857" s="1488"/>
      <c r="AT857" s="1488"/>
      <c r="AU857" s="1488"/>
      <c r="AV857" s="1488"/>
      <c r="AW857" s="1488"/>
      <c r="AX857" s="1488"/>
      <c r="AY857" s="1488"/>
    </row>
    <row r="858" spans="3:51" s="1502" customFormat="1">
      <c r="C858" s="1498"/>
      <c r="D858" s="1501"/>
      <c r="E858" s="1500"/>
      <c r="F858" s="814"/>
      <c r="G858" s="1494"/>
      <c r="H858" s="1493"/>
      <c r="I858" s="1493"/>
      <c r="J858" s="813"/>
      <c r="K858" s="814"/>
      <c r="L858" s="1499"/>
      <c r="M858" s="1488"/>
      <c r="N858" s="1488"/>
      <c r="O858" s="1488"/>
      <c r="P858" s="1488"/>
      <c r="Q858" s="1489"/>
      <c r="R858" s="1489"/>
      <c r="S858" s="1489"/>
      <c r="T858" s="1489"/>
      <c r="U858" s="1489"/>
      <c r="V858" s="1489"/>
      <c r="W858" s="1489"/>
      <c r="X858" s="1489"/>
      <c r="Y858" s="1489"/>
      <c r="Z858" s="1489"/>
      <c r="AA858" s="1489"/>
      <c r="AB858" s="1489"/>
      <c r="AC858" s="1489"/>
      <c r="AD858" s="1489"/>
      <c r="AE858" s="1489"/>
      <c r="AF858" s="1489"/>
      <c r="AG858" s="1489"/>
      <c r="AH858" s="1489"/>
      <c r="AI858" s="1489"/>
      <c r="AJ858" s="1489"/>
      <c r="AK858" s="1489"/>
      <c r="AL858" s="1489"/>
      <c r="AM858" s="1489"/>
      <c r="AN858" s="1489"/>
      <c r="AO858" s="1489"/>
      <c r="AP858" s="1489"/>
      <c r="AQ858" s="1489"/>
      <c r="AR858" s="1488"/>
      <c r="AS858" s="1488"/>
      <c r="AT858" s="1488"/>
      <c r="AU858" s="1488"/>
      <c r="AV858" s="1488"/>
      <c r="AW858" s="1488"/>
      <c r="AX858" s="1488"/>
      <c r="AY858" s="1488"/>
    </row>
    <row r="859" spans="3:51" s="1502" customFormat="1">
      <c r="C859" s="1498"/>
      <c r="D859" s="1501"/>
      <c r="E859" s="1500"/>
      <c r="F859" s="814"/>
      <c r="G859" s="1494"/>
      <c r="H859" s="1493"/>
      <c r="I859" s="1493"/>
      <c r="J859" s="813"/>
      <c r="K859" s="814"/>
      <c r="L859" s="1499"/>
      <c r="M859" s="1488"/>
      <c r="N859" s="1488"/>
      <c r="O859" s="1488"/>
      <c r="P859" s="1488"/>
      <c r="Q859" s="1489"/>
      <c r="R859" s="1489"/>
      <c r="S859" s="1489"/>
      <c r="T859" s="1489"/>
      <c r="U859" s="1489"/>
      <c r="V859" s="1489"/>
      <c r="W859" s="1489"/>
      <c r="X859" s="1489"/>
      <c r="Y859" s="1489"/>
      <c r="Z859" s="1489"/>
      <c r="AA859" s="1489"/>
      <c r="AB859" s="1489"/>
      <c r="AC859" s="1489"/>
      <c r="AD859" s="1489"/>
      <c r="AE859" s="1489"/>
      <c r="AF859" s="1489"/>
      <c r="AG859" s="1489"/>
      <c r="AH859" s="1489"/>
      <c r="AI859" s="1489"/>
      <c r="AJ859" s="1489"/>
      <c r="AK859" s="1489"/>
      <c r="AL859" s="1489"/>
      <c r="AM859" s="1489"/>
      <c r="AN859" s="1489"/>
      <c r="AO859" s="1489"/>
      <c r="AP859" s="1489"/>
      <c r="AQ859" s="1489"/>
      <c r="AR859" s="1488"/>
      <c r="AS859" s="1488"/>
      <c r="AT859" s="1488"/>
      <c r="AU859" s="1488"/>
      <c r="AV859" s="1488"/>
      <c r="AW859" s="1488"/>
      <c r="AX859" s="1488"/>
      <c r="AY859" s="1488"/>
    </row>
    <row r="860" spans="3:51" s="1502" customFormat="1">
      <c r="C860" s="1498"/>
      <c r="D860" s="1501"/>
      <c r="E860" s="1500"/>
      <c r="F860" s="814"/>
      <c r="G860" s="1494"/>
      <c r="H860" s="1493"/>
      <c r="I860" s="1493"/>
      <c r="J860" s="813"/>
      <c r="K860" s="814"/>
      <c r="L860" s="1499"/>
      <c r="M860" s="1488"/>
      <c r="N860" s="1488"/>
      <c r="O860" s="1488"/>
      <c r="P860" s="1488"/>
      <c r="Q860" s="1489"/>
      <c r="R860" s="1489"/>
      <c r="S860" s="1489"/>
      <c r="T860" s="1489"/>
      <c r="U860" s="1489"/>
      <c r="V860" s="1489"/>
      <c r="W860" s="1489"/>
      <c r="X860" s="1489"/>
      <c r="Y860" s="1489"/>
      <c r="Z860" s="1489"/>
      <c r="AA860" s="1489"/>
      <c r="AB860" s="1489"/>
      <c r="AC860" s="1489"/>
      <c r="AD860" s="1489"/>
      <c r="AE860" s="1489"/>
      <c r="AF860" s="1489"/>
      <c r="AG860" s="1489"/>
      <c r="AH860" s="1489"/>
      <c r="AI860" s="1489"/>
      <c r="AJ860" s="1489"/>
      <c r="AK860" s="1489"/>
      <c r="AL860" s="1489"/>
      <c r="AM860" s="1489"/>
      <c r="AN860" s="1489"/>
      <c r="AO860" s="1489"/>
      <c r="AP860" s="1489"/>
      <c r="AQ860" s="1489"/>
      <c r="AR860" s="1488"/>
      <c r="AS860" s="1488"/>
      <c r="AT860" s="1488"/>
      <c r="AU860" s="1488"/>
      <c r="AV860" s="1488"/>
      <c r="AW860" s="1488"/>
      <c r="AX860" s="1488"/>
      <c r="AY860" s="1488"/>
    </row>
    <row r="861" spans="3:51" s="1502" customFormat="1">
      <c r="C861" s="1498"/>
      <c r="D861" s="1501"/>
      <c r="E861" s="1500"/>
      <c r="F861" s="814"/>
      <c r="G861" s="1494"/>
      <c r="H861" s="1493"/>
      <c r="I861" s="1493"/>
      <c r="J861" s="813"/>
      <c r="K861" s="814"/>
      <c r="L861" s="1499"/>
      <c r="M861" s="1488"/>
      <c r="N861" s="1488"/>
      <c r="O861" s="1488"/>
      <c r="P861" s="1488"/>
      <c r="Q861" s="1489"/>
      <c r="R861" s="1489"/>
      <c r="S861" s="1489"/>
      <c r="T861" s="1489"/>
      <c r="U861" s="1489"/>
      <c r="V861" s="1489"/>
      <c r="W861" s="1489"/>
      <c r="X861" s="1489"/>
      <c r="Y861" s="1489"/>
      <c r="Z861" s="1489"/>
      <c r="AA861" s="1489"/>
      <c r="AB861" s="1489"/>
      <c r="AC861" s="1489"/>
      <c r="AD861" s="1489"/>
      <c r="AE861" s="1489"/>
      <c r="AF861" s="1489"/>
      <c r="AG861" s="1489"/>
      <c r="AH861" s="1489"/>
      <c r="AI861" s="1489"/>
      <c r="AJ861" s="1489"/>
      <c r="AK861" s="1489"/>
      <c r="AL861" s="1489"/>
      <c r="AM861" s="1489"/>
      <c r="AN861" s="1489"/>
      <c r="AO861" s="1489"/>
      <c r="AP861" s="1489"/>
      <c r="AQ861" s="1489"/>
      <c r="AR861" s="1488"/>
      <c r="AS861" s="1488"/>
      <c r="AT861" s="1488"/>
      <c r="AU861" s="1488"/>
      <c r="AV861" s="1488"/>
      <c r="AW861" s="1488"/>
      <c r="AX861" s="1488"/>
      <c r="AY861" s="1488"/>
    </row>
    <row r="862" spans="3:51" s="1502" customFormat="1">
      <c r="C862" s="1498"/>
      <c r="D862" s="1501"/>
      <c r="E862" s="1500"/>
      <c r="F862" s="814"/>
      <c r="G862" s="1494"/>
      <c r="H862" s="1493"/>
      <c r="I862" s="1493"/>
      <c r="J862" s="813"/>
      <c r="K862" s="814"/>
      <c r="L862" s="1499"/>
      <c r="M862" s="1488"/>
      <c r="N862" s="1488"/>
      <c r="O862" s="1488"/>
      <c r="P862" s="1488"/>
      <c r="Q862" s="1489"/>
      <c r="R862" s="1489"/>
      <c r="S862" s="1489"/>
      <c r="T862" s="1489"/>
      <c r="U862" s="1489"/>
      <c r="V862" s="1489"/>
      <c r="W862" s="1489"/>
      <c r="X862" s="1489"/>
      <c r="Y862" s="1489"/>
      <c r="Z862" s="1489"/>
      <c r="AA862" s="1489"/>
      <c r="AB862" s="1489"/>
      <c r="AC862" s="1489"/>
      <c r="AD862" s="1489"/>
      <c r="AE862" s="1489"/>
      <c r="AF862" s="1489"/>
      <c r="AG862" s="1489"/>
      <c r="AH862" s="1489"/>
      <c r="AI862" s="1489"/>
      <c r="AJ862" s="1489"/>
      <c r="AK862" s="1489"/>
      <c r="AL862" s="1489"/>
      <c r="AM862" s="1489"/>
      <c r="AN862" s="1489"/>
      <c r="AO862" s="1489"/>
      <c r="AP862" s="1489"/>
      <c r="AQ862" s="1489"/>
      <c r="AR862" s="1488"/>
      <c r="AS862" s="1488"/>
      <c r="AT862" s="1488"/>
      <c r="AU862" s="1488"/>
      <c r="AV862" s="1488"/>
      <c r="AW862" s="1488"/>
      <c r="AX862" s="1488"/>
      <c r="AY862" s="1488"/>
    </row>
    <row r="863" spans="3:51" s="1502" customFormat="1">
      <c r="C863" s="1498"/>
      <c r="D863" s="1501"/>
      <c r="E863" s="1500"/>
      <c r="F863" s="814"/>
      <c r="G863" s="1494"/>
      <c r="H863" s="1493"/>
      <c r="I863" s="1493"/>
      <c r="J863" s="813"/>
      <c r="K863" s="814"/>
      <c r="L863" s="1499"/>
      <c r="M863" s="1488"/>
      <c r="N863" s="1488"/>
      <c r="O863" s="1488"/>
      <c r="P863" s="1488"/>
      <c r="Q863" s="1489"/>
      <c r="R863" s="1489"/>
      <c r="S863" s="1489"/>
      <c r="T863" s="1489"/>
      <c r="U863" s="1489"/>
      <c r="V863" s="1489"/>
      <c r="W863" s="1489"/>
      <c r="X863" s="1489"/>
      <c r="Y863" s="1489"/>
      <c r="Z863" s="1489"/>
      <c r="AA863" s="1489"/>
      <c r="AB863" s="1489"/>
      <c r="AC863" s="1489"/>
      <c r="AD863" s="1489"/>
      <c r="AE863" s="1489"/>
      <c r="AF863" s="1489"/>
      <c r="AG863" s="1489"/>
      <c r="AH863" s="1489"/>
      <c r="AI863" s="1489"/>
      <c r="AJ863" s="1489"/>
      <c r="AK863" s="1489"/>
      <c r="AL863" s="1489"/>
      <c r="AM863" s="1489"/>
      <c r="AN863" s="1489"/>
      <c r="AO863" s="1489"/>
      <c r="AP863" s="1489"/>
      <c r="AQ863" s="1489"/>
      <c r="AR863" s="1488"/>
      <c r="AS863" s="1488"/>
      <c r="AT863" s="1488"/>
      <c r="AU863" s="1488"/>
      <c r="AV863" s="1488"/>
      <c r="AW863" s="1488"/>
      <c r="AX863" s="1488"/>
      <c r="AY863" s="1488"/>
    </row>
    <row r="864" spans="3:51" s="1502" customFormat="1">
      <c r="C864" s="1498"/>
      <c r="D864" s="1501"/>
      <c r="E864" s="1500"/>
      <c r="F864" s="814"/>
      <c r="G864" s="1494"/>
      <c r="H864" s="1493"/>
      <c r="I864" s="1493"/>
      <c r="J864" s="813"/>
      <c r="K864" s="814"/>
      <c r="L864" s="1499"/>
      <c r="M864" s="1488"/>
      <c r="N864" s="1488"/>
      <c r="O864" s="1488"/>
      <c r="P864" s="1488"/>
      <c r="Q864" s="1489"/>
      <c r="R864" s="1489"/>
      <c r="S864" s="1489"/>
      <c r="T864" s="1489"/>
      <c r="U864" s="1489"/>
      <c r="V864" s="1489"/>
      <c r="W864" s="1489"/>
      <c r="X864" s="1489"/>
      <c r="Y864" s="1489"/>
      <c r="Z864" s="1489"/>
      <c r="AA864" s="1489"/>
      <c r="AB864" s="1489"/>
      <c r="AC864" s="1489"/>
      <c r="AD864" s="1489"/>
      <c r="AE864" s="1489"/>
      <c r="AF864" s="1489"/>
      <c r="AG864" s="1489"/>
      <c r="AH864" s="1489"/>
      <c r="AI864" s="1489"/>
      <c r="AJ864" s="1489"/>
      <c r="AK864" s="1489"/>
      <c r="AL864" s="1489"/>
      <c r="AM864" s="1489"/>
      <c r="AN864" s="1489"/>
      <c r="AO864" s="1489"/>
      <c r="AP864" s="1489"/>
      <c r="AQ864" s="1489"/>
      <c r="AR864" s="1488"/>
      <c r="AS864" s="1488"/>
      <c r="AT864" s="1488"/>
      <c r="AU864" s="1488"/>
      <c r="AV864" s="1488"/>
      <c r="AW864" s="1488"/>
      <c r="AX864" s="1488"/>
      <c r="AY864" s="1488"/>
    </row>
    <row r="865" spans="3:51" s="1502" customFormat="1">
      <c r="C865" s="1498"/>
      <c r="D865" s="1501"/>
      <c r="E865" s="1500"/>
      <c r="F865" s="814"/>
      <c r="G865" s="1494"/>
      <c r="H865" s="1493"/>
      <c r="I865" s="1493"/>
      <c r="J865" s="813"/>
      <c r="K865" s="814"/>
      <c r="L865" s="1499"/>
      <c r="M865" s="1488"/>
      <c r="N865" s="1488"/>
      <c r="O865" s="1488"/>
      <c r="P865" s="1488"/>
      <c r="Q865" s="1489"/>
      <c r="R865" s="1489"/>
      <c r="S865" s="1489"/>
      <c r="T865" s="1489"/>
      <c r="U865" s="1489"/>
      <c r="V865" s="1489"/>
      <c r="W865" s="1489"/>
      <c r="X865" s="1489"/>
      <c r="Y865" s="1489"/>
      <c r="Z865" s="1489"/>
      <c r="AA865" s="1489"/>
      <c r="AB865" s="1489"/>
      <c r="AC865" s="1489"/>
      <c r="AD865" s="1489"/>
      <c r="AE865" s="1489"/>
      <c r="AF865" s="1489"/>
      <c r="AG865" s="1489"/>
      <c r="AH865" s="1489"/>
      <c r="AI865" s="1489"/>
      <c r="AJ865" s="1489"/>
      <c r="AK865" s="1489"/>
      <c r="AL865" s="1489"/>
      <c r="AM865" s="1489"/>
      <c r="AN865" s="1489"/>
      <c r="AO865" s="1489"/>
      <c r="AP865" s="1489"/>
      <c r="AQ865" s="1489"/>
      <c r="AR865" s="1488"/>
      <c r="AS865" s="1488"/>
      <c r="AT865" s="1488"/>
      <c r="AU865" s="1488"/>
      <c r="AV865" s="1488"/>
      <c r="AW865" s="1488"/>
      <c r="AX865" s="1488"/>
      <c r="AY865" s="1488"/>
    </row>
    <row r="866" spans="3:51" s="1502" customFormat="1">
      <c r="C866" s="1498"/>
      <c r="D866" s="1501"/>
      <c r="E866" s="1500"/>
      <c r="F866" s="814"/>
      <c r="G866" s="1494"/>
      <c r="H866" s="1493"/>
      <c r="I866" s="1493"/>
      <c r="J866" s="813"/>
      <c r="K866" s="814"/>
      <c r="L866" s="1499"/>
      <c r="M866" s="1488"/>
      <c r="N866" s="1488"/>
      <c r="O866" s="1488"/>
      <c r="P866" s="1488"/>
      <c r="Q866" s="1489"/>
      <c r="R866" s="1489"/>
      <c r="S866" s="1489"/>
      <c r="T866" s="1489"/>
      <c r="U866" s="1489"/>
      <c r="V866" s="1489"/>
      <c r="W866" s="1489"/>
      <c r="X866" s="1489"/>
      <c r="Y866" s="1489"/>
      <c r="Z866" s="1489"/>
      <c r="AA866" s="1489"/>
      <c r="AB866" s="1489"/>
      <c r="AC866" s="1489"/>
      <c r="AD866" s="1489"/>
      <c r="AE866" s="1489"/>
      <c r="AF866" s="1489"/>
      <c r="AG866" s="1489"/>
      <c r="AH866" s="1489"/>
      <c r="AI866" s="1489"/>
      <c r="AJ866" s="1489"/>
      <c r="AK866" s="1489"/>
      <c r="AL866" s="1489"/>
      <c r="AM866" s="1489"/>
      <c r="AN866" s="1489"/>
      <c r="AO866" s="1489"/>
      <c r="AP866" s="1489"/>
      <c r="AQ866" s="1489"/>
      <c r="AR866" s="1488"/>
      <c r="AS866" s="1488"/>
      <c r="AT866" s="1488"/>
      <c r="AU866" s="1488"/>
      <c r="AV866" s="1488"/>
      <c r="AW866" s="1488"/>
      <c r="AX866" s="1488"/>
      <c r="AY866" s="1488"/>
    </row>
    <row r="867" spans="3:51" s="1502" customFormat="1">
      <c r="C867" s="1498"/>
      <c r="D867" s="1501"/>
      <c r="E867" s="1500"/>
      <c r="F867" s="814"/>
      <c r="G867" s="1494"/>
      <c r="H867" s="1493"/>
      <c r="I867" s="1493"/>
      <c r="J867" s="813"/>
      <c r="K867" s="814"/>
      <c r="L867" s="1499"/>
      <c r="M867" s="1488"/>
      <c r="N867" s="1488"/>
      <c r="O867" s="1488"/>
      <c r="P867" s="1488"/>
      <c r="Q867" s="1489"/>
      <c r="R867" s="1489"/>
      <c r="S867" s="1489"/>
      <c r="T867" s="1489"/>
      <c r="U867" s="1489"/>
      <c r="V867" s="1489"/>
      <c r="W867" s="1489"/>
      <c r="X867" s="1489"/>
      <c r="Y867" s="1489"/>
      <c r="Z867" s="1489"/>
      <c r="AA867" s="1489"/>
      <c r="AB867" s="1489"/>
      <c r="AC867" s="1489"/>
      <c r="AD867" s="1489"/>
      <c r="AE867" s="1489"/>
      <c r="AF867" s="1489"/>
      <c r="AG867" s="1489"/>
      <c r="AH867" s="1489"/>
      <c r="AI867" s="1489"/>
      <c r="AJ867" s="1489"/>
      <c r="AK867" s="1489"/>
      <c r="AL867" s="1489"/>
      <c r="AM867" s="1489"/>
      <c r="AN867" s="1489"/>
      <c r="AO867" s="1489"/>
      <c r="AP867" s="1489"/>
      <c r="AQ867" s="1489"/>
      <c r="AR867" s="1488"/>
      <c r="AS867" s="1488"/>
      <c r="AT867" s="1488"/>
      <c r="AU867" s="1488"/>
      <c r="AV867" s="1488"/>
      <c r="AW867" s="1488"/>
      <c r="AX867" s="1488"/>
      <c r="AY867" s="1488"/>
    </row>
    <row r="868" spans="3:51" s="1502" customFormat="1">
      <c r="C868" s="1498"/>
      <c r="D868" s="1501"/>
      <c r="E868" s="1500"/>
      <c r="F868" s="814"/>
      <c r="G868" s="1494"/>
      <c r="H868" s="1493"/>
      <c r="I868" s="1493"/>
      <c r="J868" s="813"/>
      <c r="K868" s="814"/>
      <c r="L868" s="1499"/>
      <c r="M868" s="1488"/>
      <c r="N868" s="1488"/>
      <c r="O868" s="1488"/>
      <c r="P868" s="1488"/>
      <c r="Q868" s="1489"/>
      <c r="R868" s="1489"/>
      <c r="S868" s="1489"/>
      <c r="T868" s="1489"/>
      <c r="U868" s="1489"/>
      <c r="V868" s="1489"/>
      <c r="W868" s="1489"/>
      <c r="X868" s="1489"/>
      <c r="Y868" s="1489"/>
      <c r="Z868" s="1489"/>
      <c r="AA868" s="1489"/>
      <c r="AB868" s="1489"/>
      <c r="AC868" s="1489"/>
      <c r="AD868" s="1489"/>
      <c r="AE868" s="1489"/>
      <c r="AF868" s="1489"/>
      <c r="AG868" s="1489"/>
      <c r="AH868" s="1489"/>
      <c r="AI868" s="1489"/>
      <c r="AJ868" s="1489"/>
      <c r="AK868" s="1489"/>
      <c r="AL868" s="1489"/>
      <c r="AM868" s="1489"/>
      <c r="AN868" s="1489"/>
      <c r="AO868" s="1489"/>
      <c r="AP868" s="1489"/>
      <c r="AQ868" s="1489"/>
      <c r="AR868" s="1488"/>
      <c r="AS868" s="1488"/>
      <c r="AT868" s="1488"/>
      <c r="AU868" s="1488"/>
      <c r="AV868" s="1488"/>
      <c r="AW868" s="1488"/>
      <c r="AX868" s="1488"/>
      <c r="AY868" s="1488"/>
    </row>
    <row r="869" spans="3:51" s="1502" customFormat="1">
      <c r="C869" s="1498"/>
      <c r="D869" s="1501"/>
      <c r="E869" s="1500"/>
      <c r="F869" s="814"/>
      <c r="G869" s="1494"/>
      <c r="H869" s="1493"/>
      <c r="I869" s="1493"/>
      <c r="J869" s="813"/>
      <c r="K869" s="814"/>
      <c r="L869" s="1499"/>
      <c r="M869" s="1488"/>
      <c r="N869" s="1488"/>
      <c r="O869" s="1488"/>
      <c r="P869" s="1488"/>
      <c r="Q869" s="1489"/>
      <c r="R869" s="1489"/>
      <c r="S869" s="1489"/>
      <c r="T869" s="1489"/>
      <c r="U869" s="1489"/>
      <c r="V869" s="1489"/>
      <c r="W869" s="1489"/>
      <c r="X869" s="1489"/>
      <c r="Y869" s="1489"/>
      <c r="Z869" s="1489"/>
      <c r="AA869" s="1489"/>
      <c r="AB869" s="1489"/>
      <c r="AC869" s="1489"/>
      <c r="AD869" s="1489"/>
      <c r="AE869" s="1489"/>
      <c r="AF869" s="1489"/>
      <c r="AG869" s="1489"/>
      <c r="AH869" s="1489"/>
      <c r="AI869" s="1489"/>
      <c r="AJ869" s="1489"/>
      <c r="AK869" s="1489"/>
      <c r="AL869" s="1489"/>
      <c r="AM869" s="1489"/>
      <c r="AN869" s="1489"/>
      <c r="AO869" s="1489"/>
      <c r="AP869" s="1489"/>
      <c r="AQ869" s="1489"/>
      <c r="AR869" s="1488"/>
      <c r="AS869" s="1488"/>
      <c r="AT869" s="1488"/>
      <c r="AU869" s="1488"/>
      <c r="AV869" s="1488"/>
      <c r="AW869" s="1488"/>
      <c r="AX869" s="1488"/>
      <c r="AY869" s="1488"/>
    </row>
    <row r="870" spans="3:51" s="1502" customFormat="1">
      <c r="C870" s="1498"/>
      <c r="D870" s="1501"/>
      <c r="E870" s="1500"/>
      <c r="F870" s="814"/>
      <c r="G870" s="1494"/>
      <c r="H870" s="1493"/>
      <c r="I870" s="1493"/>
      <c r="J870" s="813"/>
      <c r="K870" s="814"/>
      <c r="L870" s="1499"/>
      <c r="M870" s="1488"/>
      <c r="N870" s="1488"/>
      <c r="O870" s="1488"/>
      <c r="P870" s="1488"/>
      <c r="Q870" s="1489"/>
      <c r="R870" s="1489"/>
      <c r="S870" s="1489"/>
      <c r="T870" s="1489"/>
      <c r="U870" s="1489"/>
      <c r="V870" s="1489"/>
      <c r="W870" s="1489"/>
      <c r="X870" s="1489"/>
      <c r="Y870" s="1489"/>
      <c r="Z870" s="1489"/>
      <c r="AA870" s="1489"/>
      <c r="AB870" s="1489"/>
      <c r="AC870" s="1489"/>
      <c r="AD870" s="1489"/>
      <c r="AE870" s="1489"/>
      <c r="AF870" s="1489"/>
      <c r="AG870" s="1489"/>
      <c r="AH870" s="1489"/>
      <c r="AI870" s="1489"/>
      <c r="AJ870" s="1489"/>
      <c r="AK870" s="1489"/>
      <c r="AL870" s="1489"/>
      <c r="AM870" s="1489"/>
      <c r="AN870" s="1489"/>
      <c r="AO870" s="1489"/>
      <c r="AP870" s="1489"/>
      <c r="AQ870" s="1489"/>
      <c r="AR870" s="1488"/>
      <c r="AS870" s="1488"/>
      <c r="AT870" s="1488"/>
      <c r="AU870" s="1488"/>
      <c r="AV870" s="1488"/>
      <c r="AW870" s="1488"/>
      <c r="AX870" s="1488"/>
      <c r="AY870" s="1488"/>
    </row>
    <row r="871" spans="3:51" s="1502" customFormat="1">
      <c r="C871" s="1498"/>
      <c r="D871" s="1501"/>
      <c r="E871" s="1500"/>
      <c r="F871" s="814"/>
      <c r="G871" s="1494"/>
      <c r="H871" s="1493"/>
      <c r="I871" s="1493"/>
      <c r="J871" s="813"/>
      <c r="K871" s="814"/>
      <c r="L871" s="1499"/>
      <c r="M871" s="1488"/>
      <c r="N871" s="1488"/>
      <c r="O871" s="1488"/>
      <c r="P871" s="1488"/>
      <c r="Q871" s="1489"/>
      <c r="R871" s="1489"/>
      <c r="S871" s="1489"/>
      <c r="T871" s="1489"/>
      <c r="U871" s="1489"/>
      <c r="V871" s="1489"/>
      <c r="W871" s="1489"/>
      <c r="X871" s="1489"/>
      <c r="Y871" s="1489"/>
      <c r="Z871" s="1489"/>
      <c r="AA871" s="1489"/>
      <c r="AB871" s="1489"/>
      <c r="AC871" s="1489"/>
      <c r="AD871" s="1489"/>
      <c r="AE871" s="1489"/>
      <c r="AF871" s="1489"/>
      <c r="AG871" s="1489"/>
      <c r="AH871" s="1489"/>
      <c r="AI871" s="1489"/>
      <c r="AJ871" s="1489"/>
      <c r="AK871" s="1489"/>
      <c r="AL871" s="1489"/>
      <c r="AM871" s="1489"/>
      <c r="AN871" s="1489"/>
      <c r="AO871" s="1489"/>
      <c r="AP871" s="1489"/>
      <c r="AQ871" s="1489"/>
      <c r="AR871" s="1488"/>
      <c r="AS871" s="1488"/>
      <c r="AT871" s="1488"/>
      <c r="AU871" s="1488"/>
      <c r="AV871" s="1488"/>
      <c r="AW871" s="1488"/>
      <c r="AX871" s="1488"/>
      <c r="AY871" s="1488"/>
    </row>
    <row r="872" spans="3:51" s="1502" customFormat="1">
      <c r="C872" s="1498"/>
      <c r="D872" s="1501"/>
      <c r="E872" s="1500"/>
      <c r="F872" s="814"/>
      <c r="G872" s="1494"/>
      <c r="H872" s="1493"/>
      <c r="I872" s="1493"/>
      <c r="J872" s="813"/>
      <c r="K872" s="814"/>
      <c r="L872" s="1499"/>
      <c r="M872" s="1488"/>
      <c r="N872" s="1488"/>
      <c r="O872" s="1488"/>
      <c r="P872" s="1488"/>
      <c r="Q872" s="1489"/>
      <c r="R872" s="1489"/>
      <c r="S872" s="1489"/>
      <c r="T872" s="1489"/>
      <c r="U872" s="1489"/>
      <c r="V872" s="1489"/>
      <c r="W872" s="1489"/>
      <c r="X872" s="1489"/>
      <c r="Y872" s="1489"/>
      <c r="Z872" s="1489"/>
      <c r="AA872" s="1489"/>
      <c r="AB872" s="1489"/>
      <c r="AC872" s="1489"/>
      <c r="AD872" s="1489"/>
      <c r="AE872" s="1489"/>
      <c r="AF872" s="1489"/>
      <c r="AG872" s="1489"/>
      <c r="AH872" s="1489"/>
      <c r="AI872" s="1489"/>
      <c r="AJ872" s="1489"/>
      <c r="AK872" s="1489"/>
      <c r="AL872" s="1489"/>
      <c r="AM872" s="1489"/>
      <c r="AN872" s="1489"/>
      <c r="AO872" s="1489"/>
      <c r="AP872" s="1489"/>
      <c r="AQ872" s="1489"/>
      <c r="AR872" s="1488"/>
      <c r="AS872" s="1488"/>
      <c r="AT872" s="1488"/>
      <c r="AU872" s="1488"/>
      <c r="AV872" s="1488"/>
      <c r="AW872" s="1488"/>
      <c r="AX872" s="1488"/>
      <c r="AY872" s="1488"/>
    </row>
    <row r="873" spans="3:51" s="1502" customFormat="1">
      <c r="C873" s="1498"/>
      <c r="D873" s="1501"/>
      <c r="E873" s="1500"/>
      <c r="F873" s="814"/>
      <c r="G873" s="1494"/>
      <c r="H873" s="1493"/>
      <c r="I873" s="1493"/>
      <c r="J873" s="813"/>
      <c r="K873" s="814"/>
      <c r="L873" s="1499"/>
      <c r="M873" s="1488"/>
      <c r="N873" s="1488"/>
      <c r="O873" s="1488"/>
      <c r="P873" s="1488"/>
      <c r="Q873" s="1489"/>
      <c r="R873" s="1489"/>
      <c r="S873" s="1489"/>
      <c r="T873" s="1489"/>
      <c r="U873" s="1489"/>
      <c r="V873" s="1489"/>
      <c r="W873" s="1489"/>
      <c r="X873" s="1489"/>
      <c r="Y873" s="1489"/>
      <c r="Z873" s="1489"/>
      <c r="AA873" s="1489"/>
      <c r="AB873" s="1489"/>
      <c r="AC873" s="1489"/>
      <c r="AD873" s="1489"/>
      <c r="AE873" s="1489"/>
      <c r="AF873" s="1489"/>
      <c r="AG873" s="1489"/>
      <c r="AH873" s="1489"/>
      <c r="AI873" s="1489"/>
      <c r="AJ873" s="1489"/>
      <c r="AK873" s="1489"/>
      <c r="AL873" s="1489"/>
      <c r="AM873" s="1489"/>
      <c r="AN873" s="1489"/>
      <c r="AO873" s="1489"/>
      <c r="AP873" s="1489"/>
      <c r="AQ873" s="1489"/>
      <c r="AR873" s="1488"/>
      <c r="AS873" s="1488"/>
      <c r="AT873" s="1488"/>
      <c r="AU873" s="1488"/>
      <c r="AV873" s="1488"/>
      <c r="AW873" s="1488"/>
      <c r="AX873" s="1488"/>
      <c r="AY873" s="1488"/>
    </row>
    <row r="874" spans="3:51" s="1502" customFormat="1">
      <c r="C874" s="1498"/>
      <c r="D874" s="1501"/>
      <c r="E874" s="1500"/>
      <c r="F874" s="814"/>
      <c r="G874" s="1494"/>
      <c r="H874" s="1493"/>
      <c r="I874" s="1493"/>
      <c r="J874" s="813"/>
      <c r="K874" s="814"/>
      <c r="L874" s="1499"/>
      <c r="M874" s="1488"/>
      <c r="N874" s="1488"/>
      <c r="O874" s="1488"/>
      <c r="P874" s="1488"/>
      <c r="Q874" s="1489"/>
      <c r="R874" s="1489"/>
      <c r="S874" s="1489"/>
      <c r="T874" s="1489"/>
      <c r="U874" s="1489"/>
      <c r="V874" s="1489"/>
      <c r="W874" s="1489"/>
      <c r="X874" s="1489"/>
      <c r="Y874" s="1489"/>
      <c r="Z874" s="1489"/>
      <c r="AA874" s="1489"/>
      <c r="AB874" s="1489"/>
      <c r="AC874" s="1489"/>
      <c r="AD874" s="1489"/>
      <c r="AE874" s="1489"/>
      <c r="AF874" s="1489"/>
      <c r="AG874" s="1489"/>
      <c r="AH874" s="1489"/>
      <c r="AI874" s="1489"/>
      <c r="AJ874" s="1489"/>
      <c r="AK874" s="1489"/>
      <c r="AL874" s="1489"/>
      <c r="AM874" s="1489"/>
      <c r="AN874" s="1489"/>
      <c r="AO874" s="1489"/>
      <c r="AP874" s="1489"/>
      <c r="AQ874" s="1489"/>
      <c r="AR874" s="1488"/>
      <c r="AS874" s="1488"/>
      <c r="AT874" s="1488"/>
      <c r="AU874" s="1488"/>
      <c r="AV874" s="1488"/>
      <c r="AW874" s="1488"/>
      <c r="AX874" s="1488"/>
      <c r="AY874" s="1488"/>
    </row>
    <row r="875" spans="3:51" s="1502" customFormat="1">
      <c r="C875" s="1498"/>
      <c r="D875" s="1501"/>
      <c r="E875" s="1500"/>
      <c r="F875" s="814"/>
      <c r="G875" s="1494"/>
      <c r="H875" s="1493"/>
      <c r="I875" s="1493"/>
      <c r="J875" s="813"/>
      <c r="K875" s="814"/>
      <c r="L875" s="1499"/>
      <c r="M875" s="1488"/>
      <c r="N875" s="1488"/>
      <c r="O875" s="1488"/>
      <c r="P875" s="1488"/>
      <c r="Q875" s="1489"/>
      <c r="R875" s="1489"/>
      <c r="S875" s="1489"/>
      <c r="T875" s="1489"/>
      <c r="U875" s="1489"/>
      <c r="V875" s="1489"/>
      <c r="W875" s="1489"/>
      <c r="X875" s="1489"/>
      <c r="Y875" s="1489"/>
      <c r="Z875" s="1489"/>
      <c r="AA875" s="1489"/>
      <c r="AB875" s="1489"/>
      <c r="AC875" s="1489"/>
      <c r="AD875" s="1489"/>
      <c r="AE875" s="1489"/>
      <c r="AF875" s="1489"/>
      <c r="AG875" s="1489"/>
      <c r="AH875" s="1489"/>
      <c r="AI875" s="1489"/>
      <c r="AJ875" s="1489"/>
      <c r="AK875" s="1489"/>
      <c r="AL875" s="1489"/>
      <c r="AM875" s="1489"/>
      <c r="AN875" s="1489"/>
      <c r="AO875" s="1489"/>
      <c r="AP875" s="1489"/>
      <c r="AQ875" s="1489"/>
      <c r="AR875" s="1488"/>
      <c r="AS875" s="1488"/>
      <c r="AT875" s="1488"/>
      <c r="AU875" s="1488"/>
      <c r="AV875" s="1488"/>
      <c r="AW875" s="1488"/>
      <c r="AX875" s="1488"/>
      <c r="AY875" s="1488"/>
    </row>
    <row r="876" spans="3:51" s="1502" customFormat="1">
      <c r="C876" s="1498"/>
      <c r="D876" s="1501"/>
      <c r="E876" s="1500"/>
      <c r="F876" s="814"/>
      <c r="G876" s="1494"/>
      <c r="H876" s="1493"/>
      <c r="I876" s="1493"/>
      <c r="J876" s="813"/>
      <c r="K876" s="814"/>
      <c r="L876" s="1499"/>
      <c r="M876" s="1488"/>
      <c r="N876" s="1488"/>
      <c r="O876" s="1488"/>
      <c r="P876" s="1488"/>
      <c r="Q876" s="1489"/>
      <c r="R876" s="1489"/>
      <c r="S876" s="1489"/>
      <c r="T876" s="1489"/>
      <c r="U876" s="1489"/>
      <c r="V876" s="1489"/>
      <c r="W876" s="1489"/>
      <c r="X876" s="1489"/>
      <c r="Y876" s="1489"/>
      <c r="Z876" s="1489"/>
      <c r="AA876" s="1489"/>
      <c r="AB876" s="1489"/>
      <c r="AC876" s="1489"/>
      <c r="AD876" s="1489"/>
      <c r="AE876" s="1489"/>
      <c r="AF876" s="1489"/>
      <c r="AG876" s="1489"/>
      <c r="AH876" s="1489"/>
      <c r="AI876" s="1489"/>
      <c r="AJ876" s="1489"/>
      <c r="AK876" s="1489"/>
      <c r="AL876" s="1489"/>
      <c r="AM876" s="1489"/>
      <c r="AN876" s="1489"/>
      <c r="AO876" s="1489"/>
      <c r="AP876" s="1489"/>
      <c r="AQ876" s="1489"/>
      <c r="AR876" s="1488"/>
      <c r="AS876" s="1488"/>
      <c r="AT876" s="1488"/>
      <c r="AU876" s="1488"/>
      <c r="AV876" s="1488"/>
      <c r="AW876" s="1488"/>
      <c r="AX876" s="1488"/>
      <c r="AY876" s="1488"/>
    </row>
    <row r="877" spans="3:51" s="1502" customFormat="1">
      <c r="C877" s="1498"/>
      <c r="D877" s="1501"/>
      <c r="E877" s="1500"/>
      <c r="F877" s="814"/>
      <c r="G877" s="1494"/>
      <c r="H877" s="1493"/>
      <c r="I877" s="1493"/>
      <c r="J877" s="813"/>
      <c r="K877" s="814"/>
      <c r="L877" s="1499"/>
      <c r="M877" s="1488"/>
      <c r="N877" s="1488"/>
      <c r="O877" s="1488"/>
      <c r="P877" s="1488"/>
      <c r="Q877" s="1489"/>
      <c r="R877" s="1489"/>
      <c r="S877" s="1489"/>
      <c r="T877" s="1489"/>
      <c r="U877" s="1489"/>
      <c r="V877" s="1489"/>
      <c r="W877" s="1489"/>
      <c r="X877" s="1489"/>
      <c r="Y877" s="1489"/>
      <c r="Z877" s="1489"/>
      <c r="AA877" s="1489"/>
      <c r="AB877" s="1489"/>
      <c r="AC877" s="1489"/>
      <c r="AD877" s="1489"/>
      <c r="AE877" s="1489"/>
      <c r="AF877" s="1489"/>
      <c r="AG877" s="1489"/>
      <c r="AH877" s="1489"/>
      <c r="AI877" s="1489"/>
      <c r="AJ877" s="1489"/>
      <c r="AK877" s="1489"/>
      <c r="AL877" s="1489"/>
      <c r="AM877" s="1489"/>
      <c r="AN877" s="1489"/>
      <c r="AO877" s="1489"/>
      <c r="AP877" s="1489"/>
      <c r="AQ877" s="1489"/>
      <c r="AR877" s="1488"/>
      <c r="AS877" s="1488"/>
      <c r="AT877" s="1488"/>
      <c r="AU877" s="1488"/>
      <c r="AV877" s="1488"/>
      <c r="AW877" s="1488"/>
      <c r="AX877" s="1488"/>
      <c r="AY877" s="1488"/>
    </row>
    <row r="878" spans="3:51" s="1502" customFormat="1">
      <c r="C878" s="1498"/>
      <c r="D878" s="1501"/>
      <c r="E878" s="1500"/>
      <c r="F878" s="814"/>
      <c r="G878" s="1494"/>
      <c r="H878" s="1493"/>
      <c r="I878" s="1493"/>
      <c r="J878" s="813"/>
      <c r="K878" s="814"/>
      <c r="L878" s="1499"/>
      <c r="M878" s="1488"/>
      <c r="N878" s="1488"/>
      <c r="O878" s="1488"/>
      <c r="P878" s="1488"/>
      <c r="Q878" s="1489"/>
      <c r="R878" s="1489"/>
      <c r="S878" s="1489"/>
      <c r="T878" s="1489"/>
      <c r="U878" s="1489"/>
      <c r="V878" s="1489"/>
      <c r="W878" s="1489"/>
      <c r="X878" s="1489"/>
      <c r="Y878" s="1489"/>
      <c r="Z878" s="1489"/>
      <c r="AA878" s="1489"/>
      <c r="AB878" s="1489"/>
      <c r="AC878" s="1489"/>
      <c r="AD878" s="1489"/>
      <c r="AE878" s="1489"/>
      <c r="AF878" s="1489"/>
      <c r="AG878" s="1489"/>
      <c r="AH878" s="1489"/>
      <c r="AI878" s="1489"/>
      <c r="AJ878" s="1489"/>
      <c r="AK878" s="1489"/>
      <c r="AL878" s="1489"/>
      <c r="AM878" s="1489"/>
      <c r="AN878" s="1489"/>
      <c r="AO878" s="1489"/>
      <c r="AP878" s="1489"/>
      <c r="AQ878" s="1489"/>
      <c r="AR878" s="1488"/>
      <c r="AS878" s="1488"/>
      <c r="AT878" s="1488"/>
      <c r="AU878" s="1488"/>
      <c r="AV878" s="1488"/>
      <c r="AW878" s="1488"/>
      <c r="AX878" s="1488"/>
      <c r="AY878" s="1488"/>
    </row>
    <row r="879" spans="3:51" s="1502" customFormat="1">
      <c r="C879" s="1498"/>
      <c r="D879" s="1501"/>
      <c r="E879" s="1500"/>
      <c r="F879" s="814"/>
      <c r="G879" s="1494"/>
      <c r="H879" s="1493"/>
      <c r="I879" s="1493"/>
      <c r="J879" s="813"/>
      <c r="K879" s="814"/>
      <c r="L879" s="1499"/>
      <c r="M879" s="1488"/>
      <c r="N879" s="1488"/>
      <c r="O879" s="1488"/>
      <c r="P879" s="1488"/>
      <c r="Q879" s="1489"/>
      <c r="R879" s="1489"/>
      <c r="S879" s="1489"/>
      <c r="T879" s="1489"/>
      <c r="U879" s="1489"/>
      <c r="V879" s="1489"/>
      <c r="W879" s="1489"/>
      <c r="X879" s="1489"/>
      <c r="Y879" s="1489"/>
      <c r="Z879" s="1489"/>
      <c r="AA879" s="1489"/>
      <c r="AB879" s="1489"/>
      <c r="AC879" s="1489"/>
      <c r="AD879" s="1489"/>
      <c r="AE879" s="1489"/>
      <c r="AF879" s="1489"/>
      <c r="AG879" s="1489"/>
      <c r="AH879" s="1489"/>
      <c r="AI879" s="1489"/>
      <c r="AJ879" s="1489"/>
      <c r="AK879" s="1489"/>
      <c r="AL879" s="1489"/>
      <c r="AM879" s="1489"/>
      <c r="AN879" s="1489"/>
      <c r="AO879" s="1489"/>
      <c r="AP879" s="1489"/>
      <c r="AQ879" s="1489"/>
      <c r="AR879" s="1488"/>
      <c r="AS879" s="1488"/>
      <c r="AT879" s="1488"/>
      <c r="AU879" s="1488"/>
      <c r="AV879" s="1488"/>
      <c r="AW879" s="1488"/>
      <c r="AX879" s="1488"/>
      <c r="AY879" s="1488"/>
    </row>
    <row r="880" spans="3:51" s="1502" customFormat="1">
      <c r="C880" s="1498"/>
      <c r="D880" s="1501"/>
      <c r="E880" s="1500"/>
      <c r="F880" s="814"/>
      <c r="G880" s="1494"/>
      <c r="H880" s="1493"/>
      <c r="I880" s="1493"/>
      <c r="J880" s="813"/>
      <c r="K880" s="814"/>
      <c r="L880" s="1499"/>
      <c r="M880" s="1488"/>
      <c r="N880" s="1488"/>
      <c r="O880" s="1488"/>
      <c r="P880" s="1488"/>
      <c r="Q880" s="1489"/>
      <c r="R880" s="1489"/>
      <c r="S880" s="1489"/>
      <c r="T880" s="1489"/>
      <c r="U880" s="1489"/>
      <c r="V880" s="1489"/>
      <c r="W880" s="1489"/>
      <c r="X880" s="1489"/>
      <c r="Y880" s="1489"/>
      <c r="Z880" s="1489"/>
      <c r="AA880" s="1489"/>
      <c r="AB880" s="1489"/>
      <c r="AC880" s="1489"/>
      <c r="AD880" s="1489"/>
      <c r="AE880" s="1489"/>
      <c r="AF880" s="1489"/>
      <c r="AG880" s="1489"/>
      <c r="AH880" s="1489"/>
      <c r="AI880" s="1489"/>
      <c r="AJ880" s="1489"/>
      <c r="AK880" s="1489"/>
      <c r="AL880" s="1489"/>
      <c r="AM880" s="1489"/>
      <c r="AN880" s="1489"/>
      <c r="AO880" s="1489"/>
      <c r="AP880" s="1489"/>
      <c r="AQ880" s="1489"/>
      <c r="AR880" s="1488"/>
      <c r="AS880" s="1488"/>
      <c r="AT880" s="1488"/>
      <c r="AU880" s="1488"/>
      <c r="AV880" s="1488"/>
      <c r="AW880" s="1488"/>
      <c r="AX880" s="1488"/>
      <c r="AY880" s="1488"/>
    </row>
    <row r="881" spans="3:51" s="1502" customFormat="1">
      <c r="C881" s="1498"/>
      <c r="D881" s="1501"/>
      <c r="E881" s="1500"/>
      <c r="F881" s="814"/>
      <c r="G881" s="1494"/>
      <c r="H881" s="1493"/>
      <c r="I881" s="1493"/>
      <c r="J881" s="813"/>
      <c r="K881" s="814"/>
      <c r="L881" s="1499"/>
      <c r="M881" s="1488"/>
      <c r="N881" s="1488"/>
      <c r="O881" s="1488"/>
      <c r="P881" s="1488"/>
      <c r="Q881" s="1489"/>
      <c r="R881" s="1489"/>
      <c r="S881" s="1489"/>
      <c r="T881" s="1489"/>
      <c r="U881" s="1489"/>
      <c r="V881" s="1489"/>
      <c r="W881" s="1489"/>
      <c r="X881" s="1489"/>
      <c r="Y881" s="1489"/>
      <c r="Z881" s="1489"/>
      <c r="AA881" s="1489"/>
      <c r="AB881" s="1489"/>
      <c r="AC881" s="1489"/>
      <c r="AD881" s="1489"/>
      <c r="AE881" s="1489"/>
      <c r="AF881" s="1489"/>
      <c r="AG881" s="1489"/>
      <c r="AH881" s="1489"/>
      <c r="AI881" s="1489"/>
      <c r="AJ881" s="1489"/>
      <c r="AK881" s="1489"/>
      <c r="AL881" s="1489"/>
      <c r="AM881" s="1489"/>
      <c r="AN881" s="1489"/>
      <c r="AO881" s="1489"/>
      <c r="AP881" s="1489"/>
      <c r="AQ881" s="1489"/>
      <c r="AR881" s="1488"/>
      <c r="AS881" s="1488"/>
      <c r="AT881" s="1488"/>
      <c r="AU881" s="1488"/>
      <c r="AV881" s="1488"/>
      <c r="AW881" s="1488"/>
      <c r="AX881" s="1488"/>
      <c r="AY881" s="1488"/>
    </row>
    <row r="882" spans="3:51" s="1502" customFormat="1">
      <c r="C882" s="1498"/>
      <c r="D882" s="1501"/>
      <c r="E882" s="1500"/>
      <c r="F882" s="814"/>
      <c r="G882" s="1494"/>
      <c r="H882" s="1493"/>
      <c r="I882" s="1493"/>
      <c r="J882" s="813"/>
      <c r="K882" s="814"/>
      <c r="L882" s="1499"/>
      <c r="M882" s="1488"/>
      <c r="N882" s="1488"/>
      <c r="O882" s="1488"/>
      <c r="P882" s="1488"/>
      <c r="Q882" s="1489"/>
      <c r="R882" s="1489"/>
      <c r="S882" s="1489"/>
      <c r="T882" s="1489"/>
      <c r="U882" s="1489"/>
      <c r="V882" s="1489"/>
      <c r="W882" s="1489"/>
      <c r="X882" s="1489"/>
      <c r="Y882" s="1489"/>
      <c r="Z882" s="1489"/>
      <c r="AA882" s="1489"/>
      <c r="AB882" s="1489"/>
      <c r="AC882" s="1489"/>
      <c r="AD882" s="1489"/>
      <c r="AE882" s="1489"/>
      <c r="AF882" s="1489"/>
      <c r="AG882" s="1489"/>
      <c r="AH882" s="1489"/>
      <c r="AI882" s="1489"/>
      <c r="AJ882" s="1489"/>
      <c r="AK882" s="1489"/>
      <c r="AL882" s="1489"/>
      <c r="AM882" s="1489"/>
      <c r="AN882" s="1489"/>
      <c r="AO882" s="1489"/>
      <c r="AP882" s="1489"/>
      <c r="AQ882" s="1489"/>
      <c r="AR882" s="1488"/>
      <c r="AS882" s="1488"/>
      <c r="AT882" s="1488"/>
      <c r="AU882" s="1488"/>
      <c r="AV882" s="1488"/>
      <c r="AW882" s="1488"/>
      <c r="AX882" s="1488"/>
      <c r="AY882" s="1488"/>
    </row>
    <row r="883" spans="3:51" s="1502" customFormat="1">
      <c r="C883" s="1498"/>
      <c r="D883" s="1501"/>
      <c r="E883" s="1500"/>
      <c r="F883" s="814"/>
      <c r="G883" s="1494"/>
      <c r="H883" s="1493"/>
      <c r="I883" s="1493"/>
      <c r="J883" s="813"/>
      <c r="K883" s="814"/>
      <c r="L883" s="1499"/>
      <c r="M883" s="1488"/>
      <c r="N883" s="1488"/>
      <c r="O883" s="1488"/>
      <c r="P883" s="1488"/>
      <c r="Q883" s="1489"/>
      <c r="R883" s="1489"/>
      <c r="S883" s="1489"/>
      <c r="T883" s="1489"/>
      <c r="U883" s="1489"/>
      <c r="V883" s="1489"/>
      <c r="W883" s="1489"/>
      <c r="X883" s="1489"/>
      <c r="Y883" s="1489"/>
      <c r="Z883" s="1489"/>
      <c r="AA883" s="1489"/>
      <c r="AB883" s="1489"/>
      <c r="AC883" s="1489"/>
      <c r="AD883" s="1489"/>
      <c r="AE883" s="1489"/>
      <c r="AF883" s="1489"/>
      <c r="AG883" s="1489"/>
      <c r="AH883" s="1489"/>
      <c r="AI883" s="1489"/>
      <c r="AJ883" s="1489"/>
      <c r="AK883" s="1489"/>
      <c r="AL883" s="1489"/>
      <c r="AM883" s="1489"/>
      <c r="AN883" s="1489"/>
      <c r="AO883" s="1489"/>
      <c r="AP883" s="1489"/>
      <c r="AQ883" s="1489"/>
      <c r="AR883" s="1488"/>
      <c r="AS883" s="1488"/>
      <c r="AT883" s="1488"/>
      <c r="AU883" s="1488"/>
      <c r="AV883" s="1488"/>
      <c r="AW883" s="1488"/>
      <c r="AX883" s="1488"/>
      <c r="AY883" s="1488"/>
    </row>
    <row r="884" spans="3:51" s="1502" customFormat="1">
      <c r="C884" s="1498"/>
      <c r="D884" s="1501"/>
      <c r="E884" s="1500"/>
      <c r="F884" s="814"/>
      <c r="G884" s="1494"/>
      <c r="H884" s="1493"/>
      <c r="I884" s="1493"/>
      <c r="J884" s="813"/>
      <c r="K884" s="814"/>
      <c r="L884" s="1499"/>
      <c r="M884" s="1488"/>
      <c r="N884" s="1488"/>
      <c r="O884" s="1488"/>
      <c r="P884" s="1488"/>
      <c r="Q884" s="1489"/>
      <c r="R884" s="1489"/>
      <c r="S884" s="1489"/>
      <c r="T884" s="1489"/>
      <c r="U884" s="1489"/>
      <c r="V884" s="1489"/>
      <c r="W884" s="1489"/>
      <c r="X884" s="1489"/>
      <c r="Y884" s="1489"/>
      <c r="Z884" s="1489"/>
      <c r="AA884" s="1489"/>
      <c r="AB884" s="1489"/>
      <c r="AC884" s="1489"/>
      <c r="AD884" s="1489"/>
      <c r="AE884" s="1489"/>
      <c r="AF884" s="1489"/>
      <c r="AG884" s="1489"/>
      <c r="AH884" s="1489"/>
      <c r="AI884" s="1489"/>
      <c r="AJ884" s="1489"/>
      <c r="AK884" s="1489"/>
      <c r="AL884" s="1489"/>
      <c r="AM884" s="1489"/>
      <c r="AN884" s="1489"/>
      <c r="AO884" s="1489"/>
      <c r="AP884" s="1489"/>
      <c r="AQ884" s="1489"/>
      <c r="AR884" s="1488"/>
      <c r="AS884" s="1488"/>
      <c r="AT884" s="1488"/>
      <c r="AU884" s="1488"/>
      <c r="AV884" s="1488"/>
      <c r="AW884" s="1488"/>
      <c r="AX884" s="1488"/>
      <c r="AY884" s="1488"/>
    </row>
    <row r="885" spans="3:51" s="1502" customFormat="1">
      <c r="C885" s="1498"/>
      <c r="D885" s="1501"/>
      <c r="E885" s="1500"/>
      <c r="F885" s="814"/>
      <c r="G885" s="1494"/>
      <c r="H885" s="1493"/>
      <c r="I885" s="1493"/>
      <c r="J885" s="813"/>
      <c r="K885" s="814"/>
      <c r="L885" s="1499"/>
      <c r="M885" s="1488"/>
      <c r="N885" s="1488"/>
      <c r="O885" s="1488"/>
      <c r="P885" s="1488"/>
      <c r="Q885" s="1489"/>
      <c r="R885" s="1489"/>
      <c r="S885" s="1489"/>
      <c r="T885" s="1489"/>
      <c r="U885" s="1489"/>
      <c r="V885" s="1489"/>
      <c r="W885" s="1489"/>
      <c r="X885" s="1489"/>
      <c r="Y885" s="1489"/>
      <c r="Z885" s="1489"/>
      <c r="AA885" s="1489"/>
      <c r="AB885" s="1489"/>
      <c r="AC885" s="1489"/>
      <c r="AD885" s="1489"/>
      <c r="AE885" s="1489"/>
      <c r="AF885" s="1489"/>
      <c r="AG885" s="1489"/>
      <c r="AH885" s="1489"/>
      <c r="AI885" s="1489"/>
      <c r="AJ885" s="1489"/>
      <c r="AK885" s="1489"/>
      <c r="AL885" s="1489"/>
      <c r="AM885" s="1489"/>
      <c r="AN885" s="1489"/>
      <c r="AO885" s="1489"/>
      <c r="AP885" s="1489"/>
      <c r="AQ885" s="1489"/>
      <c r="AR885" s="1488"/>
      <c r="AS885" s="1488"/>
      <c r="AT885" s="1488"/>
      <c r="AU885" s="1488"/>
      <c r="AV885" s="1488"/>
      <c r="AW885" s="1488"/>
      <c r="AX885" s="1488"/>
      <c r="AY885" s="1488"/>
    </row>
    <row r="886" spans="3:51" s="1502" customFormat="1">
      <c r="C886" s="1498"/>
      <c r="D886" s="1501"/>
      <c r="E886" s="1500"/>
      <c r="F886" s="814"/>
      <c r="G886" s="1494"/>
      <c r="H886" s="1493"/>
      <c r="I886" s="1493"/>
      <c r="J886" s="813"/>
      <c r="K886" s="814"/>
      <c r="L886" s="1499"/>
      <c r="M886" s="1488"/>
      <c r="N886" s="1488"/>
      <c r="O886" s="1488"/>
      <c r="P886" s="1488"/>
      <c r="Q886" s="1489"/>
      <c r="R886" s="1489"/>
      <c r="S886" s="1489"/>
      <c r="T886" s="1489"/>
      <c r="U886" s="1489"/>
      <c r="V886" s="1489"/>
      <c r="W886" s="1489"/>
      <c r="X886" s="1489"/>
      <c r="Y886" s="1489"/>
      <c r="Z886" s="1489"/>
      <c r="AA886" s="1489"/>
      <c r="AB886" s="1489"/>
      <c r="AC886" s="1489"/>
      <c r="AD886" s="1489"/>
      <c r="AE886" s="1489"/>
      <c r="AF886" s="1489"/>
      <c r="AG886" s="1489"/>
      <c r="AH886" s="1489"/>
      <c r="AI886" s="1489"/>
      <c r="AJ886" s="1489"/>
      <c r="AK886" s="1489"/>
      <c r="AL886" s="1489"/>
      <c r="AM886" s="1489"/>
      <c r="AN886" s="1489"/>
      <c r="AO886" s="1489"/>
      <c r="AP886" s="1489"/>
      <c r="AQ886" s="1489"/>
      <c r="AR886" s="1488"/>
      <c r="AS886" s="1488"/>
      <c r="AT886" s="1488"/>
      <c r="AU886" s="1488"/>
      <c r="AV886" s="1488"/>
      <c r="AW886" s="1488"/>
      <c r="AX886" s="1488"/>
      <c r="AY886" s="1488"/>
    </row>
    <row r="887" spans="3:51" s="1502" customFormat="1">
      <c r="C887" s="1498"/>
      <c r="D887" s="1501"/>
      <c r="E887" s="1500"/>
      <c r="F887" s="814"/>
      <c r="G887" s="1494"/>
      <c r="H887" s="1493"/>
      <c r="I887" s="1493"/>
      <c r="J887" s="813"/>
      <c r="K887" s="814"/>
      <c r="L887" s="1499"/>
      <c r="M887" s="1488"/>
      <c r="N887" s="1488"/>
      <c r="O887" s="1488"/>
      <c r="P887" s="1488"/>
      <c r="Q887" s="1489"/>
      <c r="R887" s="1489"/>
      <c r="S887" s="1489"/>
      <c r="T887" s="1489"/>
      <c r="U887" s="1489"/>
      <c r="V887" s="1489"/>
      <c r="W887" s="1489"/>
      <c r="X887" s="1489"/>
      <c r="Y887" s="1489"/>
      <c r="Z887" s="1489"/>
      <c r="AA887" s="1489"/>
      <c r="AB887" s="1489"/>
      <c r="AC887" s="1489"/>
      <c r="AD887" s="1489"/>
      <c r="AE887" s="1489"/>
      <c r="AF887" s="1489"/>
      <c r="AG887" s="1489"/>
      <c r="AH887" s="1489"/>
      <c r="AI887" s="1489"/>
      <c r="AJ887" s="1489"/>
      <c r="AK887" s="1489"/>
      <c r="AL887" s="1489"/>
      <c r="AM887" s="1489"/>
      <c r="AN887" s="1489"/>
      <c r="AO887" s="1489"/>
      <c r="AP887" s="1489"/>
      <c r="AQ887" s="1489"/>
      <c r="AR887" s="1488"/>
      <c r="AS887" s="1488"/>
      <c r="AT887" s="1488"/>
      <c r="AU887" s="1488"/>
      <c r="AV887" s="1488"/>
      <c r="AW887" s="1488"/>
      <c r="AX887" s="1488"/>
      <c r="AY887" s="1488"/>
    </row>
    <row r="888" spans="3:51" s="1502" customFormat="1">
      <c r="C888" s="1498"/>
      <c r="D888" s="1501"/>
      <c r="E888" s="1500"/>
      <c r="F888" s="814"/>
      <c r="G888" s="1494"/>
      <c r="H888" s="1493"/>
      <c r="I888" s="1493"/>
      <c r="J888" s="813"/>
      <c r="K888" s="814"/>
      <c r="L888" s="1499"/>
      <c r="M888" s="1488"/>
      <c r="N888" s="1488"/>
      <c r="O888" s="1488"/>
      <c r="P888" s="1488"/>
      <c r="Q888" s="1489"/>
      <c r="R888" s="1489"/>
      <c r="S888" s="1489"/>
      <c r="T888" s="1489"/>
      <c r="U888" s="1489"/>
      <c r="V888" s="1489"/>
      <c r="W888" s="1489"/>
      <c r="X888" s="1489"/>
      <c r="Y888" s="1489"/>
      <c r="Z888" s="1489"/>
      <c r="AA888" s="1489"/>
      <c r="AB888" s="1489"/>
      <c r="AC888" s="1489"/>
      <c r="AD888" s="1489"/>
      <c r="AE888" s="1489"/>
      <c r="AF888" s="1489"/>
      <c r="AG888" s="1489"/>
      <c r="AH888" s="1489"/>
      <c r="AI888" s="1489"/>
      <c r="AJ888" s="1489"/>
      <c r="AK888" s="1489"/>
      <c r="AL888" s="1489"/>
      <c r="AM888" s="1489"/>
      <c r="AN888" s="1489"/>
      <c r="AO888" s="1489"/>
      <c r="AP888" s="1489"/>
      <c r="AQ888" s="1489"/>
      <c r="AR888" s="1488"/>
      <c r="AS888" s="1488"/>
      <c r="AT888" s="1488"/>
      <c r="AU888" s="1488"/>
      <c r="AV888" s="1488"/>
      <c r="AW888" s="1488"/>
      <c r="AX888" s="1488"/>
      <c r="AY888" s="1488"/>
    </row>
    <row r="889" spans="3:51" s="1502" customFormat="1">
      <c r="C889" s="1498"/>
      <c r="D889" s="1501"/>
      <c r="E889" s="1500"/>
      <c r="F889" s="814"/>
      <c r="G889" s="1494"/>
      <c r="H889" s="1493"/>
      <c r="I889" s="1493"/>
      <c r="J889" s="813"/>
      <c r="K889" s="814"/>
      <c r="L889" s="1499"/>
      <c r="M889" s="1488"/>
      <c r="N889" s="1488"/>
      <c r="O889" s="1488"/>
      <c r="P889" s="1488"/>
      <c r="Q889" s="1489"/>
      <c r="R889" s="1489"/>
      <c r="S889" s="1489"/>
      <c r="T889" s="1489"/>
      <c r="U889" s="1489"/>
      <c r="V889" s="1489"/>
      <c r="W889" s="1489"/>
      <c r="X889" s="1489"/>
      <c r="Y889" s="1489"/>
      <c r="Z889" s="1489"/>
      <c r="AA889" s="1489"/>
      <c r="AB889" s="1489"/>
      <c r="AC889" s="1489"/>
      <c r="AD889" s="1489"/>
      <c r="AE889" s="1489"/>
      <c r="AF889" s="1489"/>
      <c r="AG889" s="1489"/>
      <c r="AH889" s="1489"/>
      <c r="AI889" s="1489"/>
      <c r="AJ889" s="1489"/>
      <c r="AK889" s="1489"/>
      <c r="AL889" s="1489"/>
      <c r="AM889" s="1489"/>
      <c r="AN889" s="1489"/>
      <c r="AO889" s="1489"/>
      <c r="AP889" s="1489"/>
      <c r="AQ889" s="1489"/>
      <c r="AR889" s="1488"/>
      <c r="AS889" s="1488"/>
      <c r="AT889" s="1488"/>
      <c r="AU889" s="1488"/>
      <c r="AV889" s="1488"/>
      <c r="AW889" s="1488"/>
      <c r="AX889" s="1488"/>
      <c r="AY889" s="1488"/>
    </row>
    <row r="890" spans="3:51" s="1502" customFormat="1">
      <c r="C890" s="1498"/>
      <c r="D890" s="1501"/>
      <c r="E890" s="1500"/>
      <c r="F890" s="814"/>
      <c r="G890" s="1494"/>
      <c r="H890" s="1493"/>
      <c r="I890" s="1493"/>
      <c r="J890" s="813"/>
      <c r="K890" s="814"/>
      <c r="L890" s="1499"/>
      <c r="M890" s="1488"/>
      <c r="N890" s="1488"/>
      <c r="O890" s="1488"/>
      <c r="P890" s="1488"/>
      <c r="Q890" s="1489"/>
      <c r="R890" s="1489"/>
      <c r="S890" s="1489"/>
      <c r="T890" s="1489"/>
      <c r="U890" s="1489"/>
      <c r="V890" s="1489"/>
      <c r="W890" s="1489"/>
      <c r="X890" s="1489"/>
      <c r="Y890" s="1489"/>
      <c r="Z890" s="1489"/>
      <c r="AA890" s="1489"/>
      <c r="AB890" s="1489"/>
      <c r="AC890" s="1489"/>
      <c r="AD890" s="1489"/>
      <c r="AE890" s="1489"/>
      <c r="AF890" s="1489"/>
      <c r="AG890" s="1489"/>
      <c r="AH890" s="1489"/>
      <c r="AI890" s="1489"/>
      <c r="AJ890" s="1489"/>
      <c r="AK890" s="1489"/>
      <c r="AL890" s="1489"/>
      <c r="AM890" s="1489"/>
      <c r="AN890" s="1489"/>
      <c r="AO890" s="1489"/>
      <c r="AP890" s="1489"/>
      <c r="AQ890" s="1489"/>
      <c r="AR890" s="1488"/>
      <c r="AS890" s="1488"/>
      <c r="AT890" s="1488"/>
      <c r="AU890" s="1488"/>
      <c r="AV890" s="1488"/>
      <c r="AW890" s="1488"/>
      <c r="AX890" s="1488"/>
      <c r="AY890" s="1488"/>
    </row>
    <row r="891" spans="3:51" s="1502" customFormat="1">
      <c r="C891" s="1498"/>
      <c r="D891" s="1501"/>
      <c r="E891" s="1500"/>
      <c r="F891" s="814"/>
      <c r="G891" s="1494"/>
      <c r="H891" s="1493"/>
      <c r="I891" s="1493"/>
      <c r="J891" s="813"/>
      <c r="K891" s="814"/>
      <c r="L891" s="1499"/>
      <c r="M891" s="1488"/>
      <c r="N891" s="1488"/>
      <c r="O891" s="1488"/>
      <c r="P891" s="1488"/>
      <c r="Q891" s="1489"/>
      <c r="R891" s="1489"/>
      <c r="S891" s="1489"/>
      <c r="T891" s="1489"/>
      <c r="U891" s="1489"/>
      <c r="V891" s="1489"/>
      <c r="W891" s="1489"/>
      <c r="X891" s="1489"/>
      <c r="Y891" s="1489"/>
      <c r="Z891" s="1489"/>
      <c r="AA891" s="1489"/>
      <c r="AB891" s="1489"/>
      <c r="AC891" s="1489"/>
      <c r="AD891" s="1489"/>
      <c r="AE891" s="1489"/>
      <c r="AF891" s="1489"/>
      <c r="AG891" s="1489"/>
      <c r="AH891" s="1489"/>
      <c r="AI891" s="1489"/>
      <c r="AJ891" s="1489"/>
      <c r="AK891" s="1489"/>
      <c r="AL891" s="1489"/>
      <c r="AM891" s="1489"/>
      <c r="AN891" s="1489"/>
      <c r="AO891" s="1489"/>
      <c r="AP891" s="1489"/>
      <c r="AQ891" s="1489"/>
      <c r="AR891" s="1488"/>
      <c r="AS891" s="1488"/>
      <c r="AT891" s="1488"/>
      <c r="AU891" s="1488"/>
      <c r="AV891" s="1488"/>
      <c r="AW891" s="1488"/>
      <c r="AX891" s="1488"/>
      <c r="AY891" s="1488"/>
    </row>
    <row r="892" spans="3:51" s="1502" customFormat="1">
      <c r="C892" s="1498"/>
      <c r="D892" s="1501"/>
      <c r="E892" s="1500"/>
      <c r="F892" s="814"/>
      <c r="G892" s="1494"/>
      <c r="H892" s="1493"/>
      <c r="I892" s="1493"/>
      <c r="J892" s="813"/>
      <c r="K892" s="814"/>
      <c r="L892" s="1499"/>
      <c r="M892" s="1488"/>
      <c r="N892" s="1488"/>
      <c r="O892" s="1488"/>
      <c r="P892" s="1488"/>
      <c r="Q892" s="1489"/>
      <c r="R892" s="1489"/>
      <c r="S892" s="1489"/>
      <c r="T892" s="1489"/>
      <c r="U892" s="1489"/>
      <c r="V892" s="1489"/>
      <c r="W892" s="1489"/>
      <c r="X892" s="1489"/>
      <c r="Y892" s="1489"/>
      <c r="Z892" s="1489"/>
      <c r="AA892" s="1489"/>
      <c r="AB892" s="1489"/>
      <c r="AC892" s="1489"/>
      <c r="AD892" s="1489"/>
      <c r="AE892" s="1489"/>
      <c r="AF892" s="1489"/>
      <c r="AG892" s="1489"/>
      <c r="AH892" s="1489"/>
      <c r="AI892" s="1489"/>
      <c r="AJ892" s="1489"/>
      <c r="AK892" s="1489"/>
      <c r="AL892" s="1489"/>
      <c r="AM892" s="1489"/>
      <c r="AN892" s="1489"/>
      <c r="AO892" s="1489"/>
      <c r="AP892" s="1489"/>
      <c r="AQ892" s="1489"/>
      <c r="AR892" s="1488"/>
      <c r="AS892" s="1488"/>
      <c r="AT892" s="1488"/>
      <c r="AU892" s="1488"/>
      <c r="AV892" s="1488"/>
      <c r="AW892" s="1488"/>
      <c r="AX892" s="1488"/>
      <c r="AY892" s="1488"/>
    </row>
    <row r="893" spans="3:51" s="1502" customFormat="1">
      <c r="C893" s="1498"/>
      <c r="D893" s="1501"/>
      <c r="E893" s="1500"/>
      <c r="F893" s="814"/>
      <c r="G893" s="1494"/>
      <c r="H893" s="1493"/>
      <c r="I893" s="1493"/>
      <c r="J893" s="813"/>
      <c r="K893" s="814"/>
      <c r="L893" s="1499"/>
      <c r="M893" s="1488"/>
      <c r="N893" s="1488"/>
      <c r="O893" s="1488"/>
      <c r="P893" s="1488"/>
      <c r="Q893" s="1489"/>
      <c r="R893" s="1489"/>
      <c r="S893" s="1489"/>
      <c r="T893" s="1489"/>
      <c r="U893" s="1489"/>
      <c r="V893" s="1489"/>
      <c r="W893" s="1489"/>
      <c r="X893" s="1489"/>
      <c r="Y893" s="1489"/>
      <c r="Z893" s="1489"/>
      <c r="AA893" s="1489"/>
      <c r="AB893" s="1489"/>
      <c r="AC893" s="1489"/>
      <c r="AD893" s="1489"/>
      <c r="AE893" s="1489"/>
      <c r="AF893" s="1489"/>
      <c r="AG893" s="1489"/>
      <c r="AH893" s="1489"/>
      <c r="AI893" s="1489"/>
      <c r="AJ893" s="1489"/>
      <c r="AK893" s="1489"/>
      <c r="AL893" s="1489"/>
      <c r="AM893" s="1489"/>
      <c r="AN893" s="1489"/>
      <c r="AO893" s="1489"/>
      <c r="AP893" s="1489"/>
      <c r="AQ893" s="1489"/>
      <c r="AR893" s="1488"/>
      <c r="AS893" s="1488"/>
      <c r="AT893" s="1488"/>
      <c r="AU893" s="1488"/>
      <c r="AV893" s="1488"/>
      <c r="AW893" s="1488"/>
      <c r="AX893" s="1488"/>
      <c r="AY893" s="1488"/>
    </row>
    <row r="894" spans="3:51" s="1502" customFormat="1">
      <c r="C894" s="1498"/>
      <c r="D894" s="1501"/>
      <c r="E894" s="1500"/>
      <c r="F894" s="814"/>
      <c r="G894" s="1494"/>
      <c r="H894" s="1493"/>
      <c r="I894" s="1493"/>
      <c r="J894" s="813"/>
      <c r="K894" s="814"/>
      <c r="L894" s="1499"/>
      <c r="M894" s="1488"/>
      <c r="N894" s="1488"/>
      <c r="O894" s="1488"/>
      <c r="P894" s="1488"/>
      <c r="Q894" s="1489"/>
      <c r="R894" s="1489"/>
      <c r="S894" s="1489"/>
      <c r="T894" s="1489"/>
      <c r="U894" s="1489"/>
      <c r="V894" s="1489"/>
      <c r="W894" s="1489"/>
      <c r="X894" s="1489"/>
      <c r="Y894" s="1489"/>
      <c r="Z894" s="1489"/>
      <c r="AA894" s="1489"/>
      <c r="AB894" s="1489"/>
      <c r="AC894" s="1489"/>
      <c r="AD894" s="1489"/>
      <c r="AE894" s="1489"/>
      <c r="AF894" s="1489"/>
      <c r="AG894" s="1489"/>
      <c r="AH894" s="1489"/>
      <c r="AI894" s="1489"/>
      <c r="AJ894" s="1489"/>
      <c r="AK894" s="1489"/>
      <c r="AL894" s="1489"/>
      <c r="AM894" s="1489"/>
      <c r="AN894" s="1489"/>
      <c r="AO894" s="1489"/>
      <c r="AP894" s="1489"/>
      <c r="AQ894" s="1489"/>
      <c r="AR894" s="1488"/>
      <c r="AS894" s="1488"/>
      <c r="AT894" s="1488"/>
      <c r="AU894" s="1488"/>
      <c r="AV894" s="1488"/>
      <c r="AW894" s="1488"/>
      <c r="AX894" s="1488"/>
      <c r="AY894" s="1488"/>
    </row>
    <row r="895" spans="3:51" s="1502" customFormat="1">
      <c r="C895" s="1498"/>
      <c r="D895" s="1501"/>
      <c r="E895" s="1500"/>
      <c r="F895" s="814"/>
      <c r="G895" s="1494"/>
      <c r="H895" s="1493"/>
      <c r="I895" s="1493"/>
      <c r="J895" s="813"/>
      <c r="K895" s="814"/>
      <c r="L895" s="1499"/>
      <c r="M895" s="1488"/>
      <c r="N895" s="1488"/>
      <c r="O895" s="1488"/>
      <c r="P895" s="1488"/>
      <c r="Q895" s="1489"/>
      <c r="R895" s="1489"/>
      <c r="S895" s="1489"/>
      <c r="T895" s="1489"/>
      <c r="U895" s="1489"/>
      <c r="V895" s="1489"/>
      <c r="W895" s="1489"/>
      <c r="X895" s="1489"/>
      <c r="Y895" s="1489"/>
      <c r="Z895" s="1489"/>
      <c r="AA895" s="1489"/>
      <c r="AB895" s="1489"/>
      <c r="AC895" s="1489"/>
      <c r="AD895" s="1489"/>
      <c r="AE895" s="1489"/>
      <c r="AF895" s="1489"/>
      <c r="AG895" s="1489"/>
      <c r="AH895" s="1489"/>
      <c r="AI895" s="1489"/>
      <c r="AJ895" s="1489"/>
      <c r="AK895" s="1489"/>
      <c r="AL895" s="1489"/>
      <c r="AM895" s="1489"/>
      <c r="AN895" s="1489"/>
      <c r="AO895" s="1489"/>
      <c r="AP895" s="1489"/>
      <c r="AQ895" s="1489"/>
      <c r="AR895" s="1488"/>
      <c r="AS895" s="1488"/>
      <c r="AT895" s="1488"/>
      <c r="AU895" s="1488"/>
      <c r="AV895" s="1488"/>
      <c r="AW895" s="1488"/>
      <c r="AX895" s="1488"/>
      <c r="AY895" s="1488"/>
    </row>
    <row r="896" spans="3:51" s="1502" customFormat="1">
      <c r="C896" s="1498"/>
      <c r="D896" s="1501"/>
      <c r="E896" s="1500"/>
      <c r="F896" s="814"/>
      <c r="G896" s="1494"/>
      <c r="H896" s="1493"/>
      <c r="I896" s="1493"/>
      <c r="J896" s="813"/>
      <c r="K896" s="814"/>
      <c r="L896" s="1499"/>
      <c r="M896" s="1488"/>
      <c r="N896" s="1488"/>
      <c r="O896" s="1488"/>
      <c r="P896" s="1488"/>
      <c r="Q896" s="1489"/>
      <c r="R896" s="1489"/>
      <c r="S896" s="1489"/>
      <c r="T896" s="1489"/>
      <c r="U896" s="1489"/>
      <c r="V896" s="1489"/>
      <c r="W896" s="1489"/>
      <c r="X896" s="1489"/>
      <c r="Y896" s="1489"/>
      <c r="Z896" s="1489"/>
      <c r="AA896" s="1489"/>
      <c r="AB896" s="1489"/>
      <c r="AC896" s="1489"/>
      <c r="AD896" s="1489"/>
      <c r="AE896" s="1489"/>
      <c r="AF896" s="1489"/>
      <c r="AG896" s="1489"/>
      <c r="AH896" s="1489"/>
      <c r="AI896" s="1489"/>
      <c r="AJ896" s="1489"/>
      <c r="AK896" s="1489"/>
      <c r="AL896" s="1489"/>
      <c r="AM896" s="1489"/>
      <c r="AN896" s="1489"/>
      <c r="AO896" s="1489"/>
      <c r="AP896" s="1489"/>
      <c r="AQ896" s="1489"/>
      <c r="AR896" s="1488"/>
      <c r="AS896" s="1488"/>
      <c r="AT896" s="1488"/>
      <c r="AU896" s="1488"/>
      <c r="AV896" s="1488"/>
      <c r="AW896" s="1488"/>
      <c r="AX896" s="1488"/>
      <c r="AY896" s="1488"/>
    </row>
    <row r="897" spans="3:51" s="1502" customFormat="1">
      <c r="C897" s="1498"/>
      <c r="D897" s="1501"/>
      <c r="E897" s="1500"/>
      <c r="F897" s="814"/>
      <c r="G897" s="1494"/>
      <c r="H897" s="1493"/>
      <c r="I897" s="1493"/>
      <c r="J897" s="813"/>
      <c r="K897" s="814"/>
      <c r="L897" s="1499"/>
      <c r="M897" s="1488"/>
      <c r="N897" s="1488"/>
      <c r="O897" s="1488"/>
      <c r="P897" s="1488"/>
      <c r="Q897" s="1489"/>
      <c r="R897" s="1489"/>
      <c r="S897" s="1489"/>
      <c r="T897" s="1489"/>
      <c r="U897" s="1489"/>
      <c r="V897" s="1489"/>
      <c r="W897" s="1489"/>
      <c r="X897" s="1489"/>
      <c r="Y897" s="1489"/>
      <c r="Z897" s="1489"/>
      <c r="AA897" s="1489"/>
      <c r="AB897" s="1489"/>
      <c r="AC897" s="1489"/>
      <c r="AD897" s="1489"/>
      <c r="AE897" s="1489"/>
      <c r="AF897" s="1489"/>
      <c r="AG897" s="1489"/>
      <c r="AH897" s="1489"/>
      <c r="AI897" s="1489"/>
      <c r="AJ897" s="1489"/>
      <c r="AK897" s="1489"/>
      <c r="AL897" s="1489"/>
      <c r="AM897" s="1489"/>
      <c r="AN897" s="1489"/>
      <c r="AO897" s="1489"/>
      <c r="AP897" s="1489"/>
      <c r="AQ897" s="1489"/>
      <c r="AR897" s="1488"/>
      <c r="AS897" s="1488"/>
      <c r="AT897" s="1488"/>
      <c r="AU897" s="1488"/>
      <c r="AV897" s="1488"/>
      <c r="AW897" s="1488"/>
      <c r="AX897" s="1488"/>
      <c r="AY897" s="1488"/>
    </row>
    <row r="898" spans="3:51" s="1502" customFormat="1">
      <c r="C898" s="1498"/>
      <c r="D898" s="1501"/>
      <c r="E898" s="1500"/>
      <c r="F898" s="814"/>
      <c r="G898" s="1494"/>
      <c r="H898" s="1493"/>
      <c r="I898" s="1493"/>
      <c r="J898" s="813"/>
      <c r="K898" s="814"/>
      <c r="L898" s="1499"/>
      <c r="M898" s="1488"/>
      <c r="N898" s="1488"/>
      <c r="O898" s="1488"/>
      <c r="P898" s="1488"/>
      <c r="Q898" s="1489"/>
      <c r="R898" s="1489"/>
      <c r="S898" s="1489"/>
      <c r="T898" s="1489"/>
      <c r="U898" s="1489"/>
      <c r="V898" s="1489"/>
      <c r="W898" s="1489"/>
      <c r="X898" s="1489"/>
      <c r="Y898" s="1489"/>
      <c r="Z898" s="1489"/>
      <c r="AA898" s="1489"/>
      <c r="AB898" s="1489"/>
      <c r="AC898" s="1489"/>
      <c r="AD898" s="1489"/>
      <c r="AE898" s="1489"/>
      <c r="AF898" s="1489"/>
      <c r="AG898" s="1489"/>
      <c r="AH898" s="1489"/>
      <c r="AI898" s="1489"/>
      <c r="AJ898" s="1489"/>
      <c r="AK898" s="1489"/>
      <c r="AL898" s="1489"/>
      <c r="AM898" s="1489"/>
      <c r="AN898" s="1489"/>
      <c r="AO898" s="1489"/>
      <c r="AP898" s="1489"/>
      <c r="AQ898" s="1489"/>
      <c r="AR898" s="1488"/>
      <c r="AS898" s="1488"/>
      <c r="AT898" s="1488"/>
      <c r="AU898" s="1488"/>
      <c r="AV898" s="1488"/>
      <c r="AW898" s="1488"/>
      <c r="AX898" s="1488"/>
      <c r="AY898" s="1488"/>
    </row>
    <row r="899" spans="3:51" s="1502" customFormat="1">
      <c r="C899" s="1498"/>
      <c r="D899" s="1501"/>
      <c r="E899" s="1500"/>
      <c r="F899" s="814"/>
      <c r="G899" s="1494"/>
      <c r="H899" s="1493"/>
      <c r="I899" s="1493"/>
      <c r="J899" s="813"/>
      <c r="K899" s="814"/>
      <c r="L899" s="1499"/>
      <c r="M899" s="1488"/>
      <c r="N899" s="1488"/>
      <c r="O899" s="1488"/>
      <c r="P899" s="1488"/>
      <c r="Q899" s="1489"/>
      <c r="R899" s="1489"/>
      <c r="S899" s="1489"/>
      <c r="T899" s="1489"/>
      <c r="U899" s="1489"/>
      <c r="V899" s="1489"/>
      <c r="W899" s="1489"/>
      <c r="X899" s="1489"/>
      <c r="Y899" s="1489"/>
      <c r="Z899" s="1489"/>
      <c r="AA899" s="1489"/>
      <c r="AB899" s="1489"/>
      <c r="AC899" s="1489"/>
      <c r="AD899" s="1489"/>
      <c r="AE899" s="1489"/>
      <c r="AF899" s="1489"/>
      <c r="AG899" s="1489"/>
      <c r="AH899" s="1489"/>
      <c r="AI899" s="1489"/>
      <c r="AJ899" s="1489"/>
      <c r="AK899" s="1489"/>
      <c r="AL899" s="1489"/>
      <c r="AM899" s="1489"/>
      <c r="AN899" s="1489"/>
      <c r="AO899" s="1489"/>
      <c r="AP899" s="1489"/>
      <c r="AQ899" s="1489"/>
      <c r="AR899" s="1488"/>
      <c r="AS899" s="1488"/>
      <c r="AT899" s="1488"/>
      <c r="AU899" s="1488"/>
      <c r="AV899" s="1488"/>
      <c r="AW899" s="1488"/>
      <c r="AX899" s="1488"/>
      <c r="AY899" s="1488"/>
    </row>
    <row r="900" spans="3:51" s="1502" customFormat="1">
      <c r="C900" s="1498"/>
      <c r="D900" s="1501"/>
      <c r="E900" s="1500"/>
      <c r="F900" s="814"/>
      <c r="G900" s="1494"/>
      <c r="H900" s="1493"/>
      <c r="I900" s="1493"/>
      <c r="J900" s="813"/>
      <c r="K900" s="814"/>
      <c r="L900" s="1499"/>
      <c r="M900" s="1488"/>
      <c r="N900" s="1488"/>
      <c r="O900" s="1488"/>
      <c r="P900" s="1488"/>
      <c r="Q900" s="1489"/>
      <c r="R900" s="1489"/>
      <c r="S900" s="1489"/>
      <c r="T900" s="1489"/>
      <c r="U900" s="1489"/>
      <c r="V900" s="1489"/>
      <c r="W900" s="1489"/>
      <c r="X900" s="1489"/>
      <c r="Y900" s="1489"/>
      <c r="Z900" s="1489"/>
      <c r="AA900" s="1489"/>
      <c r="AB900" s="1489"/>
      <c r="AC900" s="1489"/>
      <c r="AD900" s="1489"/>
      <c r="AE900" s="1489"/>
      <c r="AF900" s="1489"/>
      <c r="AG900" s="1489"/>
      <c r="AH900" s="1489"/>
      <c r="AI900" s="1489"/>
      <c r="AJ900" s="1489"/>
      <c r="AK900" s="1489"/>
      <c r="AL900" s="1489"/>
      <c r="AM900" s="1489"/>
      <c r="AN900" s="1489"/>
      <c r="AO900" s="1489"/>
      <c r="AP900" s="1489"/>
      <c r="AQ900" s="1489"/>
      <c r="AR900" s="1488"/>
      <c r="AS900" s="1488"/>
      <c r="AT900" s="1488"/>
      <c r="AU900" s="1488"/>
      <c r="AV900" s="1488"/>
      <c r="AW900" s="1488"/>
      <c r="AX900" s="1488"/>
      <c r="AY900" s="1488"/>
    </row>
    <row r="901" spans="3:51" s="1502" customFormat="1">
      <c r="C901" s="1498"/>
      <c r="D901" s="1501"/>
      <c r="E901" s="1500"/>
      <c r="F901" s="814"/>
      <c r="G901" s="1494"/>
      <c r="H901" s="1493"/>
      <c r="I901" s="1493"/>
      <c r="J901" s="813"/>
      <c r="K901" s="814"/>
      <c r="L901" s="1499"/>
      <c r="M901" s="1488"/>
      <c r="N901" s="1488"/>
      <c r="O901" s="1488"/>
      <c r="P901" s="1488"/>
      <c r="Q901" s="1489"/>
      <c r="R901" s="1489"/>
      <c r="S901" s="1489"/>
      <c r="T901" s="1489"/>
      <c r="U901" s="1489"/>
      <c r="V901" s="1489"/>
      <c r="W901" s="1489"/>
      <c r="X901" s="1489"/>
      <c r="Y901" s="1489"/>
      <c r="Z901" s="1489"/>
      <c r="AA901" s="1489"/>
      <c r="AB901" s="1489"/>
      <c r="AC901" s="1489"/>
      <c r="AD901" s="1489"/>
      <c r="AE901" s="1489"/>
      <c r="AF901" s="1489"/>
      <c r="AG901" s="1489"/>
      <c r="AH901" s="1489"/>
      <c r="AI901" s="1489"/>
      <c r="AJ901" s="1489"/>
      <c r="AK901" s="1489"/>
      <c r="AL901" s="1489"/>
      <c r="AM901" s="1489"/>
      <c r="AN901" s="1489"/>
      <c r="AO901" s="1489"/>
      <c r="AP901" s="1489"/>
      <c r="AQ901" s="1489"/>
      <c r="AR901" s="1488"/>
      <c r="AS901" s="1488"/>
      <c r="AT901" s="1488"/>
      <c r="AU901" s="1488"/>
      <c r="AV901" s="1488"/>
      <c r="AW901" s="1488"/>
      <c r="AX901" s="1488"/>
      <c r="AY901" s="1488"/>
    </row>
    <row r="902" spans="3:51" s="1502" customFormat="1">
      <c r="C902" s="1498"/>
      <c r="D902" s="1501"/>
      <c r="E902" s="1500"/>
      <c r="F902" s="814"/>
      <c r="G902" s="1494"/>
      <c r="H902" s="1493"/>
      <c r="I902" s="1493"/>
      <c r="J902" s="813"/>
      <c r="K902" s="814"/>
      <c r="L902" s="1499"/>
      <c r="M902" s="1488"/>
      <c r="N902" s="1488"/>
      <c r="O902" s="1488"/>
      <c r="P902" s="1488"/>
      <c r="Q902" s="1489"/>
      <c r="R902" s="1489"/>
      <c r="S902" s="1489"/>
      <c r="T902" s="1489"/>
      <c r="U902" s="1489"/>
      <c r="V902" s="1489"/>
      <c r="W902" s="1489"/>
      <c r="X902" s="1489"/>
      <c r="Y902" s="1489"/>
      <c r="Z902" s="1489"/>
      <c r="AA902" s="1489"/>
      <c r="AB902" s="1489"/>
      <c r="AC902" s="1489"/>
      <c r="AD902" s="1489"/>
      <c r="AE902" s="1489"/>
      <c r="AF902" s="1489"/>
      <c r="AG902" s="1489"/>
      <c r="AH902" s="1489"/>
      <c r="AI902" s="1489"/>
      <c r="AJ902" s="1489"/>
      <c r="AK902" s="1489"/>
      <c r="AL902" s="1489"/>
      <c r="AM902" s="1489"/>
      <c r="AN902" s="1489"/>
      <c r="AO902" s="1489"/>
      <c r="AP902" s="1489"/>
      <c r="AQ902" s="1489"/>
      <c r="AR902" s="1488"/>
      <c r="AS902" s="1488"/>
      <c r="AT902" s="1488"/>
      <c r="AU902" s="1488"/>
      <c r="AV902" s="1488"/>
      <c r="AW902" s="1488"/>
      <c r="AX902" s="1488"/>
      <c r="AY902" s="1488"/>
    </row>
    <row r="903" spans="3:51" s="1502" customFormat="1">
      <c r="C903" s="1498"/>
      <c r="D903" s="1501"/>
      <c r="E903" s="1500"/>
      <c r="F903" s="814"/>
      <c r="G903" s="1494"/>
      <c r="H903" s="1493"/>
      <c r="I903" s="1493"/>
      <c r="J903" s="813"/>
      <c r="K903" s="814"/>
      <c r="L903" s="1499"/>
      <c r="M903" s="1488"/>
      <c r="N903" s="1488"/>
      <c r="O903" s="1488"/>
      <c r="P903" s="1488"/>
      <c r="Q903" s="1489"/>
      <c r="R903" s="1489"/>
      <c r="S903" s="1489"/>
      <c r="T903" s="1489"/>
      <c r="U903" s="1489"/>
      <c r="V903" s="1489"/>
      <c r="W903" s="1489"/>
      <c r="X903" s="1489"/>
      <c r="Y903" s="1489"/>
      <c r="Z903" s="1489"/>
      <c r="AA903" s="1489"/>
      <c r="AB903" s="1489"/>
      <c r="AC903" s="1489"/>
      <c r="AD903" s="1489"/>
      <c r="AE903" s="1489"/>
      <c r="AF903" s="1489"/>
      <c r="AG903" s="1489"/>
      <c r="AH903" s="1489"/>
      <c r="AI903" s="1489"/>
      <c r="AJ903" s="1489"/>
      <c r="AK903" s="1489"/>
      <c r="AL903" s="1489"/>
      <c r="AM903" s="1489"/>
      <c r="AN903" s="1489"/>
      <c r="AO903" s="1489"/>
      <c r="AP903" s="1489"/>
      <c r="AQ903" s="1489"/>
      <c r="AR903" s="1488"/>
      <c r="AS903" s="1488"/>
      <c r="AT903" s="1488"/>
      <c r="AU903" s="1488"/>
      <c r="AV903" s="1488"/>
      <c r="AW903" s="1488"/>
      <c r="AX903" s="1488"/>
      <c r="AY903" s="1488"/>
    </row>
    <row r="904" spans="3:51" s="1502" customFormat="1">
      <c r="C904" s="1498"/>
      <c r="D904" s="1501"/>
      <c r="E904" s="1500"/>
      <c r="F904" s="814"/>
      <c r="G904" s="1494"/>
      <c r="H904" s="1493"/>
      <c r="I904" s="1493"/>
      <c r="J904" s="813"/>
      <c r="K904" s="814"/>
      <c r="L904" s="1499"/>
      <c r="M904" s="1488"/>
      <c r="N904" s="1488"/>
      <c r="O904" s="1488"/>
      <c r="P904" s="1488"/>
      <c r="Q904" s="1489"/>
      <c r="R904" s="1489"/>
      <c r="S904" s="1489"/>
      <c r="T904" s="1489"/>
      <c r="U904" s="1489"/>
      <c r="V904" s="1489"/>
      <c r="W904" s="1489"/>
      <c r="X904" s="1489"/>
      <c r="Y904" s="1489"/>
      <c r="Z904" s="1489"/>
      <c r="AA904" s="1489"/>
      <c r="AB904" s="1489"/>
      <c r="AC904" s="1489"/>
      <c r="AD904" s="1489"/>
      <c r="AE904" s="1489"/>
      <c r="AF904" s="1489"/>
      <c r="AG904" s="1489"/>
      <c r="AH904" s="1489"/>
      <c r="AI904" s="1489"/>
      <c r="AJ904" s="1489"/>
      <c r="AK904" s="1489"/>
      <c r="AL904" s="1489"/>
      <c r="AM904" s="1489"/>
      <c r="AN904" s="1489"/>
      <c r="AO904" s="1489"/>
      <c r="AP904" s="1489"/>
      <c r="AQ904" s="1489"/>
      <c r="AR904" s="1488"/>
      <c r="AS904" s="1488"/>
      <c r="AT904" s="1488"/>
      <c r="AU904" s="1488"/>
      <c r="AV904" s="1488"/>
      <c r="AW904" s="1488"/>
      <c r="AX904" s="1488"/>
      <c r="AY904" s="1488"/>
    </row>
    <row r="905" spans="3:51" s="1502" customFormat="1">
      <c r="C905" s="1498"/>
      <c r="D905" s="1501"/>
      <c r="E905" s="1500"/>
      <c r="F905" s="814"/>
      <c r="G905" s="1494"/>
      <c r="H905" s="1493"/>
      <c r="I905" s="1493"/>
      <c r="J905" s="813"/>
      <c r="K905" s="814"/>
      <c r="L905" s="1499"/>
      <c r="M905" s="1488"/>
      <c r="N905" s="1488"/>
      <c r="O905" s="1488"/>
      <c r="P905" s="1488"/>
      <c r="Q905" s="1489"/>
      <c r="R905" s="1489"/>
      <c r="S905" s="1489"/>
      <c r="T905" s="1489"/>
      <c r="U905" s="1489"/>
      <c r="V905" s="1489"/>
      <c r="W905" s="1489"/>
      <c r="X905" s="1489"/>
      <c r="Y905" s="1489"/>
      <c r="Z905" s="1489"/>
      <c r="AA905" s="1489"/>
      <c r="AB905" s="1489"/>
      <c r="AC905" s="1489"/>
      <c r="AD905" s="1489"/>
      <c r="AE905" s="1489"/>
      <c r="AF905" s="1489"/>
      <c r="AG905" s="1489"/>
      <c r="AH905" s="1489"/>
      <c r="AI905" s="1489"/>
      <c r="AJ905" s="1489"/>
      <c r="AK905" s="1489"/>
      <c r="AL905" s="1489"/>
      <c r="AM905" s="1489"/>
      <c r="AN905" s="1489"/>
      <c r="AO905" s="1489"/>
      <c r="AP905" s="1489"/>
      <c r="AQ905" s="1489"/>
      <c r="AR905" s="1488"/>
      <c r="AS905" s="1488"/>
      <c r="AT905" s="1488"/>
      <c r="AU905" s="1488"/>
      <c r="AV905" s="1488"/>
      <c r="AW905" s="1488"/>
      <c r="AX905" s="1488"/>
      <c r="AY905" s="1488"/>
    </row>
    <row r="906" spans="3:51" s="1502" customFormat="1">
      <c r="C906" s="1498"/>
      <c r="D906" s="1501"/>
      <c r="E906" s="1500"/>
      <c r="F906" s="814"/>
      <c r="G906" s="1494"/>
      <c r="H906" s="1493"/>
      <c r="I906" s="1493"/>
      <c r="J906" s="813"/>
      <c r="K906" s="814"/>
      <c r="L906" s="1499"/>
      <c r="M906" s="1488"/>
      <c r="N906" s="1488"/>
      <c r="O906" s="1488"/>
      <c r="P906" s="1488"/>
      <c r="Q906" s="1489"/>
      <c r="R906" s="1489"/>
      <c r="S906" s="1489"/>
      <c r="T906" s="1489"/>
      <c r="U906" s="1489"/>
      <c r="V906" s="1489"/>
      <c r="W906" s="1489"/>
      <c r="X906" s="1489"/>
      <c r="Y906" s="1489"/>
      <c r="Z906" s="1489"/>
      <c r="AA906" s="1489"/>
      <c r="AB906" s="1489"/>
      <c r="AC906" s="1489"/>
      <c r="AD906" s="1489"/>
      <c r="AE906" s="1489"/>
      <c r="AF906" s="1489"/>
      <c r="AG906" s="1489"/>
      <c r="AH906" s="1489"/>
      <c r="AI906" s="1489"/>
      <c r="AJ906" s="1489"/>
      <c r="AK906" s="1489"/>
      <c r="AL906" s="1489"/>
      <c r="AM906" s="1489"/>
      <c r="AN906" s="1489"/>
      <c r="AO906" s="1489"/>
      <c r="AP906" s="1489"/>
      <c r="AQ906" s="1489"/>
      <c r="AR906" s="1488"/>
      <c r="AS906" s="1488"/>
      <c r="AT906" s="1488"/>
      <c r="AU906" s="1488"/>
      <c r="AV906" s="1488"/>
      <c r="AW906" s="1488"/>
      <c r="AX906" s="1488"/>
      <c r="AY906" s="1488"/>
    </row>
    <row r="907" spans="3:51" s="1502" customFormat="1">
      <c r="C907" s="1498"/>
      <c r="D907" s="1501"/>
      <c r="E907" s="1500"/>
      <c r="F907" s="814"/>
      <c r="G907" s="1494"/>
      <c r="H907" s="1493"/>
      <c r="I907" s="1493"/>
      <c r="J907" s="813"/>
      <c r="K907" s="814"/>
      <c r="L907" s="1499"/>
      <c r="M907" s="1488"/>
      <c r="N907" s="1488"/>
      <c r="O907" s="1488"/>
      <c r="P907" s="1488"/>
      <c r="Q907" s="1489"/>
      <c r="R907" s="1489"/>
      <c r="S907" s="1489"/>
      <c r="T907" s="1489"/>
      <c r="U907" s="1489"/>
      <c r="V907" s="1489"/>
      <c r="W907" s="1489"/>
      <c r="X907" s="1489"/>
      <c r="Y907" s="1489"/>
      <c r="Z907" s="1489"/>
      <c r="AA907" s="1489"/>
      <c r="AB907" s="1489"/>
      <c r="AC907" s="1489"/>
      <c r="AD907" s="1489"/>
      <c r="AE907" s="1489"/>
      <c r="AF907" s="1489"/>
      <c r="AG907" s="1489"/>
      <c r="AH907" s="1489"/>
      <c r="AI907" s="1489"/>
      <c r="AJ907" s="1489"/>
      <c r="AK907" s="1489"/>
      <c r="AL907" s="1489"/>
      <c r="AM907" s="1489"/>
      <c r="AN907" s="1489"/>
      <c r="AO907" s="1489"/>
      <c r="AP907" s="1489"/>
      <c r="AQ907" s="1489"/>
      <c r="AR907" s="1488"/>
      <c r="AS907" s="1488"/>
      <c r="AT907" s="1488"/>
      <c r="AU907" s="1488"/>
      <c r="AV907" s="1488"/>
      <c r="AW907" s="1488"/>
      <c r="AX907" s="1488"/>
      <c r="AY907" s="1488"/>
    </row>
    <row r="908" spans="3:51" s="1502" customFormat="1">
      <c r="C908" s="1498"/>
      <c r="D908" s="1501"/>
      <c r="E908" s="1500"/>
      <c r="F908" s="814"/>
      <c r="G908" s="1494"/>
      <c r="H908" s="1493"/>
      <c r="I908" s="1493"/>
      <c r="J908" s="813"/>
      <c r="K908" s="814"/>
      <c r="L908" s="1499"/>
      <c r="M908" s="1488"/>
      <c r="N908" s="1488"/>
      <c r="O908" s="1488"/>
      <c r="P908" s="1488"/>
      <c r="Q908" s="1489"/>
      <c r="R908" s="1489"/>
      <c r="S908" s="1489"/>
      <c r="T908" s="1489"/>
      <c r="U908" s="1489"/>
      <c r="V908" s="1489"/>
      <c r="W908" s="1489"/>
      <c r="X908" s="1489"/>
      <c r="Y908" s="1489"/>
      <c r="Z908" s="1489"/>
      <c r="AA908" s="1489"/>
      <c r="AB908" s="1489"/>
      <c r="AC908" s="1489"/>
      <c r="AD908" s="1489"/>
      <c r="AE908" s="1489"/>
      <c r="AF908" s="1489"/>
      <c r="AG908" s="1489"/>
      <c r="AH908" s="1489"/>
      <c r="AI908" s="1489"/>
      <c r="AJ908" s="1489"/>
      <c r="AK908" s="1489"/>
      <c r="AL908" s="1489"/>
      <c r="AM908" s="1489"/>
      <c r="AN908" s="1489"/>
      <c r="AO908" s="1489"/>
      <c r="AP908" s="1489"/>
      <c r="AQ908" s="1489"/>
      <c r="AR908" s="1488"/>
      <c r="AS908" s="1488"/>
      <c r="AT908" s="1488"/>
      <c r="AU908" s="1488"/>
      <c r="AV908" s="1488"/>
      <c r="AW908" s="1488"/>
      <c r="AX908" s="1488"/>
      <c r="AY908" s="1488"/>
    </row>
    <row r="909" spans="3:51" s="1502" customFormat="1">
      <c r="C909" s="1498"/>
      <c r="D909" s="1501"/>
      <c r="E909" s="1500"/>
      <c r="F909" s="814"/>
      <c r="G909" s="1494"/>
      <c r="H909" s="1493"/>
      <c r="I909" s="1493"/>
      <c r="J909" s="813"/>
      <c r="K909" s="814"/>
      <c r="L909" s="1499"/>
      <c r="M909" s="1488"/>
      <c r="N909" s="1488"/>
      <c r="O909" s="1488"/>
      <c r="P909" s="1488"/>
      <c r="Q909" s="1489"/>
      <c r="R909" s="1489"/>
      <c r="S909" s="1489"/>
      <c r="T909" s="1489"/>
      <c r="U909" s="1489"/>
      <c r="V909" s="1489"/>
      <c r="W909" s="1489"/>
      <c r="X909" s="1489"/>
      <c r="Y909" s="1489"/>
      <c r="Z909" s="1489"/>
      <c r="AA909" s="1489"/>
      <c r="AB909" s="1489"/>
      <c r="AC909" s="1489"/>
      <c r="AD909" s="1489"/>
      <c r="AE909" s="1489"/>
      <c r="AF909" s="1489"/>
      <c r="AG909" s="1489"/>
      <c r="AH909" s="1489"/>
      <c r="AI909" s="1489"/>
      <c r="AJ909" s="1489"/>
      <c r="AK909" s="1489"/>
      <c r="AL909" s="1489"/>
      <c r="AM909" s="1489"/>
      <c r="AN909" s="1489"/>
      <c r="AO909" s="1489"/>
      <c r="AP909" s="1489"/>
      <c r="AQ909" s="1489"/>
      <c r="AR909" s="1488"/>
      <c r="AS909" s="1488"/>
      <c r="AT909" s="1488"/>
      <c r="AU909" s="1488"/>
      <c r="AV909" s="1488"/>
      <c r="AW909" s="1488"/>
      <c r="AX909" s="1488"/>
      <c r="AY909" s="1488"/>
    </row>
    <row r="910" spans="3:51" s="1502" customFormat="1">
      <c r="C910" s="1498"/>
      <c r="D910" s="1501"/>
      <c r="E910" s="1500"/>
      <c r="F910" s="814"/>
      <c r="G910" s="1494"/>
      <c r="H910" s="1493"/>
      <c r="I910" s="1493"/>
      <c r="J910" s="813"/>
      <c r="K910" s="814"/>
      <c r="L910" s="1499"/>
      <c r="M910" s="1488"/>
      <c r="N910" s="1488"/>
      <c r="O910" s="1488"/>
      <c r="P910" s="1488"/>
      <c r="Q910" s="1489"/>
      <c r="R910" s="1489"/>
      <c r="S910" s="1489"/>
      <c r="T910" s="1489"/>
      <c r="U910" s="1489"/>
      <c r="V910" s="1489"/>
      <c r="W910" s="1489"/>
      <c r="X910" s="1489"/>
      <c r="Y910" s="1489"/>
      <c r="Z910" s="1489"/>
      <c r="AA910" s="1489"/>
      <c r="AB910" s="1489"/>
      <c r="AC910" s="1489"/>
      <c r="AD910" s="1489"/>
      <c r="AE910" s="1489"/>
      <c r="AF910" s="1489"/>
      <c r="AG910" s="1489"/>
      <c r="AH910" s="1489"/>
      <c r="AI910" s="1489"/>
      <c r="AJ910" s="1489"/>
      <c r="AK910" s="1489"/>
      <c r="AL910" s="1489"/>
      <c r="AM910" s="1489"/>
      <c r="AN910" s="1489"/>
      <c r="AO910" s="1489"/>
      <c r="AP910" s="1489"/>
      <c r="AQ910" s="1489"/>
      <c r="AR910" s="1488"/>
      <c r="AS910" s="1488"/>
      <c r="AT910" s="1488"/>
      <c r="AU910" s="1488"/>
      <c r="AV910" s="1488"/>
      <c r="AW910" s="1488"/>
      <c r="AX910" s="1488"/>
      <c r="AY910" s="1488"/>
    </row>
    <row r="911" spans="3:51" s="1502" customFormat="1">
      <c r="C911" s="1498"/>
      <c r="D911" s="1501"/>
      <c r="E911" s="1500"/>
      <c r="F911" s="814"/>
      <c r="G911" s="1494"/>
      <c r="H911" s="1493"/>
      <c r="I911" s="1493"/>
      <c r="J911" s="813"/>
      <c r="K911" s="814"/>
      <c r="L911" s="1499"/>
      <c r="M911" s="1488"/>
      <c r="N911" s="1488"/>
      <c r="O911" s="1488"/>
      <c r="P911" s="1488"/>
      <c r="Q911" s="1489"/>
      <c r="R911" s="1489"/>
      <c r="S911" s="1489"/>
      <c r="T911" s="1489"/>
      <c r="U911" s="1489"/>
      <c r="V911" s="1489"/>
      <c r="W911" s="1489"/>
      <c r="X911" s="1489"/>
      <c r="Y911" s="1489"/>
      <c r="Z911" s="1489"/>
      <c r="AA911" s="1489"/>
      <c r="AB911" s="1489"/>
      <c r="AC911" s="1489"/>
      <c r="AD911" s="1489"/>
      <c r="AE911" s="1489"/>
      <c r="AF911" s="1489"/>
      <c r="AG911" s="1489"/>
      <c r="AH911" s="1489"/>
      <c r="AI911" s="1489"/>
      <c r="AJ911" s="1489"/>
      <c r="AK911" s="1489"/>
      <c r="AL911" s="1489"/>
      <c r="AM911" s="1489"/>
      <c r="AN911" s="1489"/>
      <c r="AO911" s="1489"/>
      <c r="AP911" s="1489"/>
      <c r="AQ911" s="1489"/>
      <c r="AR911" s="1488"/>
      <c r="AS911" s="1488"/>
      <c r="AT911" s="1488"/>
      <c r="AU911" s="1488"/>
      <c r="AV911" s="1488"/>
      <c r="AW911" s="1488"/>
      <c r="AX911" s="1488"/>
      <c r="AY911" s="1488"/>
    </row>
    <row r="912" spans="3:51" s="1502" customFormat="1">
      <c r="C912" s="1498"/>
      <c r="D912" s="1501"/>
      <c r="E912" s="1500"/>
      <c r="F912" s="814"/>
      <c r="G912" s="1494"/>
      <c r="H912" s="1493"/>
      <c r="I912" s="1493"/>
      <c r="J912" s="813"/>
      <c r="K912" s="814"/>
      <c r="L912" s="1499"/>
      <c r="M912" s="1488"/>
      <c r="N912" s="1488"/>
      <c r="O912" s="1488"/>
      <c r="P912" s="1488"/>
      <c r="Q912" s="1489"/>
      <c r="R912" s="1489"/>
      <c r="S912" s="1489"/>
      <c r="T912" s="1489"/>
      <c r="U912" s="1489"/>
      <c r="V912" s="1489"/>
      <c r="W912" s="1489"/>
      <c r="X912" s="1489"/>
      <c r="Y912" s="1489"/>
      <c r="Z912" s="1489"/>
      <c r="AA912" s="1489"/>
      <c r="AB912" s="1489"/>
      <c r="AC912" s="1489"/>
      <c r="AD912" s="1489"/>
      <c r="AE912" s="1489"/>
      <c r="AF912" s="1489"/>
      <c r="AG912" s="1489"/>
      <c r="AH912" s="1489"/>
      <c r="AI912" s="1489"/>
      <c r="AJ912" s="1489"/>
      <c r="AK912" s="1489"/>
      <c r="AL912" s="1489"/>
      <c r="AM912" s="1489"/>
      <c r="AN912" s="1489"/>
      <c r="AO912" s="1489"/>
      <c r="AP912" s="1489"/>
      <c r="AQ912" s="1489"/>
      <c r="AR912" s="1488"/>
      <c r="AS912" s="1488"/>
      <c r="AT912" s="1488"/>
      <c r="AU912" s="1488"/>
      <c r="AV912" s="1488"/>
      <c r="AW912" s="1488"/>
      <c r="AX912" s="1488"/>
      <c r="AY912" s="1488"/>
    </row>
    <row r="913" spans="3:51" s="1502" customFormat="1">
      <c r="C913" s="1498"/>
      <c r="D913" s="1501"/>
      <c r="E913" s="1500"/>
      <c r="F913" s="814"/>
      <c r="G913" s="1494"/>
      <c r="H913" s="1493"/>
      <c r="I913" s="1493"/>
      <c r="J913" s="813"/>
      <c r="K913" s="814"/>
      <c r="L913" s="1499"/>
      <c r="M913" s="1488"/>
      <c r="N913" s="1488"/>
      <c r="O913" s="1488"/>
      <c r="P913" s="1488"/>
      <c r="Q913" s="1489"/>
      <c r="R913" s="1489"/>
      <c r="S913" s="1489"/>
      <c r="T913" s="1489"/>
      <c r="U913" s="1489"/>
      <c r="V913" s="1489"/>
      <c r="W913" s="1489"/>
      <c r="X913" s="1489"/>
      <c r="Y913" s="1489"/>
      <c r="Z913" s="1489"/>
      <c r="AA913" s="1489"/>
      <c r="AB913" s="1489"/>
      <c r="AC913" s="1489"/>
      <c r="AD913" s="1489"/>
      <c r="AE913" s="1489"/>
      <c r="AF913" s="1489"/>
      <c r="AG913" s="1489"/>
      <c r="AH913" s="1489"/>
      <c r="AI913" s="1489"/>
      <c r="AJ913" s="1489"/>
      <c r="AK913" s="1489"/>
      <c r="AL913" s="1489"/>
      <c r="AM913" s="1489"/>
      <c r="AN913" s="1489"/>
      <c r="AO913" s="1489"/>
      <c r="AP913" s="1489"/>
      <c r="AQ913" s="1489"/>
      <c r="AR913" s="1488"/>
      <c r="AS913" s="1488"/>
      <c r="AT913" s="1488"/>
      <c r="AU913" s="1488"/>
      <c r="AV913" s="1488"/>
      <c r="AW913" s="1488"/>
      <c r="AX913" s="1488"/>
      <c r="AY913" s="1488"/>
    </row>
    <row r="914" spans="3:51" s="1502" customFormat="1">
      <c r="C914" s="1498"/>
      <c r="D914" s="1501"/>
      <c r="E914" s="1500"/>
      <c r="F914" s="814"/>
      <c r="G914" s="1494"/>
      <c r="H914" s="1493"/>
      <c r="I914" s="1493"/>
      <c r="J914" s="813"/>
      <c r="K914" s="814"/>
      <c r="L914" s="1499"/>
      <c r="M914" s="1488"/>
      <c r="N914" s="1488"/>
      <c r="O914" s="1488"/>
      <c r="P914" s="1488"/>
      <c r="Q914" s="1489"/>
      <c r="R914" s="1489"/>
      <c r="S914" s="1489"/>
      <c r="T914" s="1489"/>
      <c r="U914" s="1489"/>
      <c r="V914" s="1489"/>
      <c r="W914" s="1489"/>
      <c r="X914" s="1489"/>
      <c r="Y914" s="1489"/>
      <c r="Z914" s="1489"/>
      <c r="AA914" s="1489"/>
      <c r="AB914" s="1489"/>
      <c r="AC914" s="1489"/>
      <c r="AD914" s="1489"/>
      <c r="AE914" s="1489"/>
      <c r="AF914" s="1489"/>
      <c r="AG914" s="1489"/>
      <c r="AH914" s="1489"/>
      <c r="AI914" s="1489"/>
      <c r="AJ914" s="1489"/>
      <c r="AK914" s="1489"/>
      <c r="AL914" s="1489"/>
      <c r="AM914" s="1489"/>
      <c r="AN914" s="1489"/>
      <c r="AO914" s="1489"/>
      <c r="AP914" s="1489"/>
      <c r="AQ914" s="1489"/>
      <c r="AR914" s="1488"/>
      <c r="AS914" s="1488"/>
      <c r="AT914" s="1488"/>
      <c r="AU914" s="1488"/>
      <c r="AV914" s="1488"/>
      <c r="AW914" s="1488"/>
      <c r="AX914" s="1488"/>
      <c r="AY914" s="1488"/>
    </row>
    <row r="915" spans="3:51" s="1502" customFormat="1">
      <c r="C915" s="1498"/>
      <c r="D915" s="1501"/>
      <c r="E915" s="1500"/>
      <c r="F915" s="814"/>
      <c r="G915" s="1494"/>
      <c r="H915" s="1493"/>
      <c r="I915" s="1493"/>
      <c r="J915" s="813"/>
      <c r="K915" s="814"/>
      <c r="L915" s="1499"/>
      <c r="M915" s="1488"/>
      <c r="N915" s="1488"/>
      <c r="O915" s="1488"/>
      <c r="P915" s="1488"/>
      <c r="Q915" s="1489"/>
      <c r="R915" s="1489"/>
      <c r="S915" s="1489"/>
      <c r="T915" s="1489"/>
      <c r="U915" s="1489"/>
      <c r="V915" s="1489"/>
      <c r="W915" s="1489"/>
      <c r="X915" s="1489"/>
      <c r="Y915" s="1489"/>
      <c r="Z915" s="1489"/>
      <c r="AA915" s="1489"/>
      <c r="AB915" s="1489"/>
      <c r="AC915" s="1489"/>
      <c r="AD915" s="1489"/>
      <c r="AE915" s="1489"/>
      <c r="AF915" s="1489"/>
      <c r="AG915" s="1489"/>
      <c r="AH915" s="1489"/>
      <c r="AI915" s="1489"/>
      <c r="AJ915" s="1489"/>
      <c r="AK915" s="1489"/>
      <c r="AL915" s="1489"/>
      <c r="AM915" s="1489"/>
      <c r="AN915" s="1489"/>
      <c r="AO915" s="1489"/>
      <c r="AP915" s="1489"/>
      <c r="AQ915" s="1489"/>
      <c r="AR915" s="1488"/>
      <c r="AS915" s="1488"/>
      <c r="AT915" s="1488"/>
      <c r="AU915" s="1488"/>
      <c r="AV915" s="1488"/>
      <c r="AW915" s="1488"/>
      <c r="AX915" s="1488"/>
      <c r="AY915" s="1488"/>
    </row>
    <row r="916" spans="3:51" s="1502" customFormat="1">
      <c r="C916" s="1498"/>
      <c r="D916" s="1501"/>
      <c r="E916" s="1500"/>
      <c r="F916" s="814"/>
      <c r="G916" s="1494"/>
      <c r="H916" s="1493"/>
      <c r="I916" s="1493"/>
      <c r="J916" s="813"/>
      <c r="K916" s="814"/>
      <c r="L916" s="1499"/>
      <c r="M916" s="1488"/>
      <c r="N916" s="1488"/>
      <c r="O916" s="1488"/>
      <c r="P916" s="1488"/>
      <c r="Q916" s="1489"/>
      <c r="R916" s="1489"/>
      <c r="S916" s="1489"/>
      <c r="T916" s="1489"/>
      <c r="U916" s="1489"/>
      <c r="V916" s="1489"/>
      <c r="W916" s="1489"/>
      <c r="X916" s="1489"/>
      <c r="Y916" s="1489"/>
      <c r="Z916" s="1489"/>
      <c r="AA916" s="1489"/>
      <c r="AB916" s="1489"/>
      <c r="AC916" s="1489"/>
      <c r="AD916" s="1489"/>
      <c r="AE916" s="1489"/>
      <c r="AF916" s="1489"/>
      <c r="AG916" s="1489"/>
      <c r="AH916" s="1489"/>
      <c r="AI916" s="1489"/>
      <c r="AJ916" s="1489"/>
      <c r="AK916" s="1489"/>
      <c r="AL916" s="1489"/>
      <c r="AM916" s="1489"/>
      <c r="AN916" s="1489"/>
      <c r="AO916" s="1489"/>
      <c r="AP916" s="1489"/>
      <c r="AQ916" s="1489"/>
      <c r="AR916" s="1488"/>
      <c r="AS916" s="1488"/>
      <c r="AT916" s="1488"/>
      <c r="AU916" s="1488"/>
      <c r="AV916" s="1488"/>
      <c r="AW916" s="1488"/>
      <c r="AX916" s="1488"/>
      <c r="AY916" s="1488"/>
    </row>
    <row r="917" spans="3:51" s="1502" customFormat="1">
      <c r="C917" s="1498"/>
      <c r="D917" s="1501"/>
      <c r="E917" s="1500"/>
      <c r="F917" s="814"/>
      <c r="G917" s="1494"/>
      <c r="H917" s="1493"/>
      <c r="I917" s="1493"/>
      <c r="J917" s="813"/>
      <c r="K917" s="814"/>
      <c r="L917" s="1499"/>
      <c r="M917" s="1488"/>
      <c r="N917" s="1488"/>
      <c r="O917" s="1488"/>
      <c r="P917" s="1488"/>
      <c r="Q917" s="1489"/>
      <c r="R917" s="1489"/>
      <c r="S917" s="1489"/>
      <c r="T917" s="1489"/>
      <c r="U917" s="1489"/>
      <c r="V917" s="1489"/>
      <c r="W917" s="1489"/>
      <c r="X917" s="1489"/>
      <c r="Y917" s="1489"/>
      <c r="Z917" s="1489"/>
      <c r="AA917" s="1489"/>
      <c r="AB917" s="1489"/>
      <c r="AC917" s="1489"/>
      <c r="AD917" s="1489"/>
      <c r="AE917" s="1489"/>
      <c r="AF917" s="1489"/>
      <c r="AG917" s="1489"/>
      <c r="AH917" s="1489"/>
      <c r="AI917" s="1489"/>
      <c r="AJ917" s="1489"/>
      <c r="AK917" s="1489"/>
      <c r="AL917" s="1489"/>
      <c r="AM917" s="1489"/>
      <c r="AN917" s="1489"/>
      <c r="AO917" s="1489"/>
      <c r="AP917" s="1489"/>
      <c r="AQ917" s="1489"/>
      <c r="AR917" s="1488"/>
      <c r="AS917" s="1488"/>
      <c r="AT917" s="1488"/>
      <c r="AU917" s="1488"/>
      <c r="AV917" s="1488"/>
      <c r="AW917" s="1488"/>
      <c r="AX917" s="1488"/>
      <c r="AY917" s="1488"/>
    </row>
    <row r="918" spans="3:51" s="1502" customFormat="1">
      <c r="C918" s="1498"/>
      <c r="D918" s="1501"/>
      <c r="E918" s="1500"/>
      <c r="F918" s="814"/>
      <c r="G918" s="1494"/>
      <c r="H918" s="1493"/>
      <c r="I918" s="1493"/>
      <c r="J918" s="813"/>
      <c r="K918" s="814"/>
      <c r="L918" s="1499"/>
      <c r="M918" s="1488"/>
      <c r="N918" s="1488"/>
      <c r="O918" s="1488"/>
      <c r="P918" s="1488"/>
      <c r="Q918" s="1489"/>
      <c r="R918" s="1489"/>
      <c r="S918" s="1489"/>
      <c r="T918" s="1489"/>
      <c r="U918" s="1489"/>
      <c r="V918" s="1489"/>
      <c r="W918" s="1489"/>
      <c r="X918" s="1489"/>
      <c r="Y918" s="1489"/>
      <c r="Z918" s="1489"/>
      <c r="AA918" s="1489"/>
      <c r="AB918" s="1489"/>
      <c r="AC918" s="1489"/>
      <c r="AD918" s="1489"/>
      <c r="AE918" s="1489"/>
      <c r="AF918" s="1489"/>
      <c r="AG918" s="1489"/>
      <c r="AH918" s="1489"/>
      <c r="AI918" s="1489"/>
      <c r="AJ918" s="1489"/>
      <c r="AK918" s="1489"/>
      <c r="AL918" s="1489"/>
      <c r="AM918" s="1489"/>
      <c r="AN918" s="1489"/>
      <c r="AO918" s="1489"/>
      <c r="AP918" s="1489"/>
      <c r="AQ918" s="1489"/>
      <c r="AR918" s="1488"/>
      <c r="AS918" s="1488"/>
      <c r="AT918" s="1488"/>
      <c r="AU918" s="1488"/>
      <c r="AV918" s="1488"/>
      <c r="AW918" s="1488"/>
      <c r="AX918" s="1488"/>
      <c r="AY918" s="1488"/>
    </row>
    <row r="919" spans="3:51" s="1502" customFormat="1">
      <c r="C919" s="1498"/>
      <c r="D919" s="1501"/>
      <c r="E919" s="1500"/>
      <c r="F919" s="814"/>
      <c r="G919" s="1494"/>
      <c r="H919" s="1493"/>
      <c r="I919" s="1493"/>
      <c r="J919" s="813"/>
      <c r="K919" s="814"/>
      <c r="L919" s="1499"/>
      <c r="M919" s="1488"/>
      <c r="N919" s="1488"/>
      <c r="O919" s="1488"/>
      <c r="P919" s="1488"/>
      <c r="Q919" s="1489"/>
      <c r="R919" s="1489"/>
      <c r="S919" s="1489"/>
      <c r="T919" s="1489"/>
      <c r="U919" s="1489"/>
      <c r="V919" s="1489"/>
      <c r="W919" s="1489"/>
      <c r="X919" s="1489"/>
      <c r="Y919" s="1489"/>
      <c r="Z919" s="1489"/>
      <c r="AA919" s="1489"/>
      <c r="AB919" s="1489"/>
      <c r="AC919" s="1489"/>
      <c r="AD919" s="1489"/>
      <c r="AE919" s="1489"/>
      <c r="AF919" s="1489"/>
      <c r="AG919" s="1489"/>
      <c r="AH919" s="1489"/>
      <c r="AI919" s="1489"/>
      <c r="AJ919" s="1489"/>
      <c r="AK919" s="1489"/>
      <c r="AL919" s="1489"/>
      <c r="AM919" s="1489"/>
      <c r="AN919" s="1489"/>
      <c r="AO919" s="1489"/>
      <c r="AP919" s="1489"/>
      <c r="AQ919" s="1489"/>
      <c r="AR919" s="1488"/>
      <c r="AS919" s="1488"/>
      <c r="AT919" s="1488"/>
      <c r="AU919" s="1488"/>
      <c r="AV919" s="1488"/>
      <c r="AW919" s="1488"/>
      <c r="AX919" s="1488"/>
      <c r="AY919" s="1488"/>
    </row>
    <row r="920" spans="3:51" s="1502" customFormat="1">
      <c r="C920" s="1498"/>
      <c r="D920" s="1501"/>
      <c r="E920" s="1500"/>
      <c r="F920" s="814"/>
      <c r="G920" s="1494"/>
      <c r="H920" s="1493"/>
      <c r="I920" s="1493"/>
      <c r="J920" s="813"/>
      <c r="K920" s="814"/>
      <c r="L920" s="1499"/>
      <c r="M920" s="1488"/>
      <c r="N920" s="1488"/>
      <c r="O920" s="1488"/>
      <c r="P920" s="1488"/>
      <c r="Q920" s="1489"/>
      <c r="R920" s="1489"/>
      <c r="S920" s="1489"/>
      <c r="T920" s="1489"/>
      <c r="U920" s="1489"/>
      <c r="V920" s="1489"/>
      <c r="W920" s="1489"/>
      <c r="X920" s="1489"/>
      <c r="Y920" s="1489"/>
      <c r="Z920" s="1489"/>
      <c r="AA920" s="1489"/>
      <c r="AB920" s="1489"/>
      <c r="AC920" s="1489"/>
      <c r="AD920" s="1489"/>
      <c r="AE920" s="1489"/>
      <c r="AF920" s="1489"/>
      <c r="AG920" s="1489"/>
      <c r="AH920" s="1489"/>
      <c r="AI920" s="1489"/>
      <c r="AJ920" s="1489"/>
      <c r="AK920" s="1489"/>
      <c r="AL920" s="1489"/>
      <c r="AM920" s="1489"/>
      <c r="AN920" s="1489"/>
      <c r="AO920" s="1489"/>
      <c r="AP920" s="1489"/>
      <c r="AQ920" s="1489"/>
      <c r="AR920" s="1488"/>
      <c r="AS920" s="1488"/>
      <c r="AT920" s="1488"/>
      <c r="AU920" s="1488"/>
      <c r="AV920" s="1488"/>
      <c r="AW920" s="1488"/>
      <c r="AX920" s="1488"/>
      <c r="AY920" s="1488"/>
    </row>
    <row r="921" spans="3:51" s="1502" customFormat="1">
      <c r="C921" s="1498"/>
      <c r="D921" s="1501"/>
      <c r="E921" s="1500"/>
      <c r="F921" s="814"/>
      <c r="G921" s="1494"/>
      <c r="H921" s="1493"/>
      <c r="I921" s="1493"/>
      <c r="J921" s="813"/>
      <c r="K921" s="814"/>
      <c r="L921" s="1499"/>
      <c r="M921" s="1488"/>
      <c r="N921" s="1488"/>
      <c r="O921" s="1488"/>
      <c r="P921" s="1488"/>
      <c r="Q921" s="1489"/>
      <c r="R921" s="1489"/>
      <c r="S921" s="1489"/>
      <c r="T921" s="1489"/>
      <c r="U921" s="1489"/>
      <c r="V921" s="1489"/>
      <c r="W921" s="1489"/>
      <c r="X921" s="1489"/>
      <c r="Y921" s="1489"/>
      <c r="Z921" s="1489"/>
      <c r="AA921" s="1489"/>
      <c r="AB921" s="1489"/>
      <c r="AC921" s="1489"/>
      <c r="AD921" s="1489"/>
      <c r="AE921" s="1489"/>
      <c r="AF921" s="1489"/>
      <c r="AG921" s="1489"/>
      <c r="AH921" s="1489"/>
      <c r="AI921" s="1489"/>
      <c r="AJ921" s="1489"/>
      <c r="AK921" s="1489"/>
      <c r="AL921" s="1489"/>
      <c r="AM921" s="1489"/>
      <c r="AN921" s="1489"/>
      <c r="AO921" s="1489"/>
      <c r="AP921" s="1489"/>
      <c r="AQ921" s="1489"/>
      <c r="AR921" s="1488"/>
      <c r="AS921" s="1488"/>
      <c r="AT921" s="1488"/>
      <c r="AU921" s="1488"/>
      <c r="AV921" s="1488"/>
      <c r="AW921" s="1488"/>
      <c r="AX921" s="1488"/>
      <c r="AY921" s="1488"/>
    </row>
    <row r="922" spans="3:51" s="1502" customFormat="1">
      <c r="C922" s="1498"/>
      <c r="D922" s="1501"/>
      <c r="E922" s="1500"/>
      <c r="F922" s="814"/>
      <c r="G922" s="1494"/>
      <c r="H922" s="1493"/>
      <c r="I922" s="1493"/>
      <c r="J922" s="813"/>
      <c r="K922" s="814"/>
      <c r="L922" s="1499"/>
      <c r="M922" s="1488"/>
      <c r="N922" s="1488"/>
      <c r="O922" s="1488"/>
      <c r="P922" s="1488"/>
      <c r="Q922" s="1489"/>
      <c r="R922" s="1489"/>
      <c r="S922" s="1489"/>
      <c r="T922" s="1489"/>
      <c r="U922" s="1489"/>
      <c r="V922" s="1489"/>
      <c r="W922" s="1489"/>
      <c r="X922" s="1489"/>
      <c r="Y922" s="1489"/>
      <c r="Z922" s="1489"/>
      <c r="AA922" s="1489"/>
      <c r="AB922" s="1489"/>
      <c r="AC922" s="1489"/>
      <c r="AD922" s="1489"/>
      <c r="AE922" s="1489"/>
      <c r="AF922" s="1489"/>
      <c r="AG922" s="1489"/>
      <c r="AH922" s="1489"/>
      <c r="AI922" s="1489"/>
      <c r="AJ922" s="1489"/>
      <c r="AK922" s="1489"/>
      <c r="AL922" s="1489"/>
      <c r="AM922" s="1489"/>
      <c r="AN922" s="1489"/>
      <c r="AO922" s="1489"/>
      <c r="AP922" s="1489"/>
      <c r="AQ922" s="1489"/>
      <c r="AR922" s="1488"/>
      <c r="AS922" s="1488"/>
      <c r="AT922" s="1488"/>
      <c r="AU922" s="1488"/>
      <c r="AV922" s="1488"/>
      <c r="AW922" s="1488"/>
      <c r="AX922" s="1488"/>
      <c r="AY922" s="1488"/>
    </row>
    <row r="923" spans="3:51" s="1502" customFormat="1">
      <c r="C923" s="1498"/>
      <c r="D923" s="1501"/>
      <c r="E923" s="1500"/>
      <c r="F923" s="814"/>
      <c r="G923" s="1494"/>
      <c r="H923" s="1493"/>
      <c r="I923" s="1493"/>
      <c r="J923" s="813"/>
      <c r="K923" s="814"/>
      <c r="L923" s="1499"/>
      <c r="M923" s="1488"/>
      <c r="N923" s="1488"/>
      <c r="O923" s="1488"/>
      <c r="P923" s="1488"/>
      <c r="Q923" s="1489"/>
      <c r="R923" s="1489"/>
      <c r="S923" s="1489"/>
      <c r="T923" s="1489"/>
      <c r="U923" s="1489"/>
      <c r="V923" s="1489"/>
      <c r="W923" s="1489"/>
      <c r="X923" s="1489"/>
      <c r="Y923" s="1489"/>
      <c r="Z923" s="1489"/>
      <c r="AA923" s="1489"/>
      <c r="AB923" s="1489"/>
      <c r="AC923" s="1489"/>
      <c r="AD923" s="1489"/>
      <c r="AE923" s="1489"/>
      <c r="AF923" s="1489"/>
      <c r="AG923" s="1489"/>
      <c r="AH923" s="1489"/>
      <c r="AI923" s="1489"/>
      <c r="AJ923" s="1489"/>
      <c r="AK923" s="1489"/>
      <c r="AL923" s="1489"/>
      <c r="AM923" s="1489"/>
      <c r="AN923" s="1489"/>
      <c r="AO923" s="1489"/>
      <c r="AP923" s="1489"/>
      <c r="AQ923" s="1489"/>
      <c r="AR923" s="1488"/>
      <c r="AS923" s="1488"/>
      <c r="AT923" s="1488"/>
      <c r="AU923" s="1488"/>
      <c r="AV923" s="1488"/>
      <c r="AW923" s="1488"/>
      <c r="AX923" s="1488"/>
      <c r="AY923" s="1488"/>
    </row>
    <row r="924" spans="3:51" s="1502" customFormat="1">
      <c r="C924" s="1498"/>
      <c r="D924" s="1501"/>
      <c r="E924" s="1500"/>
      <c r="F924" s="814"/>
      <c r="G924" s="1494"/>
      <c r="H924" s="1493"/>
      <c r="I924" s="1493"/>
      <c r="J924" s="813"/>
      <c r="K924" s="814"/>
      <c r="L924" s="1499"/>
      <c r="M924" s="1488"/>
      <c r="N924" s="1488"/>
      <c r="O924" s="1488"/>
      <c r="P924" s="1488"/>
      <c r="Q924" s="1489"/>
      <c r="R924" s="1489"/>
      <c r="S924" s="1489"/>
      <c r="T924" s="1489"/>
      <c r="U924" s="1489"/>
      <c r="V924" s="1489"/>
      <c r="W924" s="1489"/>
      <c r="X924" s="1489"/>
      <c r="Y924" s="1489"/>
      <c r="Z924" s="1489"/>
      <c r="AA924" s="1489"/>
      <c r="AB924" s="1489"/>
      <c r="AC924" s="1489"/>
      <c r="AD924" s="1489"/>
      <c r="AE924" s="1489"/>
      <c r="AF924" s="1489"/>
      <c r="AG924" s="1489"/>
      <c r="AH924" s="1489"/>
      <c r="AI924" s="1489"/>
      <c r="AJ924" s="1489"/>
      <c r="AK924" s="1489"/>
      <c r="AL924" s="1489"/>
      <c r="AM924" s="1489"/>
      <c r="AN924" s="1489"/>
      <c r="AO924" s="1489"/>
      <c r="AP924" s="1489"/>
      <c r="AQ924" s="1489"/>
      <c r="AR924" s="1488"/>
      <c r="AS924" s="1488"/>
      <c r="AT924" s="1488"/>
      <c r="AU924" s="1488"/>
      <c r="AV924" s="1488"/>
      <c r="AW924" s="1488"/>
      <c r="AX924" s="1488"/>
      <c r="AY924" s="1488"/>
    </row>
    <row r="925" spans="3:51" s="1502" customFormat="1">
      <c r="C925" s="1498"/>
      <c r="D925" s="1501"/>
      <c r="E925" s="1500"/>
      <c r="F925" s="814"/>
      <c r="G925" s="1494"/>
      <c r="H925" s="1493"/>
      <c r="I925" s="1493"/>
      <c r="J925" s="813"/>
      <c r="K925" s="814"/>
      <c r="L925" s="1499"/>
      <c r="M925" s="1488"/>
      <c r="N925" s="1488"/>
      <c r="O925" s="1488"/>
      <c r="P925" s="1488"/>
      <c r="Q925" s="1489"/>
      <c r="R925" s="1489"/>
      <c r="S925" s="1489"/>
      <c r="T925" s="1489"/>
      <c r="U925" s="1489"/>
      <c r="V925" s="1489"/>
      <c r="W925" s="1489"/>
      <c r="X925" s="1489"/>
      <c r="Y925" s="1489"/>
      <c r="Z925" s="1489"/>
      <c r="AA925" s="1489"/>
      <c r="AB925" s="1489"/>
      <c r="AC925" s="1489"/>
      <c r="AD925" s="1489"/>
      <c r="AE925" s="1489"/>
      <c r="AF925" s="1489"/>
      <c r="AG925" s="1489"/>
      <c r="AH925" s="1489"/>
      <c r="AI925" s="1489"/>
      <c r="AJ925" s="1489"/>
      <c r="AK925" s="1489"/>
      <c r="AL925" s="1489"/>
      <c r="AM925" s="1489"/>
      <c r="AN925" s="1489"/>
      <c r="AO925" s="1489"/>
      <c r="AP925" s="1489"/>
      <c r="AQ925" s="1489"/>
      <c r="AR925" s="1488"/>
      <c r="AS925" s="1488"/>
      <c r="AT925" s="1488"/>
      <c r="AU925" s="1488"/>
      <c r="AV925" s="1488"/>
      <c r="AW925" s="1488"/>
      <c r="AX925" s="1488"/>
      <c r="AY925" s="1488"/>
    </row>
    <row r="926" spans="3:51" s="1502" customFormat="1">
      <c r="C926" s="1498"/>
      <c r="D926" s="1501"/>
      <c r="E926" s="1500"/>
      <c r="F926" s="814"/>
      <c r="G926" s="1494"/>
      <c r="H926" s="1493"/>
      <c r="I926" s="1493"/>
      <c r="J926" s="813"/>
      <c r="K926" s="814"/>
      <c r="L926" s="1499"/>
      <c r="M926" s="1488"/>
      <c r="N926" s="1488"/>
      <c r="O926" s="1488"/>
      <c r="P926" s="1488"/>
      <c r="Q926" s="1489"/>
      <c r="R926" s="1489"/>
      <c r="S926" s="1489"/>
      <c r="T926" s="1489"/>
      <c r="U926" s="1489"/>
      <c r="V926" s="1489"/>
      <c r="W926" s="1489"/>
      <c r="X926" s="1489"/>
      <c r="Y926" s="1489"/>
      <c r="Z926" s="1489"/>
      <c r="AA926" s="1489"/>
      <c r="AB926" s="1489"/>
      <c r="AC926" s="1489"/>
      <c r="AD926" s="1489"/>
      <c r="AE926" s="1489"/>
      <c r="AF926" s="1489"/>
      <c r="AG926" s="1489"/>
      <c r="AH926" s="1489"/>
      <c r="AI926" s="1489"/>
      <c r="AJ926" s="1489"/>
      <c r="AK926" s="1489"/>
      <c r="AL926" s="1489"/>
      <c r="AM926" s="1489"/>
      <c r="AN926" s="1489"/>
      <c r="AO926" s="1489"/>
      <c r="AP926" s="1489"/>
      <c r="AQ926" s="1489"/>
      <c r="AR926" s="1488"/>
      <c r="AS926" s="1488"/>
      <c r="AT926" s="1488"/>
      <c r="AU926" s="1488"/>
      <c r="AV926" s="1488"/>
      <c r="AW926" s="1488"/>
      <c r="AX926" s="1488"/>
      <c r="AY926" s="1488"/>
    </row>
    <row r="927" spans="3:51" s="1502" customFormat="1">
      <c r="C927" s="1498"/>
      <c r="D927" s="1501"/>
      <c r="E927" s="1500"/>
      <c r="F927" s="814"/>
      <c r="G927" s="1494"/>
      <c r="H927" s="1493"/>
      <c r="I927" s="1493"/>
      <c r="J927" s="813"/>
      <c r="K927" s="814"/>
      <c r="L927" s="1499"/>
      <c r="M927" s="1488"/>
      <c r="N927" s="1488"/>
      <c r="O927" s="1488"/>
      <c r="P927" s="1488"/>
      <c r="Q927" s="1489"/>
      <c r="R927" s="1489"/>
      <c r="S927" s="1489"/>
      <c r="T927" s="1489"/>
      <c r="U927" s="1489"/>
      <c r="V927" s="1489"/>
      <c r="W927" s="1489"/>
      <c r="X927" s="1489"/>
      <c r="Y927" s="1489"/>
      <c r="Z927" s="1489"/>
      <c r="AA927" s="1489"/>
      <c r="AB927" s="1489"/>
      <c r="AC927" s="1489"/>
      <c r="AD927" s="1489"/>
      <c r="AE927" s="1489"/>
      <c r="AF927" s="1489"/>
      <c r="AG927" s="1489"/>
      <c r="AH927" s="1489"/>
      <c r="AI927" s="1489"/>
      <c r="AJ927" s="1489"/>
      <c r="AK927" s="1489"/>
      <c r="AL927" s="1489"/>
      <c r="AM927" s="1489"/>
      <c r="AN927" s="1489"/>
      <c r="AO927" s="1489"/>
      <c r="AP927" s="1489"/>
      <c r="AQ927" s="1489"/>
      <c r="AR927" s="1488"/>
      <c r="AS927" s="1488"/>
      <c r="AT927" s="1488"/>
      <c r="AU927" s="1488"/>
      <c r="AV927" s="1488"/>
      <c r="AW927" s="1488"/>
      <c r="AX927" s="1488"/>
      <c r="AY927" s="1488"/>
    </row>
    <row r="928" spans="3:51" s="1502" customFormat="1">
      <c r="C928" s="1498"/>
      <c r="D928" s="1501"/>
      <c r="E928" s="1500"/>
      <c r="F928" s="814"/>
      <c r="G928" s="1494"/>
      <c r="H928" s="1493"/>
      <c r="I928" s="1493"/>
      <c r="J928" s="813"/>
      <c r="K928" s="814"/>
      <c r="L928" s="1499"/>
      <c r="M928" s="1488"/>
      <c r="N928" s="1488"/>
      <c r="O928" s="1488"/>
      <c r="P928" s="1488"/>
      <c r="Q928" s="1489"/>
      <c r="R928" s="1489"/>
      <c r="S928" s="1489"/>
      <c r="T928" s="1489"/>
      <c r="U928" s="1489"/>
      <c r="V928" s="1489"/>
      <c r="W928" s="1489"/>
      <c r="X928" s="1489"/>
      <c r="Y928" s="1489"/>
      <c r="Z928" s="1489"/>
      <c r="AA928" s="1489"/>
      <c r="AB928" s="1489"/>
      <c r="AC928" s="1489"/>
      <c r="AD928" s="1489"/>
      <c r="AE928" s="1489"/>
      <c r="AF928" s="1489"/>
      <c r="AG928" s="1489"/>
      <c r="AH928" s="1489"/>
      <c r="AI928" s="1489"/>
      <c r="AJ928" s="1489"/>
      <c r="AK928" s="1489"/>
      <c r="AL928" s="1489"/>
      <c r="AM928" s="1489"/>
      <c r="AN928" s="1489"/>
      <c r="AO928" s="1489"/>
      <c r="AP928" s="1489"/>
      <c r="AQ928" s="1489"/>
      <c r="AR928" s="1488"/>
      <c r="AS928" s="1488"/>
      <c r="AT928" s="1488"/>
      <c r="AU928" s="1488"/>
      <c r="AV928" s="1488"/>
      <c r="AW928" s="1488"/>
      <c r="AX928" s="1488"/>
      <c r="AY928" s="1488"/>
    </row>
    <row r="929" spans="3:51" s="1502" customFormat="1">
      <c r="C929" s="1498"/>
      <c r="D929" s="1501"/>
      <c r="E929" s="1500"/>
      <c r="F929" s="814"/>
      <c r="G929" s="1494"/>
      <c r="H929" s="1493"/>
      <c r="I929" s="1493"/>
      <c r="J929" s="813"/>
      <c r="K929" s="814"/>
      <c r="L929" s="1499"/>
      <c r="M929" s="1488"/>
      <c r="N929" s="1488"/>
      <c r="O929" s="1488"/>
      <c r="P929" s="1488"/>
      <c r="Q929" s="1489"/>
      <c r="R929" s="1489"/>
      <c r="S929" s="1489"/>
      <c r="T929" s="1489"/>
      <c r="U929" s="1489"/>
      <c r="V929" s="1489"/>
      <c r="W929" s="1489"/>
      <c r="X929" s="1489"/>
      <c r="Y929" s="1489"/>
      <c r="Z929" s="1489"/>
      <c r="AA929" s="1489"/>
      <c r="AB929" s="1489"/>
      <c r="AC929" s="1489"/>
      <c r="AD929" s="1489"/>
      <c r="AE929" s="1489"/>
      <c r="AF929" s="1489"/>
      <c r="AG929" s="1489"/>
      <c r="AH929" s="1489"/>
      <c r="AI929" s="1489"/>
      <c r="AJ929" s="1489"/>
      <c r="AK929" s="1489"/>
      <c r="AL929" s="1489"/>
      <c r="AM929" s="1489"/>
      <c r="AN929" s="1489"/>
      <c r="AO929" s="1489"/>
      <c r="AP929" s="1489"/>
      <c r="AQ929" s="1489"/>
      <c r="AR929" s="1488"/>
      <c r="AS929" s="1488"/>
      <c r="AT929" s="1488"/>
      <c r="AU929" s="1488"/>
      <c r="AV929" s="1488"/>
      <c r="AW929" s="1488"/>
      <c r="AX929" s="1488"/>
      <c r="AY929" s="1488"/>
    </row>
    <row r="930" spans="3:51" s="1502" customFormat="1">
      <c r="C930" s="1498"/>
      <c r="D930" s="1501"/>
      <c r="E930" s="1500"/>
      <c r="F930" s="814"/>
      <c r="G930" s="1494"/>
      <c r="H930" s="1493"/>
      <c r="I930" s="1493"/>
      <c r="J930" s="813"/>
      <c r="K930" s="814"/>
      <c r="L930" s="1499"/>
      <c r="M930" s="1488"/>
      <c r="N930" s="1488"/>
      <c r="O930" s="1488"/>
      <c r="P930" s="1488"/>
      <c r="Q930" s="1489"/>
      <c r="R930" s="1489"/>
      <c r="S930" s="1489"/>
      <c r="T930" s="1489"/>
      <c r="U930" s="1489"/>
      <c r="V930" s="1489"/>
      <c r="W930" s="1489"/>
      <c r="X930" s="1489"/>
      <c r="Y930" s="1489"/>
      <c r="Z930" s="1489"/>
      <c r="AA930" s="1489"/>
      <c r="AB930" s="1489"/>
      <c r="AC930" s="1489"/>
      <c r="AD930" s="1489"/>
      <c r="AE930" s="1489"/>
      <c r="AF930" s="1489"/>
      <c r="AG930" s="1489"/>
      <c r="AH930" s="1489"/>
      <c r="AI930" s="1489"/>
      <c r="AJ930" s="1489"/>
      <c r="AK930" s="1489"/>
      <c r="AL930" s="1489"/>
      <c r="AM930" s="1489"/>
      <c r="AN930" s="1489"/>
      <c r="AO930" s="1489"/>
      <c r="AP930" s="1489"/>
      <c r="AQ930" s="1489"/>
      <c r="AR930" s="1488"/>
      <c r="AS930" s="1488"/>
      <c r="AT930" s="1488"/>
      <c r="AU930" s="1488"/>
      <c r="AV930" s="1488"/>
      <c r="AW930" s="1488"/>
      <c r="AX930" s="1488"/>
      <c r="AY930" s="1488"/>
    </row>
    <row r="931" spans="3:51" s="1502" customFormat="1">
      <c r="C931" s="1498"/>
      <c r="D931" s="1501"/>
      <c r="E931" s="1500"/>
      <c r="F931" s="814"/>
      <c r="G931" s="1494"/>
      <c r="H931" s="1493"/>
      <c r="I931" s="1493"/>
      <c r="J931" s="813"/>
      <c r="K931" s="814"/>
      <c r="L931" s="1499"/>
      <c r="M931" s="1488"/>
      <c r="N931" s="1488"/>
      <c r="O931" s="1488"/>
      <c r="P931" s="1488"/>
      <c r="Q931" s="1489"/>
      <c r="R931" s="1489"/>
      <c r="S931" s="1489"/>
      <c r="T931" s="1489"/>
      <c r="U931" s="1489"/>
      <c r="V931" s="1489"/>
      <c r="W931" s="1489"/>
      <c r="X931" s="1489"/>
      <c r="Y931" s="1489"/>
      <c r="Z931" s="1489"/>
      <c r="AA931" s="1489"/>
      <c r="AB931" s="1489"/>
      <c r="AC931" s="1489"/>
      <c r="AD931" s="1489"/>
      <c r="AE931" s="1489"/>
      <c r="AF931" s="1489"/>
      <c r="AG931" s="1489"/>
      <c r="AH931" s="1489"/>
      <c r="AI931" s="1489"/>
      <c r="AJ931" s="1489"/>
      <c r="AK931" s="1489"/>
      <c r="AL931" s="1489"/>
      <c r="AM931" s="1489"/>
      <c r="AN931" s="1489"/>
      <c r="AO931" s="1489"/>
      <c r="AP931" s="1489"/>
      <c r="AQ931" s="1489"/>
      <c r="AR931" s="1488"/>
      <c r="AS931" s="1488"/>
      <c r="AT931" s="1488"/>
      <c r="AU931" s="1488"/>
      <c r="AV931" s="1488"/>
      <c r="AW931" s="1488"/>
      <c r="AX931" s="1488"/>
      <c r="AY931" s="1488"/>
    </row>
    <row r="932" spans="3:51" s="1502" customFormat="1">
      <c r="C932" s="1498"/>
      <c r="D932" s="1501"/>
      <c r="E932" s="1500"/>
      <c r="F932" s="814"/>
      <c r="G932" s="1494"/>
      <c r="H932" s="1493"/>
      <c r="I932" s="1493"/>
      <c r="J932" s="813"/>
      <c r="K932" s="814"/>
      <c r="L932" s="1499"/>
      <c r="M932" s="1488"/>
      <c r="N932" s="1488"/>
      <c r="O932" s="1488"/>
      <c r="P932" s="1488"/>
      <c r="Q932" s="1489"/>
      <c r="R932" s="1489"/>
      <c r="S932" s="1489"/>
      <c r="T932" s="1489"/>
      <c r="U932" s="1489"/>
      <c r="V932" s="1489"/>
      <c r="W932" s="1489"/>
      <c r="X932" s="1489"/>
      <c r="Y932" s="1489"/>
      <c r="Z932" s="1489"/>
      <c r="AA932" s="1489"/>
      <c r="AB932" s="1489"/>
      <c r="AC932" s="1489"/>
      <c r="AD932" s="1489"/>
      <c r="AE932" s="1489"/>
      <c r="AF932" s="1489"/>
      <c r="AG932" s="1489"/>
      <c r="AH932" s="1489"/>
      <c r="AI932" s="1489"/>
      <c r="AJ932" s="1489"/>
      <c r="AK932" s="1489"/>
      <c r="AL932" s="1489"/>
      <c r="AM932" s="1489"/>
      <c r="AN932" s="1489"/>
      <c r="AO932" s="1489"/>
      <c r="AP932" s="1489"/>
      <c r="AQ932" s="1489"/>
      <c r="AR932" s="1488"/>
      <c r="AS932" s="1488"/>
      <c r="AT932" s="1488"/>
      <c r="AU932" s="1488"/>
      <c r="AV932" s="1488"/>
      <c r="AW932" s="1488"/>
      <c r="AX932" s="1488"/>
      <c r="AY932" s="1488"/>
    </row>
    <row r="933" spans="3:51" s="1502" customFormat="1">
      <c r="C933" s="1498"/>
      <c r="D933" s="1501"/>
      <c r="E933" s="1500"/>
      <c r="F933" s="814"/>
      <c r="G933" s="1494"/>
      <c r="H933" s="1493"/>
      <c r="I933" s="1493"/>
      <c r="J933" s="813"/>
      <c r="K933" s="814"/>
      <c r="L933" s="1499"/>
      <c r="M933" s="1488"/>
      <c r="N933" s="1488"/>
      <c r="O933" s="1488"/>
      <c r="P933" s="1488"/>
      <c r="Q933" s="1489"/>
      <c r="R933" s="1489"/>
      <c r="S933" s="1489"/>
      <c r="T933" s="1489"/>
      <c r="U933" s="1489"/>
      <c r="V933" s="1489"/>
      <c r="W933" s="1489"/>
      <c r="X933" s="1489"/>
      <c r="Y933" s="1489"/>
      <c r="Z933" s="1489"/>
      <c r="AA933" s="1489"/>
      <c r="AB933" s="1489"/>
      <c r="AC933" s="1489"/>
      <c r="AD933" s="1489"/>
      <c r="AE933" s="1489"/>
      <c r="AF933" s="1489"/>
      <c r="AG933" s="1489"/>
      <c r="AH933" s="1489"/>
      <c r="AI933" s="1489"/>
      <c r="AJ933" s="1489"/>
      <c r="AK933" s="1489"/>
      <c r="AL933" s="1489"/>
      <c r="AM933" s="1489"/>
      <c r="AN933" s="1489"/>
      <c r="AO933" s="1489"/>
      <c r="AP933" s="1489"/>
      <c r="AQ933" s="1489"/>
      <c r="AR933" s="1488"/>
      <c r="AS933" s="1488"/>
      <c r="AT933" s="1488"/>
      <c r="AU933" s="1488"/>
      <c r="AV933" s="1488"/>
      <c r="AW933" s="1488"/>
      <c r="AX933" s="1488"/>
      <c r="AY933" s="1488"/>
    </row>
    <row r="934" spans="3:51" s="1502" customFormat="1">
      <c r="C934" s="1498"/>
      <c r="D934" s="1501"/>
      <c r="E934" s="1500"/>
      <c r="F934" s="814"/>
      <c r="G934" s="1494"/>
      <c r="H934" s="1493"/>
      <c r="I934" s="1493"/>
      <c r="J934" s="813"/>
      <c r="K934" s="814"/>
      <c r="L934" s="1499"/>
      <c r="M934" s="1488"/>
      <c r="N934" s="1488"/>
      <c r="O934" s="1488"/>
      <c r="P934" s="1488"/>
      <c r="Q934" s="1489"/>
      <c r="R934" s="1489"/>
      <c r="S934" s="1489"/>
      <c r="T934" s="1489"/>
      <c r="U934" s="1489"/>
      <c r="V934" s="1489"/>
      <c r="W934" s="1489"/>
      <c r="X934" s="1489"/>
      <c r="Y934" s="1489"/>
      <c r="Z934" s="1489"/>
      <c r="AA934" s="1489"/>
      <c r="AB934" s="1489"/>
      <c r="AC934" s="1489"/>
      <c r="AD934" s="1489"/>
      <c r="AE934" s="1489"/>
      <c r="AF934" s="1489"/>
      <c r="AG934" s="1489"/>
      <c r="AH934" s="1489"/>
      <c r="AI934" s="1489"/>
      <c r="AJ934" s="1489"/>
      <c r="AK934" s="1489"/>
      <c r="AL934" s="1489"/>
      <c r="AM934" s="1489"/>
      <c r="AN934" s="1489"/>
      <c r="AO934" s="1489"/>
      <c r="AP934" s="1489"/>
      <c r="AQ934" s="1489"/>
      <c r="AR934" s="1488"/>
      <c r="AS934" s="1488"/>
      <c r="AT934" s="1488"/>
      <c r="AU934" s="1488"/>
      <c r="AV934" s="1488"/>
      <c r="AW934" s="1488"/>
      <c r="AX934" s="1488"/>
      <c r="AY934" s="1488"/>
    </row>
    <row r="935" spans="3:51" s="1502" customFormat="1">
      <c r="C935" s="1498"/>
      <c r="D935" s="1501"/>
      <c r="E935" s="1500"/>
      <c r="F935" s="814"/>
      <c r="G935" s="1494"/>
      <c r="H935" s="1493"/>
      <c r="I935" s="1493"/>
      <c r="J935" s="813"/>
      <c r="K935" s="814"/>
      <c r="L935" s="1499"/>
      <c r="M935" s="1488"/>
      <c r="N935" s="1488"/>
      <c r="O935" s="1488"/>
      <c r="P935" s="1488"/>
      <c r="Q935" s="1489"/>
      <c r="R935" s="1489"/>
      <c r="S935" s="1489"/>
      <c r="T935" s="1489"/>
      <c r="U935" s="1489"/>
      <c r="V935" s="1489"/>
      <c r="W935" s="1489"/>
      <c r="X935" s="1489"/>
      <c r="Y935" s="1489"/>
      <c r="Z935" s="1489"/>
      <c r="AA935" s="1489"/>
      <c r="AB935" s="1489"/>
      <c r="AC935" s="1489"/>
      <c r="AD935" s="1489"/>
      <c r="AE935" s="1489"/>
      <c r="AF935" s="1489"/>
      <c r="AG935" s="1489"/>
      <c r="AH935" s="1489"/>
      <c r="AI935" s="1489"/>
      <c r="AJ935" s="1489"/>
      <c r="AK935" s="1489"/>
      <c r="AL935" s="1489"/>
      <c r="AM935" s="1489"/>
      <c r="AN935" s="1489"/>
      <c r="AO935" s="1489"/>
      <c r="AP935" s="1489"/>
      <c r="AQ935" s="1489"/>
      <c r="AR935" s="1488"/>
      <c r="AS935" s="1488"/>
      <c r="AT935" s="1488"/>
      <c r="AU935" s="1488"/>
      <c r="AV935" s="1488"/>
      <c r="AW935" s="1488"/>
      <c r="AX935" s="1488"/>
      <c r="AY935" s="1488"/>
    </row>
    <row r="936" spans="3:51" s="1502" customFormat="1">
      <c r="C936" s="1498"/>
      <c r="D936" s="1501"/>
      <c r="E936" s="1500"/>
      <c r="F936" s="814"/>
      <c r="G936" s="1494"/>
      <c r="H936" s="1493"/>
      <c r="I936" s="1493"/>
      <c r="J936" s="813"/>
      <c r="K936" s="814"/>
      <c r="L936" s="1499"/>
      <c r="M936" s="1488"/>
      <c r="N936" s="1488"/>
      <c r="O936" s="1488"/>
      <c r="P936" s="1488"/>
      <c r="Q936" s="1489"/>
      <c r="R936" s="1489"/>
      <c r="S936" s="1489"/>
      <c r="T936" s="1489"/>
      <c r="U936" s="1489"/>
      <c r="V936" s="1489"/>
      <c r="W936" s="1489"/>
      <c r="X936" s="1489"/>
      <c r="Y936" s="1489"/>
      <c r="Z936" s="1489"/>
      <c r="AA936" s="1489"/>
      <c r="AB936" s="1489"/>
      <c r="AC936" s="1489"/>
      <c r="AD936" s="1489"/>
      <c r="AE936" s="1489"/>
      <c r="AF936" s="1489"/>
      <c r="AG936" s="1489"/>
      <c r="AH936" s="1489"/>
      <c r="AI936" s="1489"/>
      <c r="AJ936" s="1489"/>
      <c r="AK936" s="1489"/>
      <c r="AL936" s="1489"/>
      <c r="AM936" s="1489"/>
      <c r="AN936" s="1489"/>
      <c r="AO936" s="1489"/>
      <c r="AP936" s="1489"/>
      <c r="AQ936" s="1489"/>
      <c r="AR936" s="1488"/>
      <c r="AS936" s="1488"/>
      <c r="AT936" s="1488"/>
      <c r="AU936" s="1488"/>
      <c r="AV936" s="1488"/>
      <c r="AW936" s="1488"/>
      <c r="AX936" s="1488"/>
      <c r="AY936" s="1488"/>
    </row>
    <row r="937" spans="3:51" s="1502" customFormat="1">
      <c r="C937" s="1498"/>
      <c r="D937" s="1501"/>
      <c r="E937" s="1500"/>
      <c r="F937" s="814"/>
      <c r="G937" s="1494"/>
      <c r="H937" s="1493"/>
      <c r="I937" s="1493"/>
      <c r="J937" s="813"/>
      <c r="K937" s="814"/>
      <c r="L937" s="1499"/>
      <c r="M937" s="1488"/>
      <c r="N937" s="1488"/>
      <c r="O937" s="1488"/>
      <c r="P937" s="1488"/>
      <c r="Q937" s="1489"/>
      <c r="R937" s="1489"/>
      <c r="S937" s="1489"/>
      <c r="T937" s="1489"/>
      <c r="U937" s="1489"/>
      <c r="V937" s="1489"/>
      <c r="W937" s="1489"/>
      <c r="X937" s="1489"/>
      <c r="Y937" s="1489"/>
      <c r="Z937" s="1489"/>
      <c r="AA937" s="1489"/>
      <c r="AB937" s="1489"/>
      <c r="AC937" s="1489"/>
      <c r="AD937" s="1489"/>
      <c r="AE937" s="1489"/>
      <c r="AF937" s="1489"/>
      <c r="AG937" s="1489"/>
      <c r="AH937" s="1489"/>
      <c r="AI937" s="1489"/>
      <c r="AJ937" s="1489"/>
      <c r="AK937" s="1489"/>
      <c r="AL937" s="1489"/>
      <c r="AM937" s="1489"/>
      <c r="AN937" s="1489"/>
      <c r="AO937" s="1489"/>
      <c r="AP937" s="1489"/>
      <c r="AQ937" s="1489"/>
      <c r="AR937" s="1488"/>
      <c r="AS937" s="1488"/>
      <c r="AT937" s="1488"/>
      <c r="AU937" s="1488"/>
      <c r="AV937" s="1488"/>
      <c r="AW937" s="1488"/>
      <c r="AX937" s="1488"/>
      <c r="AY937" s="1488"/>
    </row>
    <row r="938" spans="3:51" s="1502" customFormat="1">
      <c r="C938" s="1498"/>
      <c r="D938" s="1501"/>
      <c r="E938" s="1500"/>
      <c r="F938" s="814"/>
      <c r="G938" s="1494"/>
      <c r="H938" s="1493"/>
      <c r="I938" s="1493"/>
      <c r="J938" s="813"/>
      <c r="K938" s="814"/>
      <c r="L938" s="1499"/>
      <c r="M938" s="1488"/>
      <c r="N938" s="1488"/>
      <c r="O938" s="1488"/>
      <c r="P938" s="1488"/>
      <c r="Q938" s="1489"/>
      <c r="R938" s="1489"/>
      <c r="S938" s="1489"/>
      <c r="T938" s="1489"/>
      <c r="U938" s="1489"/>
      <c r="V938" s="1489"/>
      <c r="W938" s="1489"/>
      <c r="X938" s="1489"/>
      <c r="Y938" s="1489"/>
      <c r="Z938" s="1489"/>
      <c r="AA938" s="1489"/>
      <c r="AB938" s="1489"/>
      <c r="AC938" s="1489"/>
      <c r="AD938" s="1489"/>
      <c r="AE938" s="1489"/>
      <c r="AF938" s="1489"/>
      <c r="AG938" s="1489"/>
      <c r="AH938" s="1489"/>
      <c r="AI938" s="1489"/>
      <c r="AJ938" s="1489"/>
      <c r="AK938" s="1489"/>
      <c r="AL938" s="1489"/>
      <c r="AM938" s="1489"/>
      <c r="AN938" s="1489"/>
      <c r="AO938" s="1489"/>
      <c r="AP938" s="1489"/>
      <c r="AQ938" s="1489"/>
      <c r="AR938" s="1488"/>
      <c r="AS938" s="1488"/>
      <c r="AT938" s="1488"/>
      <c r="AU938" s="1488"/>
      <c r="AV938" s="1488"/>
      <c r="AW938" s="1488"/>
      <c r="AX938" s="1488"/>
      <c r="AY938" s="1488"/>
    </row>
    <row r="939" spans="3:51" s="1502" customFormat="1">
      <c r="C939" s="1498"/>
      <c r="D939" s="1501"/>
      <c r="E939" s="1500"/>
      <c r="F939" s="814"/>
      <c r="G939" s="1494"/>
      <c r="H939" s="1493"/>
      <c r="I939" s="1493"/>
      <c r="J939" s="813"/>
      <c r="K939" s="814"/>
      <c r="L939" s="1499"/>
      <c r="M939" s="1488"/>
      <c r="N939" s="1488"/>
      <c r="O939" s="1488"/>
      <c r="P939" s="1488"/>
      <c r="Q939" s="1489"/>
      <c r="R939" s="1489"/>
      <c r="S939" s="1489"/>
      <c r="T939" s="1489"/>
      <c r="U939" s="1489"/>
      <c r="V939" s="1489"/>
      <c r="W939" s="1489"/>
      <c r="X939" s="1489"/>
      <c r="Y939" s="1489"/>
      <c r="Z939" s="1489"/>
      <c r="AA939" s="1489"/>
      <c r="AB939" s="1489"/>
      <c r="AC939" s="1489"/>
      <c r="AD939" s="1489"/>
      <c r="AE939" s="1489"/>
      <c r="AF939" s="1489"/>
      <c r="AG939" s="1489"/>
      <c r="AH939" s="1489"/>
      <c r="AI939" s="1489"/>
      <c r="AJ939" s="1489"/>
      <c r="AK939" s="1489"/>
      <c r="AL939" s="1489"/>
      <c r="AM939" s="1489"/>
      <c r="AN939" s="1489"/>
      <c r="AO939" s="1489"/>
      <c r="AP939" s="1489"/>
      <c r="AQ939" s="1489"/>
      <c r="AR939" s="1488"/>
      <c r="AS939" s="1488"/>
      <c r="AT939" s="1488"/>
      <c r="AU939" s="1488"/>
      <c r="AV939" s="1488"/>
      <c r="AW939" s="1488"/>
      <c r="AX939" s="1488"/>
      <c r="AY939" s="1488"/>
    </row>
    <row r="940" spans="3:51" s="1502" customFormat="1">
      <c r="C940" s="1498"/>
      <c r="D940" s="1501"/>
      <c r="E940" s="1500"/>
      <c r="F940" s="814"/>
      <c r="G940" s="1494"/>
      <c r="H940" s="1493"/>
      <c r="I940" s="1493"/>
      <c r="J940" s="813"/>
      <c r="K940" s="814"/>
      <c r="L940" s="1499"/>
      <c r="M940" s="1488"/>
      <c r="N940" s="1488"/>
      <c r="O940" s="1488"/>
      <c r="P940" s="1488"/>
      <c r="Q940" s="1489"/>
      <c r="R940" s="1489"/>
      <c r="S940" s="1489"/>
      <c r="T940" s="1489"/>
      <c r="U940" s="1489"/>
      <c r="V940" s="1489"/>
      <c r="W940" s="1489"/>
      <c r="X940" s="1489"/>
      <c r="Y940" s="1489"/>
      <c r="Z940" s="1489"/>
      <c r="AA940" s="1489"/>
      <c r="AB940" s="1489"/>
      <c r="AC940" s="1489"/>
      <c r="AD940" s="1489"/>
      <c r="AE940" s="1489"/>
      <c r="AF940" s="1489"/>
      <c r="AG940" s="1489"/>
      <c r="AH940" s="1489"/>
      <c r="AI940" s="1489"/>
      <c r="AJ940" s="1489"/>
      <c r="AK940" s="1489"/>
      <c r="AL940" s="1489"/>
      <c r="AM940" s="1489"/>
      <c r="AN940" s="1489"/>
      <c r="AO940" s="1489"/>
      <c r="AP940" s="1489"/>
      <c r="AQ940" s="1489"/>
      <c r="AR940" s="1488"/>
      <c r="AS940" s="1488"/>
      <c r="AT940" s="1488"/>
      <c r="AU940" s="1488"/>
      <c r="AV940" s="1488"/>
      <c r="AW940" s="1488"/>
      <c r="AX940" s="1488"/>
      <c r="AY940" s="1488"/>
    </row>
    <row r="941" spans="3:51" s="1502" customFormat="1">
      <c r="C941" s="1498"/>
      <c r="D941" s="1501"/>
      <c r="E941" s="1500"/>
      <c r="F941" s="814"/>
      <c r="G941" s="1494"/>
      <c r="H941" s="1493"/>
      <c r="I941" s="1493"/>
      <c r="J941" s="813"/>
      <c r="K941" s="814"/>
      <c r="L941" s="1499"/>
      <c r="M941" s="1488"/>
      <c r="N941" s="1488"/>
      <c r="O941" s="1488"/>
      <c r="P941" s="1488"/>
      <c r="Q941" s="1489"/>
      <c r="R941" s="1489"/>
      <c r="S941" s="1489"/>
      <c r="T941" s="1489"/>
      <c r="U941" s="1489"/>
      <c r="V941" s="1489"/>
      <c r="W941" s="1489"/>
      <c r="X941" s="1489"/>
      <c r="Y941" s="1489"/>
      <c r="Z941" s="1489"/>
      <c r="AA941" s="1489"/>
      <c r="AB941" s="1489"/>
      <c r="AC941" s="1489"/>
      <c r="AD941" s="1489"/>
      <c r="AE941" s="1489"/>
      <c r="AF941" s="1489"/>
      <c r="AG941" s="1489"/>
      <c r="AH941" s="1489"/>
      <c r="AI941" s="1489"/>
      <c r="AJ941" s="1489"/>
      <c r="AK941" s="1489"/>
      <c r="AL941" s="1489"/>
      <c r="AM941" s="1489"/>
      <c r="AN941" s="1489"/>
      <c r="AO941" s="1489"/>
      <c r="AP941" s="1489"/>
      <c r="AQ941" s="1489"/>
      <c r="AR941" s="1488"/>
      <c r="AS941" s="1488"/>
      <c r="AT941" s="1488"/>
      <c r="AU941" s="1488"/>
      <c r="AV941" s="1488"/>
      <c r="AW941" s="1488"/>
      <c r="AX941" s="1488"/>
      <c r="AY941" s="1488"/>
    </row>
    <row r="942" spans="3:51" s="1502" customFormat="1">
      <c r="C942" s="1498"/>
      <c r="D942" s="1501"/>
      <c r="E942" s="1500"/>
      <c r="F942" s="814"/>
      <c r="G942" s="1494"/>
      <c r="H942" s="1493"/>
      <c r="I942" s="1493"/>
      <c r="J942" s="813"/>
      <c r="K942" s="814"/>
      <c r="L942" s="1499"/>
      <c r="M942" s="1488"/>
      <c r="N942" s="1488"/>
      <c r="O942" s="1488"/>
      <c r="P942" s="1488"/>
      <c r="Q942" s="1489"/>
      <c r="R942" s="1489"/>
      <c r="S942" s="1489"/>
      <c r="T942" s="1489"/>
      <c r="U942" s="1489"/>
      <c r="V942" s="1489"/>
      <c r="W942" s="1489"/>
      <c r="X942" s="1489"/>
      <c r="Y942" s="1489"/>
      <c r="Z942" s="1489"/>
      <c r="AA942" s="1489"/>
      <c r="AB942" s="1489"/>
      <c r="AC942" s="1489"/>
      <c r="AD942" s="1489"/>
      <c r="AE942" s="1489"/>
      <c r="AF942" s="1489"/>
      <c r="AG942" s="1489"/>
      <c r="AH942" s="1489"/>
      <c r="AI942" s="1489"/>
      <c r="AJ942" s="1489"/>
      <c r="AK942" s="1489"/>
      <c r="AL942" s="1489"/>
      <c r="AM942" s="1489"/>
      <c r="AN942" s="1489"/>
      <c r="AO942" s="1489"/>
      <c r="AP942" s="1489"/>
      <c r="AQ942" s="1489"/>
      <c r="AR942" s="1488"/>
      <c r="AS942" s="1488"/>
      <c r="AT942" s="1488"/>
      <c r="AU942" s="1488"/>
      <c r="AV942" s="1488"/>
      <c r="AW942" s="1488"/>
      <c r="AX942" s="1488"/>
      <c r="AY942" s="1488"/>
    </row>
    <row r="943" spans="3:51" s="1502" customFormat="1">
      <c r="C943" s="1498"/>
      <c r="D943" s="1501"/>
      <c r="E943" s="1500"/>
      <c r="F943" s="814"/>
      <c r="G943" s="1494"/>
      <c r="H943" s="1493"/>
      <c r="I943" s="1493"/>
      <c r="J943" s="813"/>
      <c r="K943" s="814"/>
      <c r="L943" s="1499"/>
      <c r="M943" s="1488"/>
      <c r="N943" s="1488"/>
      <c r="O943" s="1488"/>
      <c r="P943" s="1488"/>
      <c r="Q943" s="1489"/>
      <c r="R943" s="1489"/>
      <c r="S943" s="1489"/>
      <c r="T943" s="1489"/>
      <c r="U943" s="1489"/>
      <c r="V943" s="1489"/>
      <c r="W943" s="1489"/>
      <c r="X943" s="1489"/>
      <c r="Y943" s="1489"/>
      <c r="Z943" s="1489"/>
      <c r="AA943" s="1489"/>
      <c r="AB943" s="1489"/>
      <c r="AC943" s="1489"/>
      <c r="AD943" s="1489"/>
      <c r="AE943" s="1489"/>
      <c r="AF943" s="1489"/>
      <c r="AG943" s="1489"/>
      <c r="AH943" s="1489"/>
      <c r="AI943" s="1489"/>
      <c r="AJ943" s="1489"/>
      <c r="AK943" s="1489"/>
      <c r="AL943" s="1489"/>
      <c r="AM943" s="1489"/>
      <c r="AN943" s="1489"/>
      <c r="AO943" s="1489"/>
      <c r="AP943" s="1489"/>
      <c r="AQ943" s="1489"/>
      <c r="AR943" s="1488"/>
      <c r="AS943" s="1488"/>
      <c r="AT943" s="1488"/>
      <c r="AU943" s="1488"/>
      <c r="AV943" s="1488"/>
      <c r="AW943" s="1488"/>
      <c r="AX943" s="1488"/>
      <c r="AY943" s="1488"/>
    </row>
    <row r="944" spans="3:51" s="1502" customFormat="1">
      <c r="C944" s="1498"/>
      <c r="D944" s="1501"/>
      <c r="E944" s="1500"/>
      <c r="F944" s="814"/>
      <c r="G944" s="1494"/>
      <c r="H944" s="1493"/>
      <c r="I944" s="1493"/>
      <c r="J944" s="813"/>
      <c r="K944" s="814"/>
      <c r="L944" s="1499"/>
      <c r="M944" s="1488"/>
      <c r="N944" s="1488"/>
      <c r="O944" s="1488"/>
      <c r="P944" s="1488"/>
      <c r="Q944" s="1489"/>
      <c r="R944" s="1489"/>
      <c r="S944" s="1489"/>
      <c r="T944" s="1489"/>
      <c r="U944" s="1489"/>
      <c r="V944" s="1489"/>
      <c r="W944" s="1489"/>
      <c r="X944" s="1489"/>
      <c r="Y944" s="1489"/>
      <c r="Z944" s="1489"/>
      <c r="AA944" s="1489"/>
      <c r="AB944" s="1489"/>
      <c r="AC944" s="1489"/>
      <c r="AD944" s="1489"/>
      <c r="AE944" s="1489"/>
      <c r="AF944" s="1489"/>
      <c r="AG944" s="1489"/>
      <c r="AH944" s="1489"/>
      <c r="AI944" s="1489"/>
      <c r="AJ944" s="1489"/>
      <c r="AK944" s="1489"/>
      <c r="AL944" s="1489"/>
      <c r="AM944" s="1489"/>
      <c r="AN944" s="1489"/>
      <c r="AO944" s="1489"/>
      <c r="AP944" s="1489"/>
      <c r="AQ944" s="1489"/>
      <c r="AR944" s="1488"/>
      <c r="AS944" s="1488"/>
      <c r="AT944" s="1488"/>
      <c r="AU944" s="1488"/>
      <c r="AV944" s="1488"/>
      <c r="AW944" s="1488"/>
      <c r="AX944" s="1488"/>
      <c r="AY944" s="1488"/>
    </row>
    <row r="945" spans="3:51" s="1502" customFormat="1">
      <c r="C945" s="1498"/>
      <c r="D945" s="1501"/>
      <c r="E945" s="1500"/>
      <c r="F945" s="814"/>
      <c r="G945" s="1494"/>
      <c r="H945" s="1493"/>
      <c r="I945" s="1493"/>
      <c r="J945" s="813"/>
      <c r="K945" s="814"/>
      <c r="L945" s="1499"/>
      <c r="M945" s="1488"/>
      <c r="N945" s="1488"/>
      <c r="O945" s="1488"/>
      <c r="P945" s="1488"/>
      <c r="Q945" s="1489"/>
      <c r="R945" s="1489"/>
      <c r="S945" s="1489"/>
      <c r="T945" s="1489"/>
      <c r="U945" s="1489"/>
      <c r="V945" s="1489"/>
      <c r="W945" s="1489"/>
      <c r="X945" s="1489"/>
      <c r="Y945" s="1489"/>
      <c r="Z945" s="1489"/>
      <c r="AA945" s="1489"/>
      <c r="AB945" s="1489"/>
      <c r="AC945" s="1489"/>
      <c r="AD945" s="1489"/>
      <c r="AE945" s="1489"/>
      <c r="AF945" s="1489"/>
      <c r="AG945" s="1489"/>
      <c r="AH945" s="1489"/>
      <c r="AI945" s="1489"/>
      <c r="AJ945" s="1489"/>
      <c r="AK945" s="1489"/>
      <c r="AL945" s="1489"/>
      <c r="AM945" s="1489"/>
      <c r="AN945" s="1489"/>
      <c r="AO945" s="1489"/>
      <c r="AP945" s="1489"/>
      <c r="AQ945" s="1489"/>
      <c r="AR945" s="1488"/>
      <c r="AS945" s="1488"/>
      <c r="AT945" s="1488"/>
      <c r="AU945" s="1488"/>
      <c r="AV945" s="1488"/>
      <c r="AW945" s="1488"/>
      <c r="AX945" s="1488"/>
      <c r="AY945" s="1488"/>
    </row>
    <row r="946" spans="3:51" s="1502" customFormat="1">
      <c r="C946" s="1498"/>
      <c r="D946" s="1501"/>
      <c r="E946" s="1500"/>
      <c r="F946" s="814"/>
      <c r="G946" s="1494"/>
      <c r="H946" s="1493"/>
      <c r="I946" s="1493"/>
      <c r="J946" s="813"/>
      <c r="K946" s="814"/>
      <c r="L946" s="1499"/>
      <c r="M946" s="1488"/>
      <c r="N946" s="1488"/>
      <c r="O946" s="1488"/>
      <c r="P946" s="1488"/>
      <c r="Q946" s="1489"/>
      <c r="R946" s="1489"/>
      <c r="S946" s="1489"/>
      <c r="T946" s="1489"/>
      <c r="U946" s="1489"/>
      <c r="V946" s="1489"/>
      <c r="W946" s="1489"/>
      <c r="X946" s="1489"/>
      <c r="Y946" s="1489"/>
      <c r="Z946" s="1489"/>
      <c r="AA946" s="1489"/>
      <c r="AB946" s="1489"/>
      <c r="AC946" s="1489"/>
      <c r="AD946" s="1489"/>
      <c r="AE946" s="1489"/>
      <c r="AF946" s="1489"/>
      <c r="AG946" s="1489"/>
      <c r="AH946" s="1489"/>
      <c r="AI946" s="1489"/>
      <c r="AJ946" s="1489"/>
      <c r="AK946" s="1489"/>
      <c r="AL946" s="1489"/>
      <c r="AM946" s="1489"/>
      <c r="AN946" s="1489"/>
      <c r="AO946" s="1489"/>
      <c r="AP946" s="1489"/>
      <c r="AQ946" s="1489"/>
      <c r="AR946" s="1488"/>
      <c r="AS946" s="1488"/>
      <c r="AT946" s="1488"/>
      <c r="AU946" s="1488"/>
      <c r="AV946" s="1488"/>
      <c r="AW946" s="1488"/>
      <c r="AX946" s="1488"/>
      <c r="AY946" s="1488"/>
    </row>
    <row r="947" spans="3:51" s="1502" customFormat="1">
      <c r="C947" s="1498"/>
      <c r="D947" s="1501"/>
      <c r="E947" s="1500"/>
      <c r="F947" s="814"/>
      <c r="G947" s="1494"/>
      <c r="H947" s="1493"/>
      <c r="I947" s="1493"/>
      <c r="J947" s="813"/>
      <c r="K947" s="814"/>
      <c r="L947" s="1499"/>
      <c r="M947" s="1488"/>
      <c r="N947" s="1488"/>
      <c r="O947" s="1488"/>
      <c r="P947" s="1488"/>
      <c r="Q947" s="1489"/>
      <c r="R947" s="1489"/>
      <c r="S947" s="1489"/>
      <c r="T947" s="1489"/>
      <c r="U947" s="1489"/>
      <c r="V947" s="1489"/>
      <c r="W947" s="1489"/>
      <c r="X947" s="1489"/>
      <c r="Y947" s="1489"/>
      <c r="Z947" s="1489"/>
      <c r="AA947" s="1489"/>
      <c r="AB947" s="1489"/>
      <c r="AC947" s="1489"/>
      <c r="AD947" s="1489"/>
      <c r="AE947" s="1489"/>
      <c r="AF947" s="1489"/>
      <c r="AG947" s="1489"/>
      <c r="AH947" s="1489"/>
      <c r="AI947" s="1489"/>
      <c r="AJ947" s="1489"/>
      <c r="AK947" s="1489"/>
      <c r="AL947" s="1489"/>
      <c r="AM947" s="1489"/>
      <c r="AN947" s="1489"/>
      <c r="AO947" s="1489"/>
      <c r="AP947" s="1489"/>
      <c r="AQ947" s="1489"/>
      <c r="AR947" s="1488"/>
      <c r="AS947" s="1488"/>
      <c r="AT947" s="1488"/>
      <c r="AU947" s="1488"/>
      <c r="AV947" s="1488"/>
      <c r="AW947" s="1488"/>
      <c r="AX947" s="1488"/>
      <c r="AY947" s="1488"/>
    </row>
    <row r="948" spans="3:51" s="1502" customFormat="1">
      <c r="C948" s="1498"/>
      <c r="D948" s="1501"/>
      <c r="E948" s="1500"/>
      <c r="F948" s="814"/>
      <c r="G948" s="1494"/>
      <c r="H948" s="1493"/>
      <c r="I948" s="1493"/>
      <c r="J948" s="813"/>
      <c r="K948" s="814"/>
      <c r="L948" s="1499"/>
      <c r="M948" s="1488"/>
      <c r="N948" s="1488"/>
      <c r="O948" s="1488"/>
      <c r="P948" s="1488"/>
      <c r="Q948" s="1489"/>
      <c r="R948" s="1489"/>
      <c r="S948" s="1489"/>
      <c r="T948" s="1489"/>
      <c r="U948" s="1489"/>
      <c r="V948" s="1489"/>
      <c r="W948" s="1489"/>
      <c r="X948" s="1489"/>
      <c r="Y948" s="1489"/>
      <c r="Z948" s="1489"/>
      <c r="AA948" s="1489"/>
      <c r="AB948" s="1489"/>
      <c r="AC948" s="1489"/>
      <c r="AD948" s="1489"/>
      <c r="AE948" s="1489"/>
      <c r="AF948" s="1489"/>
      <c r="AG948" s="1489"/>
      <c r="AH948" s="1489"/>
      <c r="AI948" s="1489"/>
      <c r="AJ948" s="1489"/>
      <c r="AK948" s="1489"/>
      <c r="AL948" s="1489"/>
      <c r="AM948" s="1489"/>
      <c r="AN948" s="1489"/>
      <c r="AO948" s="1489"/>
      <c r="AP948" s="1489"/>
      <c r="AQ948" s="1489"/>
      <c r="AR948" s="1488"/>
      <c r="AS948" s="1488"/>
      <c r="AT948" s="1488"/>
      <c r="AU948" s="1488"/>
      <c r="AV948" s="1488"/>
      <c r="AW948" s="1488"/>
      <c r="AX948" s="1488"/>
      <c r="AY948" s="1488"/>
    </row>
    <row r="949" spans="3:51" s="1502" customFormat="1">
      <c r="C949" s="1498"/>
      <c r="D949" s="1501"/>
      <c r="E949" s="1500"/>
      <c r="F949" s="814"/>
      <c r="G949" s="1494"/>
      <c r="H949" s="1493"/>
      <c r="I949" s="1493"/>
      <c r="J949" s="813"/>
      <c r="K949" s="814"/>
      <c r="L949" s="1499"/>
      <c r="M949" s="1488"/>
      <c r="N949" s="1488"/>
      <c r="O949" s="1488"/>
      <c r="P949" s="1488"/>
      <c r="Q949" s="1489"/>
      <c r="R949" s="1489"/>
      <c r="S949" s="1489"/>
      <c r="T949" s="1489"/>
      <c r="U949" s="1489"/>
      <c r="V949" s="1489"/>
      <c r="W949" s="1489"/>
      <c r="X949" s="1489"/>
      <c r="Y949" s="1489"/>
      <c r="Z949" s="1489"/>
      <c r="AA949" s="1489"/>
      <c r="AB949" s="1489"/>
      <c r="AC949" s="1489"/>
      <c r="AD949" s="1489"/>
      <c r="AE949" s="1489"/>
      <c r="AF949" s="1489"/>
      <c r="AG949" s="1489"/>
      <c r="AH949" s="1489"/>
      <c r="AI949" s="1489"/>
      <c r="AJ949" s="1489"/>
      <c r="AK949" s="1489"/>
      <c r="AL949" s="1489"/>
      <c r="AM949" s="1489"/>
      <c r="AN949" s="1489"/>
      <c r="AO949" s="1489"/>
      <c r="AP949" s="1489"/>
      <c r="AQ949" s="1489"/>
      <c r="AR949" s="1488"/>
      <c r="AS949" s="1488"/>
      <c r="AT949" s="1488"/>
      <c r="AU949" s="1488"/>
      <c r="AV949" s="1488"/>
      <c r="AW949" s="1488"/>
      <c r="AX949" s="1488"/>
      <c r="AY949" s="1488"/>
    </row>
    <row r="950" spans="3:51" s="1502" customFormat="1">
      <c r="C950" s="1498"/>
      <c r="D950" s="1501"/>
      <c r="E950" s="1500"/>
      <c r="F950" s="814"/>
      <c r="G950" s="1494"/>
      <c r="H950" s="1493"/>
      <c r="I950" s="1493"/>
      <c r="J950" s="813"/>
      <c r="K950" s="814"/>
      <c r="L950" s="1499"/>
      <c r="M950" s="1488"/>
      <c r="N950" s="1488"/>
      <c r="O950" s="1488"/>
      <c r="P950" s="1488"/>
      <c r="Q950" s="1489"/>
      <c r="R950" s="1489"/>
      <c r="S950" s="1489"/>
      <c r="T950" s="1489"/>
      <c r="U950" s="1489"/>
      <c r="V950" s="1489"/>
      <c r="W950" s="1489"/>
      <c r="X950" s="1489"/>
      <c r="Y950" s="1489"/>
      <c r="Z950" s="1489"/>
      <c r="AA950" s="1489"/>
      <c r="AB950" s="1489"/>
      <c r="AC950" s="1489"/>
      <c r="AD950" s="1489"/>
      <c r="AE950" s="1489"/>
      <c r="AF950" s="1489"/>
      <c r="AG950" s="1489"/>
      <c r="AH950" s="1489"/>
      <c r="AI950" s="1489"/>
      <c r="AJ950" s="1489"/>
      <c r="AK950" s="1489"/>
      <c r="AL950" s="1489"/>
      <c r="AM950" s="1489"/>
      <c r="AN950" s="1489"/>
      <c r="AO950" s="1489"/>
      <c r="AP950" s="1489"/>
      <c r="AQ950" s="1489"/>
      <c r="AR950" s="1488"/>
      <c r="AS950" s="1488"/>
      <c r="AT950" s="1488"/>
      <c r="AU950" s="1488"/>
      <c r="AV950" s="1488"/>
      <c r="AW950" s="1488"/>
      <c r="AX950" s="1488"/>
      <c r="AY950" s="1488"/>
    </row>
    <row r="951" spans="3:51" s="1502" customFormat="1">
      <c r="C951" s="1498"/>
      <c r="D951" s="1501"/>
      <c r="E951" s="1500"/>
      <c r="F951" s="814"/>
      <c r="G951" s="1494"/>
      <c r="H951" s="1493"/>
      <c r="I951" s="1493"/>
      <c r="J951" s="813"/>
      <c r="K951" s="814"/>
      <c r="L951" s="1499"/>
      <c r="M951" s="1488"/>
      <c r="N951" s="1488"/>
      <c r="O951" s="1488"/>
      <c r="P951" s="1488"/>
      <c r="Q951" s="1489"/>
      <c r="R951" s="1489"/>
      <c r="S951" s="1489"/>
      <c r="T951" s="1489"/>
      <c r="U951" s="1489"/>
      <c r="V951" s="1489"/>
      <c r="W951" s="1489"/>
      <c r="X951" s="1489"/>
      <c r="Y951" s="1489"/>
      <c r="Z951" s="1489"/>
      <c r="AA951" s="1489"/>
      <c r="AB951" s="1489"/>
      <c r="AC951" s="1489"/>
      <c r="AD951" s="1489"/>
      <c r="AE951" s="1489"/>
      <c r="AF951" s="1489"/>
      <c r="AG951" s="1489"/>
      <c r="AH951" s="1489"/>
      <c r="AI951" s="1489"/>
      <c r="AJ951" s="1489"/>
      <c r="AK951" s="1489"/>
      <c r="AL951" s="1489"/>
      <c r="AM951" s="1489"/>
      <c r="AN951" s="1489"/>
      <c r="AO951" s="1489"/>
      <c r="AP951" s="1489"/>
      <c r="AQ951" s="1489"/>
      <c r="AR951" s="1488"/>
      <c r="AS951" s="1488"/>
      <c r="AT951" s="1488"/>
      <c r="AU951" s="1488"/>
      <c r="AV951" s="1488"/>
      <c r="AW951" s="1488"/>
      <c r="AX951" s="1488"/>
      <c r="AY951" s="1488"/>
    </row>
    <row r="952" spans="3:51" s="1502" customFormat="1">
      <c r="C952" s="1498"/>
      <c r="D952" s="1501"/>
      <c r="E952" s="1500"/>
      <c r="F952" s="814"/>
      <c r="G952" s="1494"/>
      <c r="H952" s="1493"/>
      <c r="I952" s="1493"/>
      <c r="J952" s="813"/>
      <c r="K952" s="814"/>
      <c r="L952" s="1499"/>
      <c r="M952" s="1488"/>
      <c r="N952" s="1488"/>
      <c r="O952" s="1488"/>
      <c r="P952" s="1488"/>
      <c r="Q952" s="1489"/>
      <c r="R952" s="1489"/>
      <c r="S952" s="1489"/>
      <c r="T952" s="1489"/>
      <c r="U952" s="1489"/>
      <c r="V952" s="1489"/>
      <c r="W952" s="1489"/>
      <c r="X952" s="1489"/>
      <c r="Y952" s="1489"/>
      <c r="Z952" s="1489"/>
      <c r="AA952" s="1489"/>
      <c r="AB952" s="1489"/>
      <c r="AC952" s="1489"/>
      <c r="AD952" s="1489"/>
      <c r="AE952" s="1489"/>
      <c r="AF952" s="1489"/>
      <c r="AG952" s="1489"/>
      <c r="AH952" s="1489"/>
      <c r="AI952" s="1489"/>
      <c r="AJ952" s="1489"/>
      <c r="AK952" s="1489"/>
      <c r="AL952" s="1489"/>
      <c r="AM952" s="1489"/>
      <c r="AN952" s="1489"/>
      <c r="AO952" s="1489"/>
      <c r="AP952" s="1489"/>
      <c r="AQ952" s="1489"/>
      <c r="AR952" s="1488"/>
      <c r="AS952" s="1488"/>
      <c r="AT952" s="1488"/>
      <c r="AU952" s="1488"/>
      <c r="AV952" s="1488"/>
      <c r="AW952" s="1488"/>
      <c r="AX952" s="1488"/>
      <c r="AY952" s="1488"/>
    </row>
    <row r="953" spans="3:51" s="1502" customFormat="1">
      <c r="C953" s="1498"/>
      <c r="D953" s="1501"/>
      <c r="E953" s="1500"/>
      <c r="F953" s="814"/>
      <c r="G953" s="1494"/>
      <c r="H953" s="1493"/>
      <c r="I953" s="1493"/>
      <c r="J953" s="813"/>
      <c r="K953" s="814"/>
      <c r="L953" s="1499"/>
      <c r="M953" s="1488"/>
      <c r="N953" s="1488"/>
      <c r="O953" s="1488"/>
      <c r="P953" s="1488"/>
      <c r="Q953" s="1489"/>
      <c r="R953" s="1489"/>
      <c r="S953" s="1489"/>
      <c r="T953" s="1489"/>
      <c r="U953" s="1489"/>
      <c r="V953" s="1489"/>
      <c r="W953" s="1489"/>
      <c r="X953" s="1489"/>
      <c r="Y953" s="1489"/>
      <c r="Z953" s="1489"/>
      <c r="AA953" s="1489"/>
      <c r="AB953" s="1489"/>
      <c r="AC953" s="1489"/>
      <c r="AD953" s="1489"/>
      <c r="AE953" s="1489"/>
      <c r="AF953" s="1489"/>
      <c r="AG953" s="1489"/>
      <c r="AH953" s="1489"/>
      <c r="AI953" s="1489"/>
      <c r="AJ953" s="1489"/>
      <c r="AK953" s="1489"/>
      <c r="AL953" s="1489"/>
      <c r="AM953" s="1489"/>
      <c r="AN953" s="1489"/>
      <c r="AO953" s="1489"/>
      <c r="AP953" s="1489"/>
      <c r="AQ953" s="1489"/>
      <c r="AR953" s="1488"/>
      <c r="AS953" s="1488"/>
      <c r="AT953" s="1488"/>
      <c r="AU953" s="1488"/>
      <c r="AV953" s="1488"/>
      <c r="AW953" s="1488"/>
      <c r="AX953" s="1488"/>
      <c r="AY953" s="1488"/>
    </row>
    <row r="954" spans="3:51" s="1502" customFormat="1">
      <c r="C954" s="1498"/>
      <c r="D954" s="1501"/>
      <c r="E954" s="1500"/>
      <c r="F954" s="814"/>
      <c r="G954" s="1494"/>
      <c r="H954" s="1493"/>
      <c r="I954" s="1493"/>
      <c r="J954" s="813"/>
      <c r="K954" s="814"/>
      <c r="L954" s="1499"/>
      <c r="M954" s="1488"/>
      <c r="N954" s="1488"/>
      <c r="O954" s="1488"/>
      <c r="P954" s="1488"/>
      <c r="Q954" s="1489"/>
      <c r="R954" s="1489"/>
      <c r="S954" s="1489"/>
      <c r="T954" s="1489"/>
      <c r="U954" s="1489"/>
      <c r="V954" s="1489"/>
      <c r="W954" s="1489"/>
      <c r="X954" s="1489"/>
      <c r="Y954" s="1489"/>
      <c r="Z954" s="1489"/>
      <c r="AA954" s="1489"/>
      <c r="AB954" s="1489"/>
      <c r="AC954" s="1489"/>
      <c r="AD954" s="1489"/>
      <c r="AE954" s="1489"/>
      <c r="AF954" s="1489"/>
      <c r="AG954" s="1489"/>
      <c r="AH954" s="1489"/>
      <c r="AI954" s="1489"/>
      <c r="AJ954" s="1489"/>
      <c r="AK954" s="1489"/>
      <c r="AL954" s="1489"/>
      <c r="AM954" s="1489"/>
      <c r="AN954" s="1489"/>
      <c r="AO954" s="1489"/>
      <c r="AP954" s="1489"/>
      <c r="AQ954" s="1489"/>
      <c r="AR954" s="1488"/>
      <c r="AS954" s="1488"/>
      <c r="AT954" s="1488"/>
      <c r="AU954" s="1488"/>
      <c r="AV954" s="1488"/>
      <c r="AW954" s="1488"/>
      <c r="AX954" s="1488"/>
      <c r="AY954" s="1488"/>
    </row>
    <row r="955" spans="3:51" s="1502" customFormat="1">
      <c r="C955" s="1498"/>
      <c r="D955" s="1501"/>
      <c r="E955" s="1500"/>
      <c r="F955" s="814"/>
      <c r="G955" s="1494"/>
      <c r="H955" s="1493"/>
      <c r="I955" s="1493"/>
      <c r="J955" s="813"/>
      <c r="K955" s="814"/>
      <c r="L955" s="1499"/>
      <c r="M955" s="1488"/>
      <c r="N955" s="1488"/>
      <c r="O955" s="1488"/>
      <c r="P955" s="1488"/>
      <c r="Q955" s="1489"/>
      <c r="R955" s="1489"/>
      <c r="S955" s="1489"/>
      <c r="T955" s="1489"/>
      <c r="U955" s="1489"/>
      <c r="V955" s="1489"/>
      <c r="W955" s="1489"/>
      <c r="X955" s="1489"/>
      <c r="Y955" s="1489"/>
      <c r="Z955" s="1489"/>
      <c r="AA955" s="1489"/>
      <c r="AB955" s="1489"/>
      <c r="AC955" s="1489"/>
      <c r="AD955" s="1489"/>
      <c r="AE955" s="1489"/>
      <c r="AF955" s="1489"/>
      <c r="AG955" s="1489"/>
      <c r="AH955" s="1489"/>
      <c r="AI955" s="1489"/>
      <c r="AJ955" s="1489"/>
      <c r="AK955" s="1489"/>
      <c r="AL955" s="1489"/>
      <c r="AM955" s="1489"/>
      <c r="AN955" s="1489"/>
      <c r="AO955" s="1489"/>
      <c r="AP955" s="1489"/>
      <c r="AQ955" s="1489"/>
      <c r="AR955" s="1488"/>
      <c r="AS955" s="1488"/>
      <c r="AT955" s="1488"/>
      <c r="AU955" s="1488"/>
      <c r="AV955" s="1488"/>
      <c r="AW955" s="1488"/>
      <c r="AX955" s="1488"/>
      <c r="AY955" s="1488"/>
    </row>
    <row r="956" spans="3:51" s="1502" customFormat="1">
      <c r="C956" s="1498"/>
      <c r="D956" s="1501"/>
      <c r="E956" s="1500"/>
      <c r="F956" s="814"/>
      <c r="G956" s="1494"/>
      <c r="H956" s="1493"/>
      <c r="I956" s="1493"/>
      <c r="J956" s="813"/>
      <c r="K956" s="814"/>
      <c r="L956" s="1499"/>
      <c r="M956" s="1488"/>
      <c r="N956" s="1488"/>
      <c r="O956" s="1488"/>
      <c r="P956" s="1488"/>
      <c r="Q956" s="1489"/>
      <c r="R956" s="1489"/>
      <c r="S956" s="1489"/>
      <c r="T956" s="1489"/>
      <c r="U956" s="1489"/>
      <c r="V956" s="1489"/>
      <c r="W956" s="1489"/>
      <c r="X956" s="1489"/>
      <c r="Y956" s="1489"/>
      <c r="Z956" s="1489"/>
      <c r="AA956" s="1489"/>
      <c r="AB956" s="1489"/>
      <c r="AC956" s="1489"/>
      <c r="AD956" s="1489"/>
      <c r="AE956" s="1489"/>
      <c r="AF956" s="1489"/>
      <c r="AG956" s="1489"/>
      <c r="AH956" s="1489"/>
      <c r="AI956" s="1489"/>
      <c r="AJ956" s="1489"/>
      <c r="AK956" s="1489"/>
      <c r="AL956" s="1489"/>
      <c r="AM956" s="1489"/>
      <c r="AN956" s="1489"/>
      <c r="AO956" s="1489"/>
      <c r="AP956" s="1489"/>
      <c r="AQ956" s="1489"/>
      <c r="AR956" s="1488"/>
      <c r="AS956" s="1488"/>
      <c r="AT956" s="1488"/>
      <c r="AU956" s="1488"/>
      <c r="AV956" s="1488"/>
      <c r="AW956" s="1488"/>
      <c r="AX956" s="1488"/>
      <c r="AY956" s="1488"/>
    </row>
    <row r="957" spans="3:51" s="1502" customFormat="1">
      <c r="C957" s="1498"/>
      <c r="D957" s="1501"/>
      <c r="E957" s="1500"/>
      <c r="F957" s="814"/>
      <c r="G957" s="1494"/>
      <c r="H957" s="1493"/>
      <c r="I957" s="1493"/>
      <c r="J957" s="813"/>
      <c r="K957" s="814"/>
      <c r="L957" s="1499"/>
      <c r="M957" s="1488"/>
      <c r="N957" s="1488"/>
      <c r="O957" s="1488"/>
      <c r="P957" s="1488"/>
      <c r="Q957" s="1489"/>
      <c r="R957" s="1489"/>
      <c r="S957" s="1489"/>
      <c r="T957" s="1489"/>
      <c r="U957" s="1489"/>
      <c r="V957" s="1489"/>
      <c r="W957" s="1489"/>
      <c r="X957" s="1489"/>
      <c r="Y957" s="1489"/>
      <c r="Z957" s="1489"/>
      <c r="AA957" s="1489"/>
      <c r="AB957" s="1489"/>
      <c r="AC957" s="1489"/>
      <c r="AD957" s="1489"/>
      <c r="AE957" s="1489"/>
      <c r="AF957" s="1489"/>
      <c r="AG957" s="1489"/>
      <c r="AH957" s="1489"/>
      <c r="AI957" s="1489"/>
      <c r="AJ957" s="1489"/>
      <c r="AK957" s="1489"/>
      <c r="AL957" s="1489"/>
      <c r="AM957" s="1489"/>
      <c r="AN957" s="1489"/>
      <c r="AO957" s="1489"/>
      <c r="AP957" s="1489"/>
      <c r="AQ957" s="1489"/>
      <c r="AR957" s="1488"/>
      <c r="AS957" s="1488"/>
      <c r="AT957" s="1488"/>
      <c r="AU957" s="1488"/>
      <c r="AV957" s="1488"/>
      <c r="AW957" s="1488"/>
      <c r="AX957" s="1488"/>
      <c r="AY957" s="1488"/>
    </row>
    <row r="958" spans="3:51" s="1502" customFormat="1">
      <c r="C958" s="1498"/>
      <c r="D958" s="1501"/>
      <c r="E958" s="1500"/>
      <c r="F958" s="814"/>
      <c r="G958" s="1494"/>
      <c r="H958" s="1493"/>
      <c r="I958" s="1493"/>
      <c r="J958" s="813"/>
      <c r="K958" s="814"/>
      <c r="L958" s="1499"/>
      <c r="M958" s="1488"/>
      <c r="N958" s="1488"/>
      <c r="O958" s="1488"/>
      <c r="P958" s="1488"/>
      <c r="Q958" s="1489"/>
      <c r="R958" s="1489"/>
      <c r="S958" s="1489"/>
      <c r="T958" s="1489"/>
      <c r="U958" s="1489"/>
      <c r="V958" s="1489"/>
      <c r="W958" s="1489"/>
      <c r="X958" s="1489"/>
      <c r="Y958" s="1489"/>
      <c r="Z958" s="1489"/>
      <c r="AA958" s="1489"/>
      <c r="AB958" s="1489"/>
      <c r="AC958" s="1489"/>
      <c r="AD958" s="1489"/>
      <c r="AE958" s="1489"/>
      <c r="AF958" s="1489"/>
      <c r="AG958" s="1489"/>
      <c r="AH958" s="1489"/>
      <c r="AI958" s="1489"/>
      <c r="AJ958" s="1489"/>
      <c r="AK958" s="1489"/>
      <c r="AL958" s="1489"/>
      <c r="AM958" s="1489"/>
      <c r="AN958" s="1489"/>
      <c r="AO958" s="1489"/>
      <c r="AP958" s="1489"/>
      <c r="AQ958" s="1489"/>
      <c r="AR958" s="1488"/>
      <c r="AS958" s="1488"/>
      <c r="AT958" s="1488"/>
      <c r="AU958" s="1488"/>
      <c r="AV958" s="1488"/>
      <c r="AW958" s="1488"/>
      <c r="AX958" s="1488"/>
      <c r="AY958" s="1488"/>
    </row>
    <row r="959" spans="3:51" s="1502" customFormat="1">
      <c r="C959" s="1498"/>
      <c r="D959" s="1501"/>
      <c r="E959" s="1500"/>
      <c r="F959" s="814"/>
      <c r="G959" s="1494"/>
      <c r="H959" s="1493"/>
      <c r="I959" s="1493"/>
      <c r="J959" s="813"/>
      <c r="K959" s="814"/>
      <c r="L959" s="1499"/>
      <c r="M959" s="1488"/>
      <c r="N959" s="1488"/>
      <c r="O959" s="1488"/>
      <c r="P959" s="1488"/>
      <c r="Q959" s="1489"/>
      <c r="R959" s="1489"/>
      <c r="S959" s="1489"/>
      <c r="T959" s="1489"/>
      <c r="U959" s="1489"/>
      <c r="V959" s="1489"/>
      <c r="W959" s="1489"/>
      <c r="X959" s="1489"/>
      <c r="Y959" s="1489"/>
      <c r="Z959" s="1489"/>
      <c r="AA959" s="1489"/>
      <c r="AB959" s="1489"/>
      <c r="AC959" s="1489"/>
      <c r="AD959" s="1489"/>
      <c r="AE959" s="1489"/>
      <c r="AF959" s="1489"/>
      <c r="AG959" s="1489"/>
      <c r="AH959" s="1489"/>
      <c r="AI959" s="1489"/>
      <c r="AJ959" s="1489"/>
      <c r="AK959" s="1489"/>
      <c r="AL959" s="1489"/>
      <c r="AM959" s="1489"/>
      <c r="AN959" s="1489"/>
      <c r="AO959" s="1489"/>
      <c r="AP959" s="1489"/>
      <c r="AQ959" s="1489"/>
      <c r="AR959" s="1488"/>
      <c r="AS959" s="1488"/>
      <c r="AT959" s="1488"/>
      <c r="AU959" s="1488"/>
      <c r="AV959" s="1488"/>
      <c r="AW959" s="1488"/>
      <c r="AX959" s="1488"/>
      <c r="AY959" s="1488"/>
    </row>
    <row r="960" spans="3:51" s="1502" customFormat="1">
      <c r="C960" s="1498"/>
      <c r="D960" s="1501"/>
      <c r="E960" s="1500"/>
      <c r="F960" s="814"/>
      <c r="G960" s="1494"/>
      <c r="H960" s="1493"/>
      <c r="I960" s="1493"/>
      <c r="J960" s="813"/>
      <c r="K960" s="814"/>
      <c r="L960" s="1499"/>
      <c r="M960" s="1488"/>
      <c r="N960" s="1488"/>
      <c r="O960" s="1488"/>
      <c r="P960" s="1488"/>
      <c r="Q960" s="1489"/>
      <c r="R960" s="1489"/>
      <c r="S960" s="1489"/>
      <c r="T960" s="1489"/>
      <c r="U960" s="1489"/>
      <c r="V960" s="1489"/>
      <c r="W960" s="1489"/>
      <c r="X960" s="1489"/>
      <c r="Y960" s="1489"/>
      <c r="Z960" s="1489"/>
      <c r="AA960" s="1489"/>
      <c r="AB960" s="1489"/>
      <c r="AC960" s="1489"/>
      <c r="AD960" s="1489"/>
      <c r="AE960" s="1489"/>
      <c r="AF960" s="1489"/>
      <c r="AG960" s="1489"/>
      <c r="AH960" s="1489"/>
      <c r="AI960" s="1489"/>
      <c r="AJ960" s="1489"/>
      <c r="AK960" s="1489"/>
      <c r="AL960" s="1489"/>
      <c r="AM960" s="1489"/>
      <c r="AN960" s="1489"/>
      <c r="AO960" s="1489"/>
      <c r="AP960" s="1489"/>
      <c r="AQ960" s="1489"/>
      <c r="AR960" s="1488"/>
      <c r="AS960" s="1488"/>
      <c r="AT960" s="1488"/>
      <c r="AU960" s="1488"/>
      <c r="AV960" s="1488"/>
      <c r="AW960" s="1488"/>
      <c r="AX960" s="1488"/>
      <c r="AY960" s="1488"/>
    </row>
    <row r="961" spans="3:51" s="1502" customFormat="1">
      <c r="C961" s="1498"/>
      <c r="D961" s="1501"/>
      <c r="E961" s="1500"/>
      <c r="F961" s="814"/>
      <c r="G961" s="1494"/>
      <c r="H961" s="1493"/>
      <c r="I961" s="1493"/>
      <c r="J961" s="813"/>
      <c r="K961" s="814"/>
      <c r="L961" s="1499"/>
      <c r="M961" s="1488"/>
      <c r="N961" s="1488"/>
      <c r="O961" s="1488"/>
      <c r="P961" s="1488"/>
      <c r="Q961" s="1489"/>
      <c r="R961" s="1489"/>
      <c r="S961" s="1489"/>
      <c r="T961" s="1489"/>
      <c r="U961" s="1489"/>
      <c r="V961" s="1489"/>
      <c r="W961" s="1489"/>
      <c r="X961" s="1489"/>
      <c r="Y961" s="1489"/>
      <c r="Z961" s="1489"/>
      <c r="AA961" s="1489"/>
      <c r="AB961" s="1489"/>
      <c r="AC961" s="1489"/>
      <c r="AD961" s="1489"/>
      <c r="AE961" s="1489"/>
      <c r="AF961" s="1489"/>
      <c r="AG961" s="1489"/>
      <c r="AH961" s="1489"/>
      <c r="AI961" s="1489"/>
      <c r="AJ961" s="1489"/>
      <c r="AK961" s="1489"/>
      <c r="AL961" s="1489"/>
      <c r="AM961" s="1489"/>
      <c r="AN961" s="1489"/>
      <c r="AO961" s="1489"/>
      <c r="AP961" s="1489"/>
      <c r="AQ961" s="1489"/>
      <c r="AR961" s="1488"/>
      <c r="AS961" s="1488"/>
      <c r="AT961" s="1488"/>
      <c r="AU961" s="1488"/>
      <c r="AV961" s="1488"/>
      <c r="AW961" s="1488"/>
      <c r="AX961" s="1488"/>
      <c r="AY961" s="1488"/>
    </row>
    <row r="962" spans="3:51" s="1502" customFormat="1">
      <c r="C962" s="1498"/>
      <c r="D962" s="1501"/>
      <c r="E962" s="1500"/>
      <c r="F962" s="814"/>
      <c r="G962" s="1494"/>
      <c r="H962" s="1493"/>
      <c r="I962" s="1493"/>
      <c r="J962" s="813"/>
      <c r="K962" s="814"/>
      <c r="L962" s="1499"/>
      <c r="M962" s="1488"/>
      <c r="N962" s="1488"/>
      <c r="O962" s="1488"/>
      <c r="P962" s="1488"/>
      <c r="Q962" s="1489"/>
      <c r="R962" s="1489"/>
      <c r="S962" s="1489"/>
      <c r="T962" s="1489"/>
      <c r="U962" s="1489"/>
      <c r="V962" s="1489"/>
      <c r="W962" s="1489"/>
      <c r="X962" s="1489"/>
      <c r="Y962" s="1489"/>
      <c r="Z962" s="1489"/>
      <c r="AA962" s="1489"/>
      <c r="AB962" s="1489"/>
      <c r="AC962" s="1489"/>
      <c r="AD962" s="1489"/>
      <c r="AE962" s="1489"/>
      <c r="AF962" s="1489"/>
      <c r="AG962" s="1489"/>
      <c r="AH962" s="1489"/>
      <c r="AI962" s="1489"/>
      <c r="AJ962" s="1489"/>
      <c r="AK962" s="1489"/>
      <c r="AL962" s="1489"/>
      <c r="AM962" s="1489"/>
      <c r="AN962" s="1489"/>
      <c r="AO962" s="1489"/>
      <c r="AP962" s="1489"/>
      <c r="AQ962" s="1489"/>
      <c r="AR962" s="1488"/>
      <c r="AS962" s="1488"/>
      <c r="AT962" s="1488"/>
      <c r="AU962" s="1488"/>
      <c r="AV962" s="1488"/>
      <c r="AW962" s="1488"/>
      <c r="AX962" s="1488"/>
      <c r="AY962" s="1488"/>
    </row>
    <row r="963" spans="3:51" s="1502" customFormat="1">
      <c r="C963" s="1498"/>
      <c r="D963" s="1501"/>
      <c r="E963" s="1500"/>
      <c r="F963" s="814"/>
      <c r="G963" s="1494"/>
      <c r="H963" s="1493"/>
      <c r="I963" s="1493"/>
      <c r="J963" s="813"/>
      <c r="K963" s="814"/>
      <c r="L963" s="1499"/>
      <c r="M963" s="1488"/>
      <c r="N963" s="1488"/>
      <c r="O963" s="1488"/>
      <c r="P963" s="1488"/>
      <c r="Q963" s="1489"/>
      <c r="R963" s="1489"/>
      <c r="S963" s="1489"/>
      <c r="T963" s="1489"/>
      <c r="U963" s="1489"/>
      <c r="V963" s="1489"/>
      <c r="W963" s="1489"/>
      <c r="X963" s="1489"/>
      <c r="Y963" s="1489"/>
      <c r="Z963" s="1489"/>
      <c r="AA963" s="1489"/>
      <c r="AB963" s="1489"/>
      <c r="AC963" s="1489"/>
      <c r="AD963" s="1489"/>
      <c r="AE963" s="1489"/>
      <c r="AF963" s="1489"/>
      <c r="AG963" s="1489"/>
      <c r="AH963" s="1489"/>
      <c r="AI963" s="1489"/>
      <c r="AJ963" s="1489"/>
      <c r="AK963" s="1489"/>
      <c r="AL963" s="1489"/>
      <c r="AM963" s="1489"/>
      <c r="AN963" s="1489"/>
      <c r="AO963" s="1489"/>
      <c r="AP963" s="1489"/>
      <c r="AQ963" s="1489"/>
      <c r="AR963" s="1488"/>
      <c r="AS963" s="1488"/>
      <c r="AT963" s="1488"/>
      <c r="AU963" s="1488"/>
      <c r="AV963" s="1488"/>
      <c r="AW963" s="1488"/>
      <c r="AX963" s="1488"/>
      <c r="AY963" s="1488"/>
    </row>
    <row r="964" spans="3:51" s="1502" customFormat="1">
      <c r="C964" s="1498"/>
      <c r="D964" s="1501"/>
      <c r="E964" s="1500"/>
      <c r="F964" s="814"/>
      <c r="G964" s="1494"/>
      <c r="H964" s="1493"/>
      <c r="I964" s="1493"/>
      <c r="J964" s="813"/>
      <c r="K964" s="814"/>
      <c r="L964" s="1499"/>
      <c r="M964" s="1488"/>
      <c r="N964" s="1488"/>
      <c r="O964" s="1488"/>
      <c r="P964" s="1488"/>
      <c r="Q964" s="1489"/>
      <c r="R964" s="1489"/>
      <c r="S964" s="1489"/>
      <c r="T964" s="1489"/>
      <c r="U964" s="1489"/>
      <c r="V964" s="1489"/>
      <c r="W964" s="1489"/>
      <c r="X964" s="1489"/>
      <c r="Y964" s="1489"/>
      <c r="Z964" s="1489"/>
      <c r="AA964" s="1489"/>
      <c r="AB964" s="1489"/>
      <c r="AC964" s="1489"/>
      <c r="AD964" s="1489"/>
      <c r="AE964" s="1489"/>
      <c r="AF964" s="1489"/>
      <c r="AG964" s="1489"/>
      <c r="AH964" s="1489"/>
      <c r="AI964" s="1489"/>
      <c r="AJ964" s="1489"/>
      <c r="AK964" s="1489"/>
      <c r="AL964" s="1489"/>
      <c r="AM964" s="1489"/>
      <c r="AN964" s="1489"/>
      <c r="AO964" s="1489"/>
      <c r="AP964" s="1489"/>
      <c r="AQ964" s="1489"/>
      <c r="AR964" s="1488"/>
      <c r="AS964" s="1488"/>
      <c r="AT964" s="1488"/>
      <c r="AU964" s="1488"/>
      <c r="AV964" s="1488"/>
      <c r="AW964" s="1488"/>
      <c r="AX964" s="1488"/>
      <c r="AY964" s="1488"/>
    </row>
    <row r="965" spans="3:51" s="1502" customFormat="1">
      <c r="C965" s="1498"/>
      <c r="D965" s="1501"/>
      <c r="E965" s="1500"/>
      <c r="F965" s="814"/>
      <c r="G965" s="1494"/>
      <c r="H965" s="1493"/>
      <c r="I965" s="1493"/>
      <c r="J965" s="813"/>
      <c r="K965" s="814"/>
      <c r="L965" s="1499"/>
      <c r="M965" s="1488"/>
      <c r="N965" s="1488"/>
      <c r="O965" s="1488"/>
      <c r="P965" s="1488"/>
      <c r="Q965" s="1489"/>
      <c r="R965" s="1489"/>
      <c r="S965" s="1489"/>
      <c r="T965" s="1489"/>
      <c r="U965" s="1489"/>
      <c r="V965" s="1489"/>
      <c r="W965" s="1489"/>
      <c r="X965" s="1489"/>
      <c r="Y965" s="1489"/>
      <c r="Z965" s="1489"/>
      <c r="AA965" s="1489"/>
      <c r="AB965" s="1489"/>
      <c r="AC965" s="1489"/>
      <c r="AD965" s="1489"/>
      <c r="AE965" s="1489"/>
      <c r="AF965" s="1489"/>
      <c r="AG965" s="1489"/>
      <c r="AH965" s="1489"/>
      <c r="AI965" s="1489"/>
      <c r="AJ965" s="1489"/>
      <c r="AK965" s="1489"/>
      <c r="AL965" s="1489"/>
      <c r="AM965" s="1489"/>
      <c r="AN965" s="1489"/>
      <c r="AO965" s="1489"/>
      <c r="AP965" s="1489"/>
      <c r="AQ965" s="1489"/>
      <c r="AR965" s="1488"/>
      <c r="AS965" s="1488"/>
      <c r="AT965" s="1488"/>
      <c r="AU965" s="1488"/>
      <c r="AV965" s="1488"/>
      <c r="AW965" s="1488"/>
      <c r="AX965" s="1488"/>
      <c r="AY965" s="1488"/>
    </row>
    <row r="966" spans="3:51" s="1502" customFormat="1">
      <c r="C966" s="1498"/>
      <c r="D966" s="1501"/>
      <c r="E966" s="1500"/>
      <c r="F966" s="814"/>
      <c r="G966" s="1494"/>
      <c r="H966" s="1493"/>
      <c r="I966" s="1493"/>
      <c r="J966" s="813"/>
      <c r="K966" s="814"/>
      <c r="L966" s="1499"/>
      <c r="M966" s="1488"/>
      <c r="N966" s="1488"/>
      <c r="O966" s="1488"/>
      <c r="P966" s="1488"/>
      <c r="Q966" s="1489"/>
      <c r="R966" s="1489"/>
      <c r="S966" s="1489"/>
      <c r="T966" s="1489"/>
      <c r="U966" s="1489"/>
      <c r="V966" s="1489"/>
      <c r="W966" s="1489"/>
      <c r="X966" s="1489"/>
      <c r="Y966" s="1489"/>
      <c r="Z966" s="1489"/>
      <c r="AA966" s="1489"/>
      <c r="AB966" s="1489"/>
      <c r="AC966" s="1489"/>
      <c r="AD966" s="1489"/>
      <c r="AE966" s="1489"/>
      <c r="AF966" s="1489"/>
      <c r="AG966" s="1489"/>
      <c r="AH966" s="1489"/>
      <c r="AI966" s="1489"/>
      <c r="AJ966" s="1489"/>
      <c r="AK966" s="1489"/>
      <c r="AL966" s="1489"/>
      <c r="AM966" s="1489"/>
      <c r="AN966" s="1489"/>
      <c r="AO966" s="1489"/>
      <c r="AP966" s="1489"/>
      <c r="AQ966" s="1489"/>
      <c r="AR966" s="1488"/>
      <c r="AS966" s="1488"/>
      <c r="AT966" s="1488"/>
      <c r="AU966" s="1488"/>
      <c r="AV966" s="1488"/>
      <c r="AW966" s="1488"/>
      <c r="AX966" s="1488"/>
      <c r="AY966" s="1488"/>
    </row>
    <row r="967" spans="3:51" s="1502" customFormat="1">
      <c r="C967" s="1498"/>
      <c r="D967" s="1501"/>
      <c r="E967" s="1500"/>
      <c r="F967" s="814"/>
      <c r="G967" s="1494"/>
      <c r="H967" s="1493"/>
      <c r="I967" s="1493"/>
      <c r="J967" s="813"/>
      <c r="K967" s="814"/>
      <c r="L967" s="1499"/>
      <c r="M967" s="1488"/>
      <c r="N967" s="1488"/>
      <c r="O967" s="1488"/>
      <c r="P967" s="1488"/>
      <c r="Q967" s="1489"/>
      <c r="R967" s="1489"/>
      <c r="S967" s="1489"/>
      <c r="T967" s="1489"/>
      <c r="U967" s="1489"/>
      <c r="V967" s="1489"/>
      <c r="W967" s="1489"/>
      <c r="X967" s="1489"/>
      <c r="Y967" s="1489"/>
      <c r="Z967" s="1489"/>
      <c r="AA967" s="1489"/>
      <c r="AB967" s="1489"/>
      <c r="AC967" s="1489"/>
      <c r="AD967" s="1489"/>
      <c r="AE967" s="1489"/>
      <c r="AF967" s="1489"/>
      <c r="AG967" s="1489"/>
      <c r="AH967" s="1489"/>
      <c r="AI967" s="1489"/>
      <c r="AJ967" s="1489"/>
      <c r="AK967" s="1489"/>
      <c r="AL967" s="1489"/>
      <c r="AM967" s="1489"/>
      <c r="AN967" s="1489"/>
      <c r="AO967" s="1489"/>
      <c r="AP967" s="1489"/>
      <c r="AQ967" s="1489"/>
      <c r="AR967" s="1488"/>
      <c r="AS967" s="1488"/>
      <c r="AT967" s="1488"/>
      <c r="AU967" s="1488"/>
      <c r="AV967" s="1488"/>
      <c r="AW967" s="1488"/>
      <c r="AX967" s="1488"/>
      <c r="AY967" s="1488"/>
    </row>
    <row r="968" spans="3:51" s="1502" customFormat="1">
      <c r="C968" s="1498"/>
      <c r="D968" s="1501"/>
      <c r="E968" s="1500"/>
      <c r="F968" s="814"/>
      <c r="G968" s="1494"/>
      <c r="H968" s="1493"/>
      <c r="I968" s="1493"/>
      <c r="J968" s="813"/>
      <c r="K968" s="814"/>
      <c r="L968" s="1499"/>
      <c r="M968" s="1488"/>
      <c r="N968" s="1488"/>
      <c r="O968" s="1488"/>
      <c r="P968" s="1488"/>
      <c r="Q968" s="1489"/>
      <c r="R968" s="1489"/>
      <c r="S968" s="1489"/>
      <c r="T968" s="1489"/>
      <c r="U968" s="1489"/>
      <c r="V968" s="1489"/>
      <c r="W968" s="1489"/>
      <c r="X968" s="1489"/>
      <c r="Y968" s="1489"/>
      <c r="Z968" s="1489"/>
      <c r="AA968" s="1489"/>
      <c r="AB968" s="1489"/>
      <c r="AC968" s="1489"/>
      <c r="AD968" s="1489"/>
      <c r="AE968" s="1489"/>
      <c r="AF968" s="1489"/>
      <c r="AG968" s="1489"/>
      <c r="AH968" s="1489"/>
      <c r="AI968" s="1489"/>
      <c r="AJ968" s="1489"/>
      <c r="AK968" s="1489"/>
      <c r="AL968" s="1489"/>
      <c r="AM968" s="1489"/>
      <c r="AN968" s="1489"/>
      <c r="AO968" s="1489"/>
      <c r="AP968" s="1489"/>
      <c r="AQ968" s="1489"/>
      <c r="AR968" s="1488"/>
      <c r="AS968" s="1488"/>
      <c r="AT968" s="1488"/>
      <c r="AU968" s="1488"/>
      <c r="AV968" s="1488"/>
      <c r="AW968" s="1488"/>
      <c r="AX968" s="1488"/>
      <c r="AY968" s="1488"/>
    </row>
    <row r="969" spans="3:51" s="1502" customFormat="1">
      <c r="C969" s="1498"/>
      <c r="D969" s="1501"/>
      <c r="E969" s="1500"/>
      <c r="F969" s="814"/>
      <c r="G969" s="1494"/>
      <c r="H969" s="1493"/>
      <c r="I969" s="1493"/>
      <c r="J969" s="813"/>
      <c r="K969" s="814"/>
      <c r="L969" s="1499"/>
      <c r="M969" s="1488"/>
      <c r="N969" s="1488"/>
      <c r="O969" s="1488"/>
      <c r="P969" s="1488"/>
      <c r="Q969" s="1489"/>
      <c r="R969" s="1489"/>
      <c r="S969" s="1489"/>
      <c r="T969" s="1489"/>
      <c r="U969" s="1489"/>
      <c r="V969" s="1489"/>
      <c r="W969" s="1489"/>
      <c r="X969" s="1489"/>
      <c r="Y969" s="1489"/>
      <c r="Z969" s="1489"/>
      <c r="AA969" s="1489"/>
      <c r="AB969" s="1489"/>
      <c r="AC969" s="1489"/>
      <c r="AD969" s="1489"/>
      <c r="AE969" s="1489"/>
      <c r="AF969" s="1489"/>
      <c r="AG969" s="1489"/>
      <c r="AH969" s="1489"/>
      <c r="AI969" s="1489"/>
      <c r="AJ969" s="1489"/>
      <c r="AK969" s="1489"/>
      <c r="AL969" s="1489"/>
      <c r="AM969" s="1489"/>
      <c r="AN969" s="1489"/>
      <c r="AO969" s="1489"/>
      <c r="AP969" s="1489"/>
      <c r="AQ969" s="1489"/>
      <c r="AR969" s="1488"/>
      <c r="AS969" s="1488"/>
      <c r="AT969" s="1488"/>
      <c r="AU969" s="1488"/>
      <c r="AV969" s="1488"/>
      <c r="AW969" s="1488"/>
      <c r="AX969" s="1488"/>
      <c r="AY969" s="1488"/>
    </row>
    <row r="970" spans="3:51" s="1502" customFormat="1">
      <c r="C970" s="1498"/>
      <c r="D970" s="1501"/>
      <c r="E970" s="1500"/>
      <c r="F970" s="814"/>
      <c r="G970" s="1494"/>
      <c r="H970" s="1493"/>
      <c r="I970" s="1493"/>
      <c r="J970" s="813"/>
      <c r="K970" s="814"/>
      <c r="L970" s="1499"/>
      <c r="M970" s="1488"/>
      <c r="N970" s="1488"/>
      <c r="O970" s="1488"/>
      <c r="P970" s="1488"/>
      <c r="Q970" s="1489"/>
      <c r="R970" s="1489"/>
      <c r="S970" s="1489"/>
      <c r="T970" s="1489"/>
      <c r="U970" s="1489"/>
      <c r="V970" s="1489"/>
      <c r="W970" s="1489"/>
      <c r="X970" s="1489"/>
      <c r="Y970" s="1489"/>
      <c r="Z970" s="1489"/>
      <c r="AA970" s="1489"/>
      <c r="AB970" s="1489"/>
      <c r="AC970" s="1489"/>
      <c r="AD970" s="1489"/>
      <c r="AE970" s="1489"/>
      <c r="AF970" s="1489"/>
      <c r="AG970" s="1489"/>
      <c r="AH970" s="1489"/>
      <c r="AI970" s="1489"/>
      <c r="AJ970" s="1489"/>
      <c r="AK970" s="1489"/>
      <c r="AL970" s="1489"/>
      <c r="AM970" s="1489"/>
      <c r="AN970" s="1489"/>
      <c r="AO970" s="1489"/>
      <c r="AP970" s="1489"/>
      <c r="AQ970" s="1489"/>
      <c r="AR970" s="1488"/>
      <c r="AS970" s="1488"/>
      <c r="AT970" s="1488"/>
      <c r="AU970" s="1488"/>
      <c r="AV970" s="1488"/>
      <c r="AW970" s="1488"/>
      <c r="AX970" s="1488"/>
      <c r="AY970" s="1488"/>
    </row>
    <row r="971" spans="3:51" s="1502" customFormat="1">
      <c r="C971" s="1498"/>
      <c r="D971" s="1501"/>
      <c r="E971" s="1500"/>
      <c r="F971" s="814"/>
      <c r="G971" s="1494"/>
      <c r="H971" s="1493"/>
      <c r="I971" s="1493"/>
      <c r="J971" s="813"/>
      <c r="K971" s="814"/>
      <c r="L971" s="1499"/>
      <c r="M971" s="1488"/>
      <c r="N971" s="1488"/>
      <c r="O971" s="1488"/>
      <c r="P971" s="1488"/>
      <c r="Q971" s="1489"/>
      <c r="R971" s="1489"/>
      <c r="S971" s="1489"/>
      <c r="T971" s="1489"/>
      <c r="U971" s="1489"/>
      <c r="V971" s="1489"/>
      <c r="W971" s="1489"/>
      <c r="X971" s="1489"/>
      <c r="Y971" s="1489"/>
      <c r="Z971" s="1489"/>
      <c r="AA971" s="1489"/>
      <c r="AB971" s="1489"/>
      <c r="AC971" s="1489"/>
      <c r="AD971" s="1489"/>
      <c r="AE971" s="1489"/>
      <c r="AF971" s="1489"/>
      <c r="AG971" s="1489"/>
      <c r="AH971" s="1489"/>
      <c r="AI971" s="1489"/>
      <c r="AJ971" s="1489"/>
      <c r="AK971" s="1489"/>
      <c r="AL971" s="1489"/>
      <c r="AM971" s="1489"/>
      <c r="AN971" s="1489"/>
      <c r="AO971" s="1489"/>
      <c r="AP971" s="1489"/>
      <c r="AQ971" s="1489"/>
      <c r="AR971" s="1488"/>
      <c r="AS971" s="1488"/>
      <c r="AT971" s="1488"/>
      <c r="AU971" s="1488"/>
      <c r="AV971" s="1488"/>
      <c r="AW971" s="1488"/>
      <c r="AX971" s="1488"/>
      <c r="AY971" s="1488"/>
    </row>
    <row r="972" spans="3:51" s="1502" customFormat="1">
      <c r="C972" s="1498"/>
      <c r="D972" s="1501"/>
      <c r="E972" s="1500"/>
      <c r="F972" s="814"/>
      <c r="G972" s="1494"/>
      <c r="H972" s="1493"/>
      <c r="I972" s="1493"/>
      <c r="J972" s="813"/>
      <c r="K972" s="814"/>
      <c r="L972" s="1499"/>
      <c r="M972" s="1488"/>
      <c r="N972" s="1488"/>
      <c r="O972" s="1488"/>
      <c r="P972" s="1488"/>
      <c r="Q972" s="1489"/>
      <c r="R972" s="1489"/>
      <c r="S972" s="1489"/>
      <c r="T972" s="1489"/>
      <c r="U972" s="1489"/>
      <c r="V972" s="1489"/>
      <c r="W972" s="1489"/>
      <c r="X972" s="1489"/>
      <c r="Y972" s="1489"/>
      <c r="Z972" s="1489"/>
      <c r="AA972" s="1489"/>
      <c r="AB972" s="1489"/>
      <c r="AC972" s="1489"/>
      <c r="AD972" s="1489"/>
      <c r="AE972" s="1489"/>
      <c r="AF972" s="1489"/>
      <c r="AG972" s="1489"/>
      <c r="AH972" s="1489"/>
      <c r="AI972" s="1489"/>
      <c r="AJ972" s="1489"/>
      <c r="AK972" s="1489"/>
      <c r="AL972" s="1489"/>
      <c r="AM972" s="1489"/>
      <c r="AN972" s="1489"/>
      <c r="AO972" s="1489"/>
      <c r="AP972" s="1489"/>
      <c r="AQ972" s="1489"/>
      <c r="AR972" s="1488"/>
      <c r="AS972" s="1488"/>
      <c r="AT972" s="1488"/>
      <c r="AU972" s="1488"/>
      <c r="AV972" s="1488"/>
      <c r="AW972" s="1488"/>
      <c r="AX972" s="1488"/>
      <c r="AY972" s="1488"/>
    </row>
    <row r="973" spans="3:51" s="1502" customFormat="1">
      <c r="C973" s="1498"/>
      <c r="D973" s="1501"/>
      <c r="E973" s="1500"/>
      <c r="F973" s="814"/>
      <c r="G973" s="1494"/>
      <c r="H973" s="1493"/>
      <c r="I973" s="1493"/>
      <c r="J973" s="813"/>
      <c r="K973" s="814"/>
      <c r="L973" s="1499"/>
      <c r="M973" s="1488"/>
      <c r="N973" s="1488"/>
      <c r="O973" s="1488"/>
      <c r="P973" s="1488"/>
      <c r="Q973" s="1489"/>
      <c r="R973" s="1489"/>
      <c r="S973" s="1489"/>
      <c r="T973" s="1489"/>
      <c r="U973" s="1489"/>
      <c r="V973" s="1489"/>
      <c r="W973" s="1489"/>
      <c r="X973" s="1489"/>
      <c r="Y973" s="1489"/>
      <c r="Z973" s="1489"/>
      <c r="AA973" s="1489"/>
      <c r="AB973" s="1489"/>
      <c r="AC973" s="1489"/>
      <c r="AD973" s="1489"/>
      <c r="AE973" s="1489"/>
      <c r="AF973" s="1489"/>
      <c r="AG973" s="1489"/>
      <c r="AH973" s="1489"/>
      <c r="AI973" s="1489"/>
      <c r="AJ973" s="1489"/>
      <c r="AK973" s="1489"/>
      <c r="AL973" s="1489"/>
      <c r="AM973" s="1489"/>
      <c r="AN973" s="1489"/>
      <c r="AO973" s="1489"/>
      <c r="AP973" s="1489"/>
      <c r="AQ973" s="1489"/>
      <c r="AR973" s="1488"/>
      <c r="AS973" s="1488"/>
      <c r="AT973" s="1488"/>
      <c r="AU973" s="1488"/>
      <c r="AV973" s="1488"/>
      <c r="AW973" s="1488"/>
      <c r="AX973" s="1488"/>
      <c r="AY973" s="1488"/>
    </row>
    <row r="974" spans="3:51" s="1502" customFormat="1">
      <c r="C974" s="1498"/>
      <c r="D974" s="1501"/>
      <c r="E974" s="1500"/>
      <c r="F974" s="814"/>
      <c r="G974" s="1494"/>
      <c r="H974" s="1493"/>
      <c r="I974" s="1493"/>
      <c r="J974" s="813"/>
      <c r="K974" s="814"/>
      <c r="L974" s="1499"/>
      <c r="M974" s="1488"/>
      <c r="N974" s="1488"/>
      <c r="O974" s="1488"/>
      <c r="P974" s="1488"/>
      <c r="Q974" s="1489"/>
      <c r="R974" s="1489"/>
      <c r="S974" s="1489"/>
      <c r="T974" s="1489"/>
      <c r="U974" s="1489"/>
      <c r="V974" s="1489"/>
      <c r="W974" s="1489"/>
      <c r="X974" s="1489"/>
      <c r="Y974" s="1489"/>
      <c r="Z974" s="1489"/>
      <c r="AA974" s="1489"/>
      <c r="AB974" s="1489"/>
      <c r="AC974" s="1489"/>
      <c r="AD974" s="1489"/>
      <c r="AE974" s="1489"/>
      <c r="AF974" s="1489"/>
      <c r="AG974" s="1489"/>
      <c r="AH974" s="1489"/>
      <c r="AI974" s="1489"/>
      <c r="AJ974" s="1489"/>
      <c r="AK974" s="1489"/>
      <c r="AL974" s="1489"/>
      <c r="AM974" s="1489"/>
      <c r="AN974" s="1489"/>
      <c r="AO974" s="1489"/>
      <c r="AP974" s="1489"/>
      <c r="AQ974" s="1489"/>
      <c r="AR974" s="1488"/>
      <c r="AS974" s="1488"/>
      <c r="AT974" s="1488"/>
      <c r="AU974" s="1488"/>
      <c r="AV974" s="1488"/>
      <c r="AW974" s="1488"/>
      <c r="AX974" s="1488"/>
      <c r="AY974" s="1488"/>
    </row>
    <row r="975" spans="3:51" s="1502" customFormat="1">
      <c r="C975" s="1498"/>
      <c r="D975" s="1501"/>
      <c r="E975" s="1500"/>
      <c r="F975" s="814"/>
      <c r="G975" s="1494"/>
      <c r="H975" s="1493"/>
      <c r="I975" s="1493"/>
      <c r="J975" s="813"/>
      <c r="K975" s="814"/>
      <c r="L975" s="1499"/>
      <c r="M975" s="1488"/>
      <c r="N975" s="1488"/>
      <c r="O975" s="1488"/>
      <c r="P975" s="1488"/>
      <c r="Q975" s="1489"/>
      <c r="R975" s="1489"/>
      <c r="S975" s="1489"/>
      <c r="T975" s="1489"/>
      <c r="U975" s="1489"/>
      <c r="V975" s="1489"/>
      <c r="W975" s="1489"/>
      <c r="X975" s="1489"/>
      <c r="Y975" s="1489"/>
      <c r="Z975" s="1489"/>
      <c r="AA975" s="1489"/>
      <c r="AB975" s="1489"/>
      <c r="AC975" s="1489"/>
      <c r="AD975" s="1489"/>
      <c r="AE975" s="1489"/>
      <c r="AF975" s="1489"/>
      <c r="AG975" s="1489"/>
      <c r="AH975" s="1489"/>
      <c r="AI975" s="1489"/>
      <c r="AJ975" s="1489"/>
      <c r="AK975" s="1489"/>
      <c r="AL975" s="1489"/>
      <c r="AM975" s="1489"/>
      <c r="AN975" s="1489"/>
      <c r="AO975" s="1489"/>
      <c r="AP975" s="1489"/>
      <c r="AQ975" s="1489"/>
      <c r="AR975" s="1488"/>
      <c r="AS975" s="1488"/>
      <c r="AT975" s="1488"/>
      <c r="AU975" s="1488"/>
      <c r="AV975" s="1488"/>
      <c r="AW975" s="1488"/>
      <c r="AX975" s="1488"/>
      <c r="AY975" s="1488"/>
    </row>
    <row r="976" spans="3:51" s="1502" customFormat="1">
      <c r="C976" s="1498"/>
      <c r="D976" s="1501"/>
      <c r="E976" s="1500"/>
      <c r="F976" s="814"/>
      <c r="G976" s="1494"/>
      <c r="H976" s="1493"/>
      <c r="I976" s="1493"/>
      <c r="J976" s="813"/>
      <c r="K976" s="814"/>
      <c r="L976" s="1499"/>
      <c r="M976" s="1488"/>
      <c r="N976" s="1488"/>
      <c r="O976" s="1488"/>
      <c r="P976" s="1488"/>
      <c r="Q976" s="1489"/>
      <c r="R976" s="1489"/>
      <c r="S976" s="1489"/>
      <c r="T976" s="1489"/>
      <c r="U976" s="1489"/>
      <c r="V976" s="1489"/>
      <c r="W976" s="1489"/>
      <c r="X976" s="1489"/>
      <c r="Y976" s="1489"/>
      <c r="Z976" s="1489"/>
      <c r="AA976" s="1489"/>
      <c r="AB976" s="1489"/>
      <c r="AC976" s="1489"/>
      <c r="AD976" s="1489"/>
      <c r="AE976" s="1489"/>
      <c r="AF976" s="1489"/>
      <c r="AG976" s="1489"/>
      <c r="AH976" s="1489"/>
      <c r="AI976" s="1489"/>
      <c r="AJ976" s="1489"/>
      <c r="AK976" s="1489"/>
      <c r="AL976" s="1489"/>
      <c r="AM976" s="1489"/>
      <c r="AN976" s="1489"/>
      <c r="AO976" s="1489"/>
      <c r="AP976" s="1489"/>
      <c r="AQ976" s="1489"/>
      <c r="AR976" s="1488"/>
      <c r="AS976" s="1488"/>
      <c r="AT976" s="1488"/>
      <c r="AU976" s="1488"/>
      <c r="AV976" s="1488"/>
      <c r="AW976" s="1488"/>
      <c r="AX976" s="1488"/>
      <c r="AY976" s="1488"/>
    </row>
    <row r="977" spans="3:51" s="1502" customFormat="1">
      <c r="C977" s="1498"/>
      <c r="D977" s="1501"/>
      <c r="E977" s="1500"/>
      <c r="F977" s="814"/>
      <c r="G977" s="1494"/>
      <c r="H977" s="1493"/>
      <c r="I977" s="1493"/>
      <c r="J977" s="813"/>
      <c r="K977" s="814"/>
      <c r="L977" s="1499"/>
      <c r="M977" s="1488"/>
      <c r="N977" s="1488"/>
      <c r="O977" s="1488"/>
      <c r="P977" s="1488"/>
      <c r="Q977" s="1489"/>
      <c r="R977" s="1489"/>
      <c r="S977" s="1489"/>
      <c r="T977" s="1489"/>
      <c r="U977" s="1489"/>
      <c r="V977" s="1489"/>
      <c r="W977" s="1489"/>
      <c r="X977" s="1489"/>
      <c r="Y977" s="1489"/>
      <c r="Z977" s="1489"/>
      <c r="AA977" s="1489"/>
      <c r="AB977" s="1489"/>
      <c r="AC977" s="1489"/>
      <c r="AD977" s="1489"/>
      <c r="AE977" s="1489"/>
      <c r="AF977" s="1489"/>
      <c r="AG977" s="1489"/>
      <c r="AH977" s="1489"/>
      <c r="AI977" s="1489"/>
      <c r="AJ977" s="1489"/>
      <c r="AK977" s="1489"/>
      <c r="AL977" s="1489"/>
      <c r="AM977" s="1489"/>
      <c r="AN977" s="1489"/>
      <c r="AO977" s="1489"/>
      <c r="AP977" s="1489"/>
      <c r="AQ977" s="1489"/>
      <c r="AR977" s="1488"/>
      <c r="AS977" s="1488"/>
      <c r="AT977" s="1488"/>
      <c r="AU977" s="1488"/>
      <c r="AV977" s="1488"/>
      <c r="AW977" s="1488"/>
      <c r="AX977" s="1488"/>
      <c r="AY977" s="1488"/>
    </row>
    <row r="978" spans="3:51" s="1502" customFormat="1">
      <c r="C978" s="1498"/>
      <c r="D978" s="1501"/>
      <c r="E978" s="1500"/>
      <c r="F978" s="814"/>
      <c r="G978" s="1494"/>
      <c r="H978" s="1493"/>
      <c r="I978" s="1493"/>
      <c r="J978" s="813"/>
      <c r="K978" s="814"/>
      <c r="L978" s="1499"/>
      <c r="M978" s="1488"/>
      <c r="N978" s="1488"/>
      <c r="O978" s="1488"/>
      <c r="P978" s="1488"/>
      <c r="Q978" s="1489"/>
      <c r="R978" s="1489"/>
      <c r="S978" s="1489"/>
      <c r="T978" s="1489"/>
      <c r="U978" s="1489"/>
      <c r="V978" s="1489"/>
      <c r="W978" s="1489"/>
      <c r="X978" s="1489"/>
      <c r="Y978" s="1489"/>
      <c r="Z978" s="1489"/>
      <c r="AA978" s="1489"/>
      <c r="AB978" s="1489"/>
      <c r="AC978" s="1489"/>
      <c r="AD978" s="1489"/>
      <c r="AE978" s="1489"/>
      <c r="AF978" s="1489"/>
      <c r="AG978" s="1489"/>
      <c r="AH978" s="1489"/>
      <c r="AI978" s="1489"/>
      <c r="AJ978" s="1489"/>
      <c r="AK978" s="1489"/>
      <c r="AL978" s="1489"/>
      <c r="AM978" s="1489"/>
      <c r="AN978" s="1489"/>
      <c r="AO978" s="1489"/>
      <c r="AP978" s="1489"/>
      <c r="AQ978" s="1489"/>
      <c r="AR978" s="1488"/>
      <c r="AS978" s="1488"/>
      <c r="AT978" s="1488"/>
      <c r="AU978" s="1488"/>
      <c r="AV978" s="1488"/>
      <c r="AW978" s="1488"/>
      <c r="AX978" s="1488"/>
      <c r="AY978" s="1488"/>
    </row>
    <row r="979" spans="3:51" s="1502" customFormat="1">
      <c r="C979" s="1498"/>
      <c r="D979" s="1501"/>
      <c r="E979" s="1500"/>
      <c r="F979" s="814"/>
      <c r="G979" s="1494"/>
      <c r="H979" s="1493"/>
      <c r="I979" s="1493"/>
      <c r="J979" s="813"/>
      <c r="K979" s="814"/>
      <c r="L979" s="1499"/>
      <c r="M979" s="1488"/>
      <c r="N979" s="1488"/>
      <c r="O979" s="1488"/>
      <c r="P979" s="1488"/>
      <c r="Q979" s="1489"/>
      <c r="R979" s="1489"/>
      <c r="S979" s="1489"/>
      <c r="T979" s="1489"/>
      <c r="U979" s="1489"/>
      <c r="V979" s="1489"/>
      <c r="W979" s="1489"/>
      <c r="X979" s="1489"/>
      <c r="Y979" s="1489"/>
      <c r="Z979" s="1489"/>
      <c r="AA979" s="1489"/>
      <c r="AB979" s="1489"/>
      <c r="AC979" s="1489"/>
      <c r="AD979" s="1489"/>
      <c r="AE979" s="1489"/>
      <c r="AF979" s="1489"/>
      <c r="AG979" s="1489"/>
      <c r="AH979" s="1489"/>
      <c r="AI979" s="1489"/>
      <c r="AJ979" s="1489"/>
      <c r="AK979" s="1489"/>
      <c r="AL979" s="1489"/>
      <c r="AM979" s="1489"/>
      <c r="AN979" s="1489"/>
      <c r="AO979" s="1489"/>
      <c r="AP979" s="1489"/>
      <c r="AQ979" s="1489"/>
      <c r="AR979" s="1488"/>
      <c r="AS979" s="1488"/>
      <c r="AT979" s="1488"/>
      <c r="AU979" s="1488"/>
      <c r="AV979" s="1488"/>
      <c r="AW979" s="1488"/>
      <c r="AX979" s="1488"/>
      <c r="AY979" s="1488"/>
    </row>
    <row r="980" spans="3:51" s="1502" customFormat="1">
      <c r="C980" s="1498"/>
      <c r="D980" s="1501"/>
      <c r="E980" s="1500"/>
      <c r="F980" s="814"/>
      <c r="G980" s="1494"/>
      <c r="H980" s="1493"/>
      <c r="I980" s="1493"/>
      <c r="J980" s="813"/>
      <c r="K980" s="814"/>
      <c r="L980" s="1499"/>
      <c r="M980" s="1488"/>
      <c r="N980" s="1488"/>
      <c r="O980" s="1488"/>
      <c r="P980" s="1488"/>
      <c r="Q980" s="1489"/>
      <c r="R980" s="1489"/>
      <c r="S980" s="1489"/>
      <c r="T980" s="1489"/>
      <c r="U980" s="1489"/>
      <c r="V980" s="1489"/>
      <c r="W980" s="1489"/>
      <c r="X980" s="1489"/>
      <c r="Y980" s="1489"/>
      <c r="Z980" s="1489"/>
      <c r="AA980" s="1489"/>
      <c r="AB980" s="1489"/>
      <c r="AC980" s="1489"/>
      <c r="AD980" s="1489"/>
      <c r="AE980" s="1489"/>
      <c r="AF980" s="1489"/>
      <c r="AG980" s="1489"/>
      <c r="AH980" s="1489"/>
      <c r="AI980" s="1489"/>
      <c r="AJ980" s="1489"/>
      <c r="AK980" s="1489"/>
      <c r="AL980" s="1489"/>
      <c r="AM980" s="1489"/>
      <c r="AN980" s="1489"/>
      <c r="AO980" s="1489"/>
      <c r="AP980" s="1489"/>
      <c r="AQ980" s="1489"/>
      <c r="AR980" s="1488"/>
      <c r="AS980" s="1488"/>
      <c r="AT980" s="1488"/>
      <c r="AU980" s="1488"/>
      <c r="AV980" s="1488"/>
      <c r="AW980" s="1488"/>
      <c r="AX980" s="1488"/>
      <c r="AY980" s="1488"/>
    </row>
    <row r="981" spans="3:51" s="1502" customFormat="1">
      <c r="C981" s="1498"/>
      <c r="D981" s="1501"/>
      <c r="E981" s="1500"/>
      <c r="F981" s="814"/>
      <c r="G981" s="1494"/>
      <c r="H981" s="1493"/>
      <c r="I981" s="1493"/>
      <c r="J981" s="813"/>
      <c r="K981" s="814"/>
      <c r="L981" s="1499"/>
      <c r="M981" s="1488"/>
      <c r="N981" s="1488"/>
      <c r="O981" s="1488"/>
      <c r="P981" s="1488"/>
      <c r="Q981" s="1489"/>
      <c r="R981" s="1489"/>
      <c r="S981" s="1489"/>
      <c r="T981" s="1489"/>
      <c r="U981" s="1489"/>
      <c r="V981" s="1489"/>
      <c r="W981" s="1489"/>
      <c r="X981" s="1489"/>
      <c r="Y981" s="1489"/>
      <c r="Z981" s="1489"/>
      <c r="AA981" s="1489"/>
      <c r="AB981" s="1489"/>
      <c r="AC981" s="1489"/>
      <c r="AD981" s="1489"/>
      <c r="AE981" s="1489"/>
      <c r="AF981" s="1489"/>
      <c r="AG981" s="1489"/>
      <c r="AH981" s="1489"/>
      <c r="AI981" s="1489"/>
      <c r="AJ981" s="1489"/>
      <c r="AK981" s="1489"/>
      <c r="AL981" s="1489"/>
      <c r="AM981" s="1489"/>
      <c r="AN981" s="1489"/>
      <c r="AO981" s="1489"/>
      <c r="AP981" s="1489"/>
      <c r="AQ981" s="1489"/>
      <c r="AR981" s="1488"/>
      <c r="AS981" s="1488"/>
      <c r="AT981" s="1488"/>
      <c r="AU981" s="1488"/>
      <c r="AV981" s="1488"/>
      <c r="AW981" s="1488"/>
      <c r="AX981" s="1488"/>
      <c r="AY981" s="1488"/>
    </row>
    <row r="982" spans="3:51" s="1502" customFormat="1">
      <c r="C982" s="1498"/>
      <c r="D982" s="1501"/>
      <c r="E982" s="1500"/>
      <c r="F982" s="814"/>
      <c r="G982" s="1494"/>
      <c r="H982" s="1493"/>
      <c r="I982" s="1493"/>
      <c r="J982" s="813"/>
      <c r="K982" s="814"/>
      <c r="L982" s="1499"/>
      <c r="M982" s="1488"/>
      <c r="N982" s="1488"/>
      <c r="O982" s="1488"/>
      <c r="P982" s="1488"/>
      <c r="Q982" s="1489"/>
      <c r="R982" s="1489"/>
      <c r="S982" s="1489"/>
      <c r="T982" s="1489"/>
      <c r="U982" s="1489"/>
      <c r="V982" s="1489"/>
      <c r="W982" s="1489"/>
      <c r="X982" s="1489"/>
      <c r="Y982" s="1489"/>
      <c r="Z982" s="1489"/>
      <c r="AA982" s="1489"/>
      <c r="AB982" s="1489"/>
      <c r="AC982" s="1489"/>
      <c r="AD982" s="1489"/>
      <c r="AE982" s="1489"/>
      <c r="AF982" s="1489"/>
      <c r="AG982" s="1489"/>
      <c r="AH982" s="1489"/>
      <c r="AI982" s="1489"/>
      <c r="AJ982" s="1489"/>
      <c r="AK982" s="1489"/>
      <c r="AL982" s="1489"/>
      <c r="AM982" s="1489"/>
      <c r="AN982" s="1489"/>
      <c r="AO982" s="1489"/>
      <c r="AP982" s="1489"/>
      <c r="AQ982" s="1489"/>
      <c r="AR982" s="1488"/>
      <c r="AS982" s="1488"/>
      <c r="AT982" s="1488"/>
      <c r="AU982" s="1488"/>
      <c r="AV982" s="1488"/>
      <c r="AW982" s="1488"/>
      <c r="AX982" s="1488"/>
      <c r="AY982" s="1488"/>
    </row>
    <row r="983" spans="3:51" s="1502" customFormat="1">
      <c r="C983" s="1498"/>
      <c r="D983" s="1501"/>
      <c r="E983" s="1500"/>
      <c r="F983" s="814"/>
      <c r="G983" s="1494"/>
      <c r="H983" s="1493"/>
      <c r="I983" s="1493"/>
      <c r="J983" s="813"/>
      <c r="K983" s="814"/>
      <c r="L983" s="1499"/>
      <c r="M983" s="1488"/>
      <c r="N983" s="1488"/>
      <c r="O983" s="1488"/>
      <c r="P983" s="1488"/>
      <c r="Q983" s="1489"/>
      <c r="R983" s="1489"/>
      <c r="S983" s="1489"/>
      <c r="T983" s="1489"/>
      <c r="U983" s="1489"/>
      <c r="V983" s="1489"/>
      <c r="W983" s="1489"/>
      <c r="X983" s="1489"/>
      <c r="Y983" s="1489"/>
      <c r="Z983" s="1489"/>
      <c r="AA983" s="1489"/>
      <c r="AB983" s="1489"/>
      <c r="AC983" s="1489"/>
      <c r="AD983" s="1489"/>
      <c r="AE983" s="1489"/>
      <c r="AF983" s="1489"/>
      <c r="AG983" s="1489"/>
      <c r="AH983" s="1489"/>
      <c r="AI983" s="1489"/>
      <c r="AJ983" s="1489"/>
      <c r="AK983" s="1489"/>
      <c r="AL983" s="1489"/>
      <c r="AM983" s="1489"/>
      <c r="AN983" s="1489"/>
      <c r="AO983" s="1489"/>
      <c r="AP983" s="1489"/>
      <c r="AQ983" s="1489"/>
      <c r="AR983" s="1488"/>
      <c r="AS983" s="1488"/>
      <c r="AT983" s="1488"/>
      <c r="AU983" s="1488"/>
      <c r="AV983" s="1488"/>
      <c r="AW983" s="1488"/>
      <c r="AX983" s="1488"/>
      <c r="AY983" s="1488"/>
    </row>
    <row r="984" spans="3:51" s="1502" customFormat="1">
      <c r="C984" s="1498"/>
      <c r="D984" s="1501"/>
      <c r="E984" s="1500"/>
      <c r="F984" s="814"/>
      <c r="G984" s="1494"/>
      <c r="H984" s="1493"/>
      <c r="I984" s="1493"/>
      <c r="J984" s="813"/>
      <c r="K984" s="814"/>
      <c r="L984" s="1499"/>
      <c r="M984" s="1488"/>
      <c r="N984" s="1488"/>
      <c r="O984" s="1488"/>
      <c r="P984" s="1488"/>
      <c r="Q984" s="1489"/>
      <c r="R984" s="1489"/>
      <c r="S984" s="1489"/>
      <c r="T984" s="1489"/>
      <c r="U984" s="1489"/>
      <c r="V984" s="1489"/>
      <c r="W984" s="1489"/>
      <c r="X984" s="1489"/>
      <c r="Y984" s="1489"/>
      <c r="Z984" s="1489"/>
      <c r="AA984" s="1489"/>
      <c r="AB984" s="1489"/>
      <c r="AC984" s="1489"/>
      <c r="AD984" s="1489"/>
      <c r="AE984" s="1489"/>
      <c r="AF984" s="1489"/>
      <c r="AG984" s="1489"/>
      <c r="AH984" s="1489"/>
      <c r="AI984" s="1489"/>
      <c r="AJ984" s="1489"/>
      <c r="AK984" s="1489"/>
      <c r="AL984" s="1489"/>
      <c r="AM984" s="1489"/>
      <c r="AN984" s="1489"/>
      <c r="AO984" s="1489"/>
      <c r="AP984" s="1489"/>
      <c r="AQ984" s="1489"/>
      <c r="AR984" s="1488"/>
      <c r="AS984" s="1488"/>
      <c r="AT984" s="1488"/>
      <c r="AU984" s="1488"/>
      <c r="AV984" s="1488"/>
      <c r="AW984" s="1488"/>
      <c r="AX984" s="1488"/>
      <c r="AY984" s="1488"/>
    </row>
    <row r="985" spans="3:51" s="1502" customFormat="1">
      <c r="C985" s="1498"/>
      <c r="D985" s="1501"/>
      <c r="E985" s="1500"/>
      <c r="F985" s="814"/>
      <c r="G985" s="1494"/>
      <c r="H985" s="1493"/>
      <c r="I985" s="1493"/>
      <c r="J985" s="813"/>
      <c r="K985" s="814"/>
      <c r="L985" s="1499"/>
      <c r="M985" s="1488"/>
      <c r="N985" s="1488"/>
      <c r="O985" s="1488"/>
      <c r="P985" s="1488"/>
      <c r="Q985" s="1489"/>
      <c r="R985" s="1489"/>
      <c r="S985" s="1489"/>
      <c r="T985" s="1489"/>
      <c r="U985" s="1489"/>
      <c r="V985" s="1489"/>
      <c r="W985" s="1489"/>
      <c r="X985" s="1489"/>
      <c r="Y985" s="1489"/>
      <c r="Z985" s="1489"/>
      <c r="AA985" s="1489"/>
      <c r="AB985" s="1489"/>
      <c r="AC985" s="1489"/>
      <c r="AD985" s="1489"/>
      <c r="AE985" s="1489"/>
      <c r="AF985" s="1489"/>
      <c r="AG985" s="1489"/>
      <c r="AH985" s="1489"/>
      <c r="AI985" s="1489"/>
      <c r="AJ985" s="1489"/>
      <c r="AK985" s="1489"/>
      <c r="AL985" s="1489"/>
      <c r="AM985" s="1489"/>
      <c r="AN985" s="1489"/>
      <c r="AO985" s="1489"/>
      <c r="AP985" s="1489"/>
      <c r="AQ985" s="1489"/>
      <c r="AR985" s="1488"/>
      <c r="AS985" s="1488"/>
      <c r="AT985" s="1488"/>
      <c r="AU985" s="1488"/>
      <c r="AV985" s="1488"/>
      <c r="AW985" s="1488"/>
      <c r="AX985" s="1488"/>
      <c r="AY985" s="1488"/>
    </row>
    <row r="986" spans="3:51" s="1502" customFormat="1">
      <c r="C986" s="1498"/>
      <c r="D986" s="1501"/>
      <c r="E986" s="1500"/>
      <c r="F986" s="814"/>
      <c r="G986" s="1494"/>
      <c r="H986" s="1493"/>
      <c r="I986" s="1493"/>
      <c r="J986" s="813"/>
      <c r="K986" s="814"/>
      <c r="L986" s="1499"/>
      <c r="M986" s="1488"/>
      <c r="N986" s="1488"/>
      <c r="O986" s="1488"/>
      <c r="P986" s="1488"/>
      <c r="Q986" s="1489"/>
      <c r="R986" s="1489"/>
      <c r="S986" s="1489"/>
      <c r="T986" s="1489"/>
      <c r="U986" s="1489"/>
      <c r="V986" s="1489"/>
      <c r="W986" s="1489"/>
      <c r="X986" s="1489"/>
      <c r="Y986" s="1489"/>
      <c r="Z986" s="1489"/>
      <c r="AA986" s="1489"/>
      <c r="AB986" s="1489"/>
      <c r="AC986" s="1489"/>
      <c r="AD986" s="1489"/>
      <c r="AE986" s="1489"/>
      <c r="AF986" s="1489"/>
      <c r="AG986" s="1489"/>
      <c r="AH986" s="1489"/>
      <c r="AI986" s="1489"/>
      <c r="AJ986" s="1489"/>
      <c r="AK986" s="1489"/>
      <c r="AL986" s="1489"/>
      <c r="AM986" s="1489"/>
      <c r="AN986" s="1489"/>
      <c r="AO986" s="1489"/>
      <c r="AP986" s="1489"/>
      <c r="AQ986" s="1489"/>
      <c r="AR986" s="1488"/>
      <c r="AS986" s="1488"/>
      <c r="AT986" s="1488"/>
      <c r="AU986" s="1488"/>
      <c r="AV986" s="1488"/>
      <c r="AW986" s="1488"/>
      <c r="AX986" s="1488"/>
      <c r="AY986" s="1488"/>
    </row>
    <row r="987" spans="3:51" s="1502" customFormat="1">
      <c r="C987" s="1498"/>
      <c r="D987" s="1501"/>
      <c r="E987" s="1500"/>
      <c r="F987" s="814"/>
      <c r="G987" s="1494"/>
      <c r="H987" s="1493"/>
      <c r="I987" s="1493"/>
      <c r="J987" s="813"/>
      <c r="K987" s="814"/>
      <c r="L987" s="1499"/>
      <c r="M987" s="1488"/>
      <c r="N987" s="1488"/>
      <c r="O987" s="1488"/>
      <c r="P987" s="1488"/>
      <c r="Q987" s="1489"/>
      <c r="R987" s="1489"/>
      <c r="S987" s="1489"/>
      <c r="T987" s="1489"/>
      <c r="U987" s="1489"/>
      <c r="V987" s="1489"/>
      <c r="W987" s="1489"/>
      <c r="X987" s="1489"/>
      <c r="Y987" s="1489"/>
      <c r="Z987" s="1489"/>
      <c r="AA987" s="1489"/>
      <c r="AB987" s="1489"/>
      <c r="AC987" s="1489"/>
      <c r="AD987" s="1489"/>
      <c r="AE987" s="1489"/>
      <c r="AF987" s="1489"/>
      <c r="AG987" s="1489"/>
      <c r="AH987" s="1489"/>
      <c r="AI987" s="1489"/>
      <c r="AJ987" s="1489"/>
      <c r="AK987" s="1489"/>
      <c r="AL987" s="1489"/>
      <c r="AM987" s="1489"/>
      <c r="AN987" s="1489"/>
      <c r="AO987" s="1489"/>
      <c r="AP987" s="1489"/>
      <c r="AQ987" s="1489"/>
      <c r="AR987" s="1488"/>
      <c r="AS987" s="1488"/>
      <c r="AT987" s="1488"/>
      <c r="AU987" s="1488"/>
      <c r="AV987" s="1488"/>
      <c r="AW987" s="1488"/>
      <c r="AX987" s="1488"/>
      <c r="AY987" s="1488"/>
    </row>
    <row r="988" spans="3:51" s="1502" customFormat="1">
      <c r="C988" s="1498"/>
      <c r="D988" s="1501"/>
      <c r="E988" s="1500"/>
      <c r="F988" s="814"/>
      <c r="G988" s="1494"/>
      <c r="H988" s="1493"/>
      <c r="I988" s="1493"/>
      <c r="J988" s="813"/>
      <c r="K988" s="814"/>
      <c r="L988" s="1499"/>
      <c r="M988" s="1488"/>
      <c r="N988" s="1488"/>
      <c r="O988" s="1488"/>
      <c r="P988" s="1488"/>
      <c r="Q988" s="1489"/>
      <c r="R988" s="1489"/>
      <c r="S988" s="1489"/>
      <c r="T988" s="1489"/>
      <c r="U988" s="1489"/>
      <c r="V988" s="1489"/>
      <c r="W988" s="1489"/>
      <c r="X988" s="1489"/>
      <c r="Y988" s="1489"/>
      <c r="Z988" s="1489"/>
      <c r="AA988" s="1489"/>
      <c r="AB988" s="1489"/>
      <c r="AC988" s="1489"/>
      <c r="AD988" s="1489"/>
      <c r="AE988" s="1489"/>
      <c r="AF988" s="1489"/>
      <c r="AG988" s="1489"/>
      <c r="AH988" s="1489"/>
      <c r="AI988" s="1489"/>
      <c r="AJ988" s="1489"/>
      <c r="AK988" s="1489"/>
      <c r="AL988" s="1489"/>
      <c r="AM988" s="1489"/>
      <c r="AN988" s="1489"/>
      <c r="AO988" s="1489"/>
      <c r="AP988" s="1489"/>
      <c r="AQ988" s="1489"/>
      <c r="AR988" s="1488"/>
      <c r="AS988" s="1488"/>
      <c r="AT988" s="1488"/>
      <c r="AU988" s="1488"/>
      <c r="AV988" s="1488"/>
      <c r="AW988" s="1488"/>
      <c r="AX988" s="1488"/>
      <c r="AY988" s="1488"/>
    </row>
    <row r="989" spans="3:51" s="1502" customFormat="1">
      <c r="C989" s="1498"/>
      <c r="D989" s="1501"/>
      <c r="E989" s="1500"/>
      <c r="F989" s="814"/>
      <c r="G989" s="1494"/>
      <c r="H989" s="1493"/>
      <c r="I989" s="1493"/>
      <c r="J989" s="813"/>
      <c r="K989" s="814"/>
      <c r="L989" s="1499"/>
      <c r="M989" s="1488"/>
      <c r="N989" s="1488"/>
      <c r="O989" s="1488"/>
      <c r="P989" s="1488"/>
      <c r="Q989" s="1489"/>
      <c r="R989" s="1489"/>
      <c r="S989" s="1489"/>
      <c r="T989" s="1489"/>
      <c r="U989" s="1489"/>
      <c r="V989" s="1489"/>
      <c r="W989" s="1489"/>
      <c r="X989" s="1489"/>
      <c r="Y989" s="1489"/>
      <c r="Z989" s="1489"/>
      <c r="AA989" s="1489"/>
      <c r="AB989" s="1489"/>
      <c r="AC989" s="1489"/>
      <c r="AD989" s="1489"/>
      <c r="AE989" s="1489"/>
      <c r="AF989" s="1489"/>
      <c r="AG989" s="1489"/>
      <c r="AH989" s="1489"/>
      <c r="AI989" s="1489"/>
      <c r="AJ989" s="1489"/>
      <c r="AK989" s="1489"/>
      <c r="AL989" s="1489"/>
      <c r="AM989" s="1489"/>
      <c r="AN989" s="1489"/>
      <c r="AO989" s="1489"/>
      <c r="AP989" s="1489"/>
      <c r="AQ989" s="1489"/>
      <c r="AR989" s="1488"/>
      <c r="AS989" s="1488"/>
      <c r="AT989" s="1488"/>
      <c r="AU989" s="1488"/>
      <c r="AV989" s="1488"/>
      <c r="AW989" s="1488"/>
      <c r="AX989" s="1488"/>
      <c r="AY989" s="1488"/>
    </row>
    <row r="990" spans="3:51" s="1502" customFormat="1">
      <c r="C990" s="1498"/>
      <c r="D990" s="1501"/>
      <c r="E990" s="1500"/>
      <c r="F990" s="814"/>
      <c r="G990" s="1494"/>
      <c r="H990" s="1493"/>
      <c r="I990" s="1493"/>
      <c r="J990" s="813"/>
      <c r="K990" s="814"/>
      <c r="L990" s="1499"/>
      <c r="M990" s="1488"/>
      <c r="N990" s="1488"/>
      <c r="O990" s="1488"/>
      <c r="P990" s="1488"/>
      <c r="Q990" s="1489"/>
      <c r="R990" s="1489"/>
      <c r="S990" s="1489"/>
      <c r="T990" s="1489"/>
      <c r="U990" s="1489"/>
      <c r="V990" s="1489"/>
      <c r="W990" s="1489"/>
      <c r="X990" s="1489"/>
      <c r="Y990" s="1489"/>
      <c r="Z990" s="1489"/>
      <c r="AA990" s="1489"/>
      <c r="AB990" s="1489"/>
      <c r="AC990" s="1489"/>
      <c r="AD990" s="1489"/>
      <c r="AE990" s="1489"/>
      <c r="AF990" s="1489"/>
      <c r="AG990" s="1489"/>
      <c r="AH990" s="1489"/>
      <c r="AI990" s="1489"/>
      <c r="AJ990" s="1489"/>
      <c r="AK990" s="1489"/>
      <c r="AL990" s="1489"/>
      <c r="AM990" s="1489"/>
      <c r="AN990" s="1489"/>
      <c r="AO990" s="1489"/>
      <c r="AP990" s="1489"/>
      <c r="AQ990" s="1489"/>
      <c r="AR990" s="1488"/>
      <c r="AS990" s="1488"/>
      <c r="AT990" s="1488"/>
      <c r="AU990" s="1488"/>
      <c r="AV990" s="1488"/>
      <c r="AW990" s="1488"/>
      <c r="AX990" s="1488"/>
      <c r="AY990" s="1488"/>
    </row>
    <row r="991" spans="3:51" s="1502" customFormat="1">
      <c r="C991" s="1498"/>
      <c r="D991" s="1501"/>
      <c r="E991" s="1500"/>
      <c r="F991" s="814"/>
      <c r="G991" s="1494"/>
      <c r="H991" s="1493"/>
      <c r="I991" s="1493"/>
      <c r="J991" s="813"/>
      <c r="K991" s="814"/>
      <c r="L991" s="1499"/>
      <c r="M991" s="1488"/>
      <c r="N991" s="1488"/>
      <c r="O991" s="1488"/>
      <c r="P991" s="1488"/>
      <c r="Q991" s="1489"/>
      <c r="R991" s="1489"/>
      <c r="S991" s="1489"/>
      <c r="T991" s="1489"/>
      <c r="U991" s="1489"/>
      <c r="V991" s="1489"/>
      <c r="W991" s="1489"/>
      <c r="X991" s="1489"/>
      <c r="Y991" s="1489"/>
      <c r="Z991" s="1489"/>
      <c r="AA991" s="1489"/>
      <c r="AB991" s="1489"/>
      <c r="AC991" s="1489"/>
      <c r="AD991" s="1489"/>
      <c r="AE991" s="1489"/>
      <c r="AF991" s="1489"/>
      <c r="AG991" s="1489"/>
      <c r="AH991" s="1489"/>
      <c r="AI991" s="1489"/>
      <c r="AJ991" s="1489"/>
      <c r="AK991" s="1489"/>
      <c r="AL991" s="1489"/>
      <c r="AM991" s="1489"/>
      <c r="AN991" s="1489"/>
      <c r="AO991" s="1489"/>
      <c r="AP991" s="1489"/>
      <c r="AQ991" s="1489"/>
      <c r="AR991" s="1488"/>
      <c r="AS991" s="1488"/>
      <c r="AT991" s="1488"/>
      <c r="AU991" s="1488"/>
      <c r="AV991" s="1488"/>
      <c r="AW991" s="1488"/>
      <c r="AX991" s="1488"/>
      <c r="AY991" s="1488"/>
    </row>
    <row r="992" spans="3:51" s="1502" customFormat="1">
      <c r="C992" s="1498"/>
      <c r="D992" s="1501"/>
      <c r="E992" s="1500"/>
      <c r="F992" s="814"/>
      <c r="G992" s="1494"/>
      <c r="H992" s="1493"/>
      <c r="I992" s="1493"/>
      <c r="J992" s="813"/>
      <c r="K992" s="814"/>
      <c r="L992" s="1499"/>
      <c r="M992" s="1488"/>
      <c r="N992" s="1488"/>
      <c r="O992" s="1488"/>
      <c r="P992" s="1488"/>
      <c r="Q992" s="1489"/>
      <c r="R992" s="1489"/>
      <c r="S992" s="1489"/>
      <c r="T992" s="1489"/>
      <c r="U992" s="1489"/>
      <c r="V992" s="1489"/>
      <c r="W992" s="1489"/>
      <c r="X992" s="1489"/>
      <c r="Y992" s="1489"/>
      <c r="Z992" s="1489"/>
      <c r="AA992" s="1489"/>
      <c r="AB992" s="1489"/>
      <c r="AC992" s="1489"/>
      <c r="AD992" s="1489"/>
      <c r="AE992" s="1489"/>
      <c r="AF992" s="1489"/>
      <c r="AG992" s="1489"/>
      <c r="AH992" s="1489"/>
      <c r="AI992" s="1489"/>
      <c r="AJ992" s="1489"/>
      <c r="AK992" s="1489"/>
      <c r="AL992" s="1489"/>
      <c r="AM992" s="1489"/>
      <c r="AN992" s="1489"/>
      <c r="AO992" s="1489"/>
      <c r="AP992" s="1489"/>
      <c r="AQ992" s="1489"/>
      <c r="AR992" s="1488"/>
      <c r="AS992" s="1488"/>
      <c r="AT992" s="1488"/>
      <c r="AU992" s="1488"/>
      <c r="AV992" s="1488"/>
      <c r="AW992" s="1488"/>
      <c r="AX992" s="1488"/>
      <c r="AY992" s="1488"/>
    </row>
    <row r="993" spans="3:51" s="1502" customFormat="1">
      <c r="C993" s="1498"/>
      <c r="D993" s="1501"/>
      <c r="E993" s="1500"/>
      <c r="F993" s="814"/>
      <c r="G993" s="1494"/>
      <c r="H993" s="1493"/>
      <c r="I993" s="1493"/>
      <c r="J993" s="813"/>
      <c r="K993" s="814"/>
      <c r="L993" s="1499"/>
      <c r="M993" s="1488"/>
      <c r="N993" s="1488"/>
      <c r="O993" s="1488"/>
      <c r="P993" s="1488"/>
      <c r="Q993" s="1489"/>
      <c r="R993" s="1489"/>
      <c r="S993" s="1489"/>
      <c r="T993" s="1489"/>
      <c r="U993" s="1489"/>
      <c r="V993" s="1489"/>
      <c r="W993" s="1489"/>
      <c r="X993" s="1489"/>
      <c r="Y993" s="1489"/>
      <c r="Z993" s="1489"/>
      <c r="AA993" s="1489"/>
      <c r="AB993" s="1489"/>
      <c r="AC993" s="1489"/>
      <c r="AD993" s="1489"/>
      <c r="AE993" s="1489"/>
      <c r="AF993" s="1489"/>
      <c r="AG993" s="1489"/>
      <c r="AH993" s="1489"/>
      <c r="AI993" s="1489"/>
      <c r="AJ993" s="1489"/>
      <c r="AK993" s="1489"/>
      <c r="AL993" s="1489"/>
      <c r="AM993" s="1489"/>
      <c r="AN993" s="1489"/>
      <c r="AO993" s="1489"/>
      <c r="AP993" s="1489"/>
      <c r="AQ993" s="1489"/>
      <c r="AR993" s="1488"/>
      <c r="AS993" s="1488"/>
      <c r="AT993" s="1488"/>
      <c r="AU993" s="1488"/>
      <c r="AV993" s="1488"/>
      <c r="AW993" s="1488"/>
      <c r="AX993" s="1488"/>
      <c r="AY993" s="1488"/>
    </row>
    <row r="994" spans="3:51" s="1502" customFormat="1">
      <c r="C994" s="1498"/>
      <c r="D994" s="1501"/>
      <c r="E994" s="1500"/>
      <c r="F994" s="814"/>
      <c r="G994" s="1494"/>
      <c r="H994" s="1493"/>
      <c r="I994" s="1493"/>
      <c r="J994" s="813"/>
      <c r="K994" s="814"/>
      <c r="L994" s="1499"/>
      <c r="M994" s="1488"/>
      <c r="N994" s="1488"/>
      <c r="O994" s="1488"/>
      <c r="P994" s="1488"/>
      <c r="Q994" s="1489"/>
      <c r="R994" s="1489"/>
      <c r="S994" s="1489"/>
      <c r="T994" s="1489"/>
      <c r="U994" s="1489"/>
      <c r="V994" s="1489"/>
      <c r="W994" s="1489"/>
      <c r="X994" s="1489"/>
      <c r="Y994" s="1489"/>
      <c r="Z994" s="1489"/>
      <c r="AA994" s="1489"/>
      <c r="AB994" s="1489"/>
      <c r="AC994" s="1489"/>
      <c r="AD994" s="1489"/>
      <c r="AE994" s="1489"/>
      <c r="AF994" s="1489"/>
      <c r="AG994" s="1489"/>
      <c r="AH994" s="1489"/>
      <c r="AI994" s="1489"/>
      <c r="AJ994" s="1489"/>
      <c r="AK994" s="1489"/>
      <c r="AL994" s="1489"/>
      <c r="AM994" s="1489"/>
      <c r="AN994" s="1489"/>
      <c r="AO994" s="1489"/>
      <c r="AP994" s="1489"/>
      <c r="AQ994" s="1489"/>
      <c r="AR994" s="1488"/>
      <c r="AS994" s="1488"/>
      <c r="AT994" s="1488"/>
      <c r="AU994" s="1488"/>
      <c r="AV994" s="1488"/>
      <c r="AW994" s="1488"/>
      <c r="AX994" s="1488"/>
      <c r="AY994" s="1488"/>
    </row>
    <row r="995" spans="3:51" s="1502" customFormat="1">
      <c r="C995" s="1498"/>
      <c r="D995" s="1501"/>
      <c r="E995" s="1500"/>
      <c r="F995" s="814"/>
      <c r="G995" s="1494"/>
      <c r="H995" s="1493"/>
      <c r="I995" s="1493"/>
      <c r="J995" s="813"/>
      <c r="K995" s="814"/>
      <c r="L995" s="1499"/>
      <c r="M995" s="1488"/>
      <c r="N995" s="1488"/>
      <c r="O995" s="1488"/>
      <c r="P995" s="1488"/>
      <c r="Q995" s="1489"/>
      <c r="R995" s="1489"/>
      <c r="S995" s="1489"/>
      <c r="T995" s="1489"/>
      <c r="U995" s="1489"/>
      <c r="V995" s="1489"/>
      <c r="W995" s="1489"/>
      <c r="X995" s="1489"/>
      <c r="Y995" s="1489"/>
      <c r="Z995" s="1489"/>
      <c r="AA995" s="1489"/>
      <c r="AB995" s="1489"/>
      <c r="AC995" s="1489"/>
      <c r="AD995" s="1489"/>
      <c r="AE995" s="1489"/>
      <c r="AF995" s="1489"/>
      <c r="AG995" s="1489"/>
      <c r="AH995" s="1489"/>
      <c r="AI995" s="1489"/>
      <c r="AJ995" s="1489"/>
      <c r="AK995" s="1489"/>
      <c r="AL995" s="1489"/>
      <c r="AM995" s="1489"/>
      <c r="AN995" s="1489"/>
      <c r="AO995" s="1489"/>
      <c r="AP995" s="1489"/>
      <c r="AQ995" s="1489"/>
      <c r="AR995" s="1488"/>
      <c r="AS995" s="1488"/>
      <c r="AT995" s="1488"/>
      <c r="AU995" s="1488"/>
      <c r="AV995" s="1488"/>
      <c r="AW995" s="1488"/>
      <c r="AX995" s="1488"/>
      <c r="AY995" s="1488"/>
    </row>
    <row r="996" spans="3:51" s="1502" customFormat="1">
      <c r="C996" s="1498"/>
      <c r="D996" s="1501"/>
      <c r="E996" s="1500"/>
      <c r="F996" s="814"/>
      <c r="G996" s="1494"/>
      <c r="H996" s="1493"/>
      <c r="I996" s="1493"/>
      <c r="J996" s="813"/>
      <c r="K996" s="814"/>
      <c r="L996" s="1499"/>
      <c r="M996" s="1488"/>
      <c r="N996" s="1488"/>
      <c r="O996" s="1488"/>
      <c r="P996" s="1488"/>
      <c r="Q996" s="1489"/>
      <c r="R996" s="1489"/>
      <c r="S996" s="1489"/>
      <c r="T996" s="1489"/>
      <c r="U996" s="1489"/>
      <c r="V996" s="1489"/>
      <c r="W996" s="1489"/>
      <c r="X996" s="1489"/>
      <c r="Y996" s="1489"/>
      <c r="Z996" s="1489"/>
      <c r="AA996" s="1489"/>
      <c r="AB996" s="1489"/>
      <c r="AC996" s="1489"/>
      <c r="AD996" s="1489"/>
      <c r="AE996" s="1489"/>
      <c r="AF996" s="1489"/>
      <c r="AG996" s="1489"/>
      <c r="AH996" s="1489"/>
      <c r="AI996" s="1489"/>
      <c r="AJ996" s="1489"/>
      <c r="AK996" s="1489"/>
      <c r="AL996" s="1489"/>
      <c r="AM996" s="1489"/>
      <c r="AN996" s="1489"/>
      <c r="AO996" s="1489"/>
      <c r="AP996" s="1489"/>
      <c r="AQ996" s="1489"/>
      <c r="AR996" s="1488"/>
      <c r="AS996" s="1488"/>
      <c r="AT996" s="1488"/>
      <c r="AU996" s="1488"/>
      <c r="AV996" s="1488"/>
      <c r="AW996" s="1488"/>
      <c r="AX996" s="1488"/>
      <c r="AY996" s="1488"/>
    </row>
    <row r="997" spans="3:51" s="1502" customFormat="1">
      <c r="C997" s="1498"/>
      <c r="D997" s="1501"/>
      <c r="E997" s="1500"/>
      <c r="F997" s="814"/>
      <c r="G997" s="1494"/>
      <c r="H997" s="1493"/>
      <c r="I997" s="1493"/>
      <c r="J997" s="813"/>
      <c r="K997" s="814"/>
      <c r="L997" s="1499"/>
      <c r="M997" s="1488"/>
      <c r="N997" s="1488"/>
      <c r="O997" s="1488"/>
      <c r="P997" s="1488"/>
      <c r="Q997" s="1489"/>
      <c r="R997" s="1489"/>
      <c r="S997" s="1489"/>
      <c r="T997" s="1489"/>
      <c r="U997" s="1489"/>
      <c r="V997" s="1489"/>
      <c r="W997" s="1489"/>
      <c r="X997" s="1489"/>
      <c r="Y997" s="1489"/>
      <c r="Z997" s="1489"/>
      <c r="AA997" s="1489"/>
      <c r="AB997" s="1489"/>
      <c r="AC997" s="1489"/>
      <c r="AD997" s="1489"/>
      <c r="AE997" s="1489"/>
      <c r="AF997" s="1489"/>
      <c r="AG997" s="1489"/>
      <c r="AH997" s="1489"/>
      <c r="AI997" s="1489"/>
      <c r="AJ997" s="1489"/>
      <c r="AK997" s="1489"/>
      <c r="AL997" s="1489"/>
      <c r="AM997" s="1489"/>
      <c r="AN997" s="1489"/>
      <c r="AO997" s="1489"/>
      <c r="AP997" s="1489"/>
      <c r="AQ997" s="1489"/>
      <c r="AR997" s="1488"/>
      <c r="AS997" s="1488"/>
      <c r="AT997" s="1488"/>
      <c r="AU997" s="1488"/>
      <c r="AV997" s="1488"/>
      <c r="AW997" s="1488"/>
      <c r="AX997" s="1488"/>
      <c r="AY997" s="1488"/>
    </row>
    <row r="998" spans="3:51" s="1502" customFormat="1">
      <c r="C998" s="1498"/>
      <c r="D998" s="1501"/>
      <c r="E998" s="1500"/>
      <c r="F998" s="814"/>
      <c r="G998" s="1494"/>
      <c r="H998" s="1493"/>
      <c r="I998" s="1493"/>
      <c r="J998" s="813"/>
      <c r="K998" s="814"/>
      <c r="L998" s="1499"/>
      <c r="M998" s="1488"/>
      <c r="N998" s="1488"/>
      <c r="O998" s="1488"/>
      <c r="P998" s="1488"/>
      <c r="Q998" s="1489"/>
      <c r="R998" s="1489"/>
      <c r="S998" s="1489"/>
      <c r="T998" s="1489"/>
      <c r="U998" s="1489"/>
      <c r="V998" s="1489"/>
      <c r="W998" s="1489"/>
      <c r="X998" s="1489"/>
      <c r="Y998" s="1489"/>
      <c r="Z998" s="1489"/>
      <c r="AA998" s="1489"/>
      <c r="AB998" s="1489"/>
      <c r="AC998" s="1489"/>
      <c r="AD998" s="1489"/>
      <c r="AE998" s="1489"/>
      <c r="AF998" s="1489"/>
      <c r="AG998" s="1489"/>
      <c r="AH998" s="1489"/>
      <c r="AI998" s="1489"/>
      <c r="AJ998" s="1489"/>
      <c r="AK998" s="1489"/>
      <c r="AL998" s="1489"/>
      <c r="AM998" s="1489"/>
      <c r="AN998" s="1489"/>
      <c r="AO998" s="1489"/>
      <c r="AP998" s="1489"/>
      <c r="AQ998" s="1489"/>
      <c r="AR998" s="1488"/>
      <c r="AS998" s="1488"/>
      <c r="AT998" s="1488"/>
      <c r="AU998" s="1488"/>
      <c r="AV998" s="1488"/>
      <c r="AW998" s="1488"/>
      <c r="AX998" s="1488"/>
      <c r="AY998" s="1488"/>
    </row>
    <row r="999" spans="3:51" s="1502" customFormat="1">
      <c r="C999" s="1498"/>
      <c r="D999" s="1501"/>
      <c r="E999" s="1500"/>
      <c r="F999" s="814"/>
      <c r="G999" s="1494"/>
      <c r="H999" s="1493"/>
      <c r="I999" s="1493"/>
      <c r="J999" s="813"/>
      <c r="K999" s="814"/>
      <c r="L999" s="1499"/>
      <c r="M999" s="1488"/>
      <c r="N999" s="1488"/>
      <c r="O999" s="1488"/>
      <c r="P999" s="1488"/>
      <c r="Q999" s="1489"/>
      <c r="R999" s="1489"/>
      <c r="S999" s="1489"/>
      <c r="T999" s="1489"/>
      <c r="U999" s="1489"/>
      <c r="V999" s="1489"/>
      <c r="W999" s="1489"/>
      <c r="X999" s="1489"/>
      <c r="Y999" s="1489"/>
      <c r="Z999" s="1489"/>
      <c r="AA999" s="1489"/>
      <c r="AB999" s="1489"/>
      <c r="AC999" s="1489"/>
      <c r="AD999" s="1489"/>
      <c r="AE999" s="1489"/>
      <c r="AF999" s="1489"/>
      <c r="AG999" s="1489"/>
      <c r="AH999" s="1489"/>
      <c r="AI999" s="1489"/>
      <c r="AJ999" s="1489"/>
      <c r="AK999" s="1489"/>
      <c r="AL999" s="1489"/>
      <c r="AM999" s="1489"/>
      <c r="AN999" s="1489"/>
      <c r="AO999" s="1489"/>
      <c r="AP999" s="1489"/>
      <c r="AQ999" s="1489"/>
      <c r="AR999" s="1488"/>
      <c r="AS999" s="1488"/>
      <c r="AT999" s="1488"/>
      <c r="AU999" s="1488"/>
      <c r="AV999" s="1488"/>
      <c r="AW999" s="1488"/>
      <c r="AX999" s="1488"/>
      <c r="AY999" s="1488"/>
    </row>
    <row r="1000" spans="3:51" s="1502" customFormat="1">
      <c r="C1000" s="1498"/>
      <c r="D1000" s="1501"/>
      <c r="E1000" s="1500"/>
      <c r="F1000" s="814"/>
      <c r="G1000" s="1494"/>
      <c r="H1000" s="1493"/>
      <c r="I1000" s="1493"/>
      <c r="J1000" s="813"/>
      <c r="K1000" s="814"/>
      <c r="L1000" s="1499"/>
      <c r="M1000" s="1488"/>
      <c r="N1000" s="1488"/>
      <c r="O1000" s="1488"/>
      <c r="P1000" s="1488"/>
      <c r="Q1000" s="1489"/>
      <c r="R1000" s="1489"/>
      <c r="S1000" s="1489"/>
      <c r="T1000" s="1489"/>
      <c r="U1000" s="1489"/>
      <c r="V1000" s="1489"/>
      <c r="W1000" s="1489"/>
      <c r="X1000" s="1489"/>
      <c r="Y1000" s="1489"/>
      <c r="Z1000" s="1489"/>
      <c r="AA1000" s="1489"/>
      <c r="AB1000" s="1489"/>
      <c r="AC1000" s="1489"/>
      <c r="AD1000" s="1489"/>
      <c r="AE1000" s="1489"/>
      <c r="AF1000" s="1489"/>
      <c r="AG1000" s="1489"/>
      <c r="AH1000" s="1489"/>
      <c r="AI1000" s="1489"/>
      <c r="AJ1000" s="1489"/>
      <c r="AK1000" s="1489"/>
      <c r="AL1000" s="1489"/>
      <c r="AM1000" s="1489"/>
      <c r="AN1000" s="1489"/>
      <c r="AO1000" s="1489"/>
      <c r="AP1000" s="1489"/>
      <c r="AQ1000" s="1489"/>
      <c r="AR1000" s="1488"/>
      <c r="AS1000" s="1488"/>
      <c r="AT1000" s="1488"/>
      <c r="AU1000" s="1488"/>
      <c r="AV1000" s="1488"/>
      <c r="AW1000" s="1488"/>
      <c r="AX1000" s="1488"/>
      <c r="AY1000" s="1488"/>
    </row>
    <row r="1001" spans="3:51" s="1502" customFormat="1">
      <c r="C1001" s="1498"/>
      <c r="D1001" s="1501"/>
      <c r="E1001" s="1500"/>
      <c r="F1001" s="814"/>
      <c r="G1001" s="1494"/>
      <c r="H1001" s="1493"/>
      <c r="I1001" s="1493"/>
      <c r="J1001" s="813"/>
      <c r="K1001" s="814"/>
      <c r="L1001" s="1499"/>
      <c r="M1001" s="1488"/>
      <c r="N1001" s="1488"/>
      <c r="O1001" s="1488"/>
      <c r="P1001" s="1488"/>
      <c r="Q1001" s="1489"/>
      <c r="R1001" s="1489"/>
      <c r="S1001" s="1489"/>
      <c r="T1001" s="1489"/>
      <c r="U1001" s="1489"/>
      <c r="V1001" s="1489"/>
      <c r="W1001" s="1489"/>
      <c r="X1001" s="1489"/>
      <c r="Y1001" s="1489"/>
      <c r="Z1001" s="1489"/>
      <c r="AA1001" s="1489"/>
      <c r="AB1001" s="1489"/>
      <c r="AC1001" s="1489"/>
      <c r="AD1001" s="1489"/>
      <c r="AE1001" s="1489"/>
      <c r="AF1001" s="1489"/>
      <c r="AG1001" s="1489"/>
      <c r="AH1001" s="1489"/>
      <c r="AI1001" s="1489"/>
      <c r="AJ1001" s="1489"/>
      <c r="AK1001" s="1489"/>
      <c r="AL1001" s="1489"/>
      <c r="AM1001" s="1489"/>
      <c r="AN1001" s="1489"/>
      <c r="AO1001" s="1489"/>
      <c r="AP1001" s="1489"/>
      <c r="AQ1001" s="1489"/>
      <c r="AR1001" s="1488"/>
      <c r="AS1001" s="1488"/>
      <c r="AT1001" s="1488"/>
      <c r="AU1001" s="1488"/>
      <c r="AV1001" s="1488"/>
      <c r="AW1001" s="1488"/>
      <c r="AX1001" s="1488"/>
      <c r="AY1001" s="1488"/>
    </row>
    <row r="1002" spans="3:51" s="1502" customFormat="1">
      <c r="C1002" s="1498"/>
      <c r="D1002" s="1501"/>
      <c r="E1002" s="1500"/>
      <c r="F1002" s="814"/>
      <c r="G1002" s="1494"/>
      <c r="H1002" s="1493"/>
      <c r="I1002" s="1493"/>
      <c r="J1002" s="813"/>
      <c r="K1002" s="814"/>
      <c r="L1002" s="1499"/>
      <c r="M1002" s="1488"/>
      <c r="N1002" s="1488"/>
      <c r="O1002" s="1488"/>
      <c r="P1002" s="1488"/>
      <c r="Q1002" s="1489"/>
      <c r="R1002" s="1489"/>
      <c r="S1002" s="1489"/>
      <c r="T1002" s="1489"/>
      <c r="U1002" s="1489"/>
      <c r="V1002" s="1489"/>
      <c r="W1002" s="1489"/>
      <c r="X1002" s="1489"/>
      <c r="Y1002" s="1489"/>
      <c r="Z1002" s="1489"/>
      <c r="AA1002" s="1489"/>
      <c r="AB1002" s="1489"/>
      <c r="AC1002" s="1489"/>
      <c r="AD1002" s="1489"/>
      <c r="AE1002" s="1489"/>
      <c r="AF1002" s="1489"/>
      <c r="AG1002" s="1489"/>
      <c r="AH1002" s="1489"/>
      <c r="AI1002" s="1489"/>
      <c r="AJ1002" s="1489"/>
      <c r="AK1002" s="1489"/>
      <c r="AL1002" s="1489"/>
      <c r="AM1002" s="1489"/>
      <c r="AN1002" s="1489"/>
      <c r="AO1002" s="1489"/>
      <c r="AP1002" s="1489"/>
      <c r="AQ1002" s="1489"/>
      <c r="AR1002" s="1488"/>
      <c r="AS1002" s="1488"/>
      <c r="AT1002" s="1488"/>
      <c r="AU1002" s="1488"/>
      <c r="AV1002" s="1488"/>
      <c r="AW1002" s="1488"/>
      <c r="AX1002" s="1488"/>
      <c r="AY1002" s="1488"/>
    </row>
    <row r="1003" spans="3:51" s="1502" customFormat="1">
      <c r="C1003" s="1498"/>
      <c r="D1003" s="1501"/>
      <c r="E1003" s="1500"/>
      <c r="F1003" s="814"/>
      <c r="G1003" s="1494"/>
      <c r="H1003" s="1493"/>
      <c r="I1003" s="1493"/>
      <c r="J1003" s="813"/>
      <c r="K1003" s="814"/>
      <c r="L1003" s="1499"/>
      <c r="M1003" s="1488"/>
      <c r="N1003" s="1488"/>
      <c r="O1003" s="1488"/>
      <c r="P1003" s="1488"/>
      <c r="Q1003" s="1489"/>
      <c r="R1003" s="1489"/>
      <c r="S1003" s="1489"/>
      <c r="T1003" s="1489"/>
      <c r="U1003" s="1489"/>
      <c r="V1003" s="1489"/>
      <c r="W1003" s="1489"/>
      <c r="X1003" s="1489"/>
      <c r="Y1003" s="1489"/>
      <c r="Z1003" s="1489"/>
      <c r="AA1003" s="1489"/>
      <c r="AB1003" s="1489"/>
      <c r="AC1003" s="1489"/>
      <c r="AD1003" s="1489"/>
      <c r="AE1003" s="1489"/>
      <c r="AF1003" s="1489"/>
      <c r="AG1003" s="1489"/>
      <c r="AH1003" s="1489"/>
      <c r="AI1003" s="1489"/>
      <c r="AJ1003" s="1489"/>
      <c r="AK1003" s="1489"/>
      <c r="AL1003" s="1489"/>
      <c r="AM1003" s="1489"/>
      <c r="AN1003" s="1489"/>
      <c r="AO1003" s="1489"/>
      <c r="AP1003" s="1489"/>
      <c r="AQ1003" s="1489"/>
      <c r="AR1003" s="1488"/>
      <c r="AS1003" s="1488"/>
      <c r="AT1003" s="1488"/>
      <c r="AU1003" s="1488"/>
      <c r="AV1003" s="1488"/>
      <c r="AW1003" s="1488"/>
      <c r="AX1003" s="1488"/>
      <c r="AY1003" s="1488"/>
    </row>
    <row r="1004" spans="3:51" s="1502" customFormat="1">
      <c r="C1004" s="1498"/>
      <c r="D1004" s="1501"/>
      <c r="E1004" s="1500"/>
      <c r="F1004" s="814"/>
      <c r="G1004" s="1494"/>
      <c r="H1004" s="1493"/>
      <c r="I1004" s="1493"/>
      <c r="J1004" s="813"/>
      <c r="K1004" s="814"/>
      <c r="L1004" s="1499"/>
      <c r="M1004" s="1488"/>
      <c r="N1004" s="1488"/>
      <c r="O1004" s="1488"/>
      <c r="P1004" s="1488"/>
      <c r="Q1004" s="1489"/>
      <c r="R1004" s="1489"/>
      <c r="S1004" s="1489"/>
      <c r="T1004" s="1489"/>
      <c r="U1004" s="1489"/>
      <c r="V1004" s="1489"/>
      <c r="W1004" s="1489"/>
      <c r="X1004" s="1489"/>
      <c r="Y1004" s="1489"/>
      <c r="Z1004" s="1489"/>
      <c r="AA1004" s="1489"/>
      <c r="AB1004" s="1489"/>
      <c r="AC1004" s="1489"/>
      <c r="AD1004" s="1489"/>
      <c r="AE1004" s="1489"/>
      <c r="AF1004" s="1489"/>
      <c r="AG1004" s="1489"/>
      <c r="AH1004" s="1489"/>
      <c r="AI1004" s="1489"/>
      <c r="AJ1004" s="1489"/>
      <c r="AK1004" s="1489"/>
      <c r="AL1004" s="1489"/>
      <c r="AM1004" s="1489"/>
      <c r="AN1004" s="1489"/>
      <c r="AO1004" s="1489"/>
      <c r="AP1004" s="1489"/>
      <c r="AQ1004" s="1489"/>
      <c r="AR1004" s="1488"/>
      <c r="AS1004" s="1488"/>
      <c r="AT1004" s="1488"/>
      <c r="AU1004" s="1488"/>
      <c r="AV1004" s="1488"/>
      <c r="AW1004" s="1488"/>
      <c r="AX1004" s="1488"/>
      <c r="AY1004" s="1488"/>
    </row>
    <row r="1005" spans="3:51" s="1502" customFormat="1">
      <c r="C1005" s="1498"/>
      <c r="D1005" s="1501"/>
      <c r="E1005" s="1500"/>
      <c r="F1005" s="814"/>
      <c r="G1005" s="1494"/>
      <c r="H1005" s="1493"/>
      <c r="I1005" s="1493"/>
      <c r="J1005" s="813"/>
      <c r="K1005" s="814"/>
      <c r="L1005" s="1499"/>
      <c r="M1005" s="1488"/>
      <c r="N1005" s="1488"/>
      <c r="O1005" s="1488"/>
      <c r="P1005" s="1488"/>
      <c r="Q1005" s="1489"/>
      <c r="R1005" s="1489"/>
      <c r="S1005" s="1489"/>
      <c r="T1005" s="1489"/>
      <c r="U1005" s="1489"/>
      <c r="V1005" s="1489"/>
      <c r="W1005" s="1489"/>
      <c r="X1005" s="1489"/>
      <c r="Y1005" s="1489"/>
      <c r="Z1005" s="1489"/>
      <c r="AA1005" s="1489"/>
      <c r="AB1005" s="1489"/>
      <c r="AC1005" s="1489"/>
      <c r="AD1005" s="1489"/>
      <c r="AE1005" s="1489"/>
      <c r="AF1005" s="1489"/>
      <c r="AG1005" s="1489"/>
      <c r="AH1005" s="1489"/>
      <c r="AI1005" s="1489"/>
      <c r="AJ1005" s="1489"/>
      <c r="AK1005" s="1489"/>
      <c r="AL1005" s="1489"/>
      <c r="AM1005" s="1489"/>
      <c r="AN1005" s="1489"/>
      <c r="AO1005" s="1489"/>
      <c r="AP1005" s="1489"/>
      <c r="AQ1005" s="1489"/>
      <c r="AR1005" s="1488"/>
      <c r="AS1005" s="1488"/>
      <c r="AT1005" s="1488"/>
      <c r="AU1005" s="1488"/>
      <c r="AV1005" s="1488"/>
      <c r="AW1005" s="1488"/>
      <c r="AX1005" s="1488"/>
      <c r="AY1005" s="1488"/>
    </row>
    <row r="1006" spans="3:51" s="1502" customFormat="1">
      <c r="C1006" s="1498"/>
      <c r="D1006" s="1501"/>
      <c r="E1006" s="1500"/>
      <c r="F1006" s="814"/>
      <c r="G1006" s="1494"/>
      <c r="H1006" s="1493"/>
      <c r="I1006" s="1493"/>
      <c r="J1006" s="813"/>
      <c r="K1006" s="814"/>
      <c r="L1006" s="1499"/>
      <c r="M1006" s="1488"/>
      <c r="N1006" s="1488"/>
      <c r="O1006" s="1488"/>
      <c r="P1006" s="1488"/>
      <c r="Q1006" s="1489"/>
      <c r="R1006" s="1489"/>
      <c r="S1006" s="1489"/>
      <c r="T1006" s="1489"/>
      <c r="U1006" s="1489"/>
      <c r="V1006" s="1489"/>
      <c r="W1006" s="1489"/>
      <c r="X1006" s="1489"/>
      <c r="Y1006" s="1489"/>
      <c r="Z1006" s="1489"/>
      <c r="AA1006" s="1489"/>
      <c r="AB1006" s="1489"/>
      <c r="AC1006" s="1489"/>
      <c r="AD1006" s="1489"/>
      <c r="AE1006" s="1489"/>
      <c r="AF1006" s="1489"/>
      <c r="AG1006" s="1489"/>
      <c r="AH1006" s="1489"/>
      <c r="AI1006" s="1489"/>
      <c r="AJ1006" s="1489"/>
      <c r="AK1006" s="1489"/>
      <c r="AL1006" s="1489"/>
      <c r="AM1006" s="1489"/>
      <c r="AN1006" s="1489"/>
      <c r="AO1006" s="1489"/>
      <c r="AP1006" s="1489"/>
      <c r="AQ1006" s="1489"/>
      <c r="AR1006" s="1488"/>
      <c r="AS1006" s="1488"/>
      <c r="AT1006" s="1488"/>
      <c r="AU1006" s="1488"/>
      <c r="AV1006" s="1488"/>
      <c r="AW1006" s="1488"/>
      <c r="AX1006" s="1488"/>
      <c r="AY1006" s="1488"/>
    </row>
    <row r="1007" spans="3:51" s="1502" customFormat="1">
      <c r="C1007" s="1498"/>
      <c r="D1007" s="1501"/>
      <c r="E1007" s="1500"/>
      <c r="F1007" s="814"/>
      <c r="G1007" s="1494"/>
      <c r="H1007" s="1493"/>
      <c r="I1007" s="1493"/>
      <c r="J1007" s="813"/>
      <c r="K1007" s="814"/>
      <c r="L1007" s="1499"/>
      <c r="M1007" s="1488"/>
      <c r="N1007" s="1488"/>
      <c r="O1007" s="1488"/>
      <c r="P1007" s="1488"/>
      <c r="Q1007" s="1489"/>
      <c r="R1007" s="1489"/>
      <c r="S1007" s="1489"/>
      <c r="T1007" s="1489"/>
      <c r="U1007" s="1489"/>
      <c r="V1007" s="1489"/>
      <c r="W1007" s="1489"/>
      <c r="X1007" s="1489"/>
      <c r="Y1007" s="1489"/>
      <c r="Z1007" s="1489"/>
      <c r="AA1007" s="1489"/>
      <c r="AB1007" s="1489"/>
      <c r="AC1007" s="1489"/>
      <c r="AD1007" s="1489"/>
      <c r="AE1007" s="1489"/>
      <c r="AF1007" s="1489"/>
      <c r="AG1007" s="1489"/>
      <c r="AH1007" s="1489"/>
      <c r="AI1007" s="1489"/>
      <c r="AJ1007" s="1489"/>
      <c r="AK1007" s="1489"/>
      <c r="AL1007" s="1489"/>
      <c r="AM1007" s="1489"/>
      <c r="AN1007" s="1489"/>
      <c r="AO1007" s="1489"/>
      <c r="AP1007" s="1489"/>
      <c r="AQ1007" s="1489"/>
      <c r="AR1007" s="1488"/>
      <c r="AS1007" s="1488"/>
      <c r="AT1007" s="1488"/>
      <c r="AU1007" s="1488"/>
      <c r="AV1007" s="1488"/>
      <c r="AW1007" s="1488"/>
      <c r="AX1007" s="1488"/>
      <c r="AY1007" s="1488"/>
    </row>
    <row r="1008" spans="3:51" s="1502" customFormat="1">
      <c r="C1008" s="1498"/>
      <c r="D1008" s="1501"/>
      <c r="E1008" s="1500"/>
      <c r="F1008" s="814"/>
      <c r="G1008" s="1494"/>
      <c r="H1008" s="1493"/>
      <c r="I1008" s="1493"/>
      <c r="J1008" s="813"/>
      <c r="K1008" s="814"/>
      <c r="L1008" s="1499"/>
      <c r="M1008" s="1488"/>
      <c r="N1008" s="1488"/>
      <c r="O1008" s="1488"/>
      <c r="P1008" s="1488"/>
      <c r="Q1008" s="1489"/>
      <c r="R1008" s="1489"/>
      <c r="S1008" s="1489"/>
      <c r="T1008" s="1489"/>
      <c r="U1008" s="1489"/>
      <c r="V1008" s="1489"/>
      <c r="W1008" s="1489"/>
      <c r="X1008" s="1489"/>
      <c r="Y1008" s="1489"/>
      <c r="Z1008" s="1489"/>
      <c r="AA1008" s="1489"/>
      <c r="AB1008" s="1489"/>
      <c r="AC1008" s="1489"/>
      <c r="AD1008" s="1489"/>
      <c r="AE1008" s="1489"/>
      <c r="AF1008" s="1489"/>
      <c r="AG1008" s="1489"/>
      <c r="AH1008" s="1489"/>
      <c r="AI1008" s="1489"/>
      <c r="AJ1008" s="1489"/>
      <c r="AK1008" s="1489"/>
      <c r="AL1008" s="1489"/>
      <c r="AM1008" s="1489"/>
      <c r="AN1008" s="1489"/>
      <c r="AO1008" s="1489"/>
      <c r="AP1008" s="1489"/>
      <c r="AQ1008" s="1489"/>
      <c r="AR1008" s="1488"/>
      <c r="AS1008" s="1488"/>
      <c r="AT1008" s="1488"/>
      <c r="AU1008" s="1488"/>
      <c r="AV1008" s="1488"/>
      <c r="AW1008" s="1488"/>
      <c r="AX1008" s="1488"/>
      <c r="AY1008" s="1488"/>
    </row>
    <row r="1009" spans="3:51" s="1502" customFormat="1">
      <c r="C1009" s="1498"/>
      <c r="D1009" s="1501"/>
      <c r="E1009" s="1500"/>
      <c r="F1009" s="814"/>
      <c r="G1009" s="1494"/>
      <c r="H1009" s="1493"/>
      <c r="I1009" s="1493"/>
      <c r="J1009" s="813"/>
      <c r="K1009" s="814"/>
      <c r="L1009" s="1499"/>
      <c r="M1009" s="1488"/>
      <c r="N1009" s="1488"/>
      <c r="O1009" s="1488"/>
      <c r="P1009" s="1488"/>
      <c r="Q1009" s="1489"/>
      <c r="R1009" s="1489"/>
      <c r="S1009" s="1489"/>
      <c r="T1009" s="1489"/>
      <c r="U1009" s="1489"/>
      <c r="V1009" s="1489"/>
      <c r="W1009" s="1489"/>
      <c r="X1009" s="1489"/>
      <c r="Y1009" s="1489"/>
      <c r="Z1009" s="1489"/>
      <c r="AA1009" s="1489"/>
      <c r="AB1009" s="1489"/>
      <c r="AC1009" s="1489"/>
      <c r="AD1009" s="1489"/>
      <c r="AE1009" s="1489"/>
      <c r="AF1009" s="1489"/>
      <c r="AG1009" s="1489"/>
      <c r="AH1009" s="1489"/>
      <c r="AI1009" s="1489"/>
      <c r="AJ1009" s="1489"/>
      <c r="AK1009" s="1489"/>
      <c r="AL1009" s="1489"/>
      <c r="AM1009" s="1489"/>
      <c r="AN1009" s="1489"/>
      <c r="AO1009" s="1489"/>
      <c r="AP1009" s="1489"/>
      <c r="AQ1009" s="1489"/>
      <c r="AR1009" s="1488"/>
      <c r="AS1009" s="1488"/>
      <c r="AT1009" s="1488"/>
      <c r="AU1009" s="1488"/>
      <c r="AV1009" s="1488"/>
      <c r="AW1009" s="1488"/>
      <c r="AX1009" s="1488"/>
      <c r="AY1009" s="1488"/>
    </row>
    <row r="1010" spans="3:51" s="1502" customFormat="1">
      <c r="C1010" s="1498"/>
      <c r="D1010" s="1501"/>
      <c r="E1010" s="1500"/>
      <c r="F1010" s="814"/>
      <c r="G1010" s="1494"/>
      <c r="H1010" s="1493"/>
      <c r="I1010" s="1493"/>
      <c r="J1010" s="813"/>
      <c r="K1010" s="814"/>
      <c r="L1010" s="1499"/>
      <c r="M1010" s="1488"/>
      <c r="N1010" s="1488"/>
      <c r="O1010" s="1488"/>
      <c r="P1010" s="1488"/>
      <c r="Q1010" s="1489"/>
      <c r="R1010" s="1489"/>
      <c r="S1010" s="1489"/>
      <c r="T1010" s="1489"/>
      <c r="U1010" s="1489"/>
      <c r="V1010" s="1489"/>
      <c r="W1010" s="1489"/>
      <c r="X1010" s="1489"/>
      <c r="Y1010" s="1489"/>
      <c r="Z1010" s="1489"/>
      <c r="AA1010" s="1489"/>
      <c r="AB1010" s="1489"/>
      <c r="AC1010" s="1489"/>
      <c r="AD1010" s="1489"/>
      <c r="AE1010" s="1489"/>
      <c r="AF1010" s="1489"/>
      <c r="AG1010" s="1489"/>
      <c r="AH1010" s="1489"/>
      <c r="AI1010" s="1489"/>
      <c r="AJ1010" s="1489"/>
      <c r="AK1010" s="1489"/>
      <c r="AL1010" s="1489"/>
      <c r="AM1010" s="1489"/>
      <c r="AN1010" s="1489"/>
      <c r="AO1010" s="1489"/>
      <c r="AP1010" s="1489"/>
      <c r="AQ1010" s="1489"/>
      <c r="AR1010" s="1488"/>
      <c r="AS1010" s="1488"/>
      <c r="AT1010" s="1488"/>
      <c r="AU1010" s="1488"/>
      <c r="AV1010" s="1488"/>
      <c r="AW1010" s="1488"/>
      <c r="AX1010" s="1488"/>
      <c r="AY1010" s="1488"/>
    </row>
    <row r="1011" spans="3:51" s="1502" customFormat="1">
      <c r="C1011" s="1498"/>
      <c r="D1011" s="1501"/>
      <c r="E1011" s="1500"/>
      <c r="F1011" s="814"/>
      <c r="G1011" s="1494"/>
      <c r="H1011" s="1493"/>
      <c r="I1011" s="1493"/>
      <c r="J1011" s="813"/>
      <c r="K1011" s="814"/>
      <c r="L1011" s="1499"/>
      <c r="M1011" s="1488"/>
      <c r="N1011" s="1488"/>
      <c r="O1011" s="1488"/>
      <c r="P1011" s="1488"/>
      <c r="Q1011" s="1489"/>
      <c r="R1011" s="1489"/>
      <c r="S1011" s="1489"/>
      <c r="T1011" s="1489"/>
      <c r="U1011" s="1489"/>
      <c r="V1011" s="1489"/>
      <c r="W1011" s="1489"/>
      <c r="X1011" s="1489"/>
      <c r="Y1011" s="1489"/>
      <c r="Z1011" s="1489"/>
      <c r="AA1011" s="1489"/>
      <c r="AB1011" s="1489"/>
      <c r="AC1011" s="1489"/>
      <c r="AD1011" s="1489"/>
      <c r="AE1011" s="1489"/>
      <c r="AF1011" s="1489"/>
      <c r="AG1011" s="1489"/>
      <c r="AH1011" s="1489"/>
      <c r="AI1011" s="1489"/>
      <c r="AJ1011" s="1489"/>
      <c r="AK1011" s="1489"/>
      <c r="AL1011" s="1489"/>
      <c r="AM1011" s="1489"/>
      <c r="AN1011" s="1489"/>
      <c r="AO1011" s="1489"/>
      <c r="AP1011" s="1489"/>
      <c r="AQ1011" s="1489"/>
      <c r="AR1011" s="1488"/>
      <c r="AS1011" s="1488"/>
      <c r="AT1011" s="1488"/>
      <c r="AU1011" s="1488"/>
      <c r="AV1011" s="1488"/>
      <c r="AW1011" s="1488"/>
      <c r="AX1011" s="1488"/>
      <c r="AY1011" s="1488"/>
    </row>
    <row r="1012" spans="3:51" s="1502" customFormat="1">
      <c r="C1012" s="1498"/>
      <c r="D1012" s="1501"/>
      <c r="E1012" s="1500"/>
      <c r="F1012" s="814"/>
      <c r="G1012" s="1494"/>
      <c r="H1012" s="1493"/>
      <c r="I1012" s="1493"/>
      <c r="J1012" s="813"/>
      <c r="K1012" s="814"/>
      <c r="L1012" s="1499"/>
      <c r="M1012" s="1488"/>
      <c r="N1012" s="1488"/>
      <c r="O1012" s="1488"/>
      <c r="P1012" s="1488"/>
      <c r="Q1012" s="1489"/>
      <c r="R1012" s="1489"/>
      <c r="S1012" s="1489"/>
      <c r="T1012" s="1489"/>
      <c r="U1012" s="1489"/>
      <c r="V1012" s="1489"/>
      <c r="W1012" s="1489"/>
      <c r="X1012" s="1489"/>
      <c r="Y1012" s="1489"/>
      <c r="Z1012" s="1489"/>
      <c r="AA1012" s="1489"/>
      <c r="AB1012" s="1489"/>
      <c r="AC1012" s="1489"/>
      <c r="AD1012" s="1489"/>
      <c r="AE1012" s="1489"/>
      <c r="AF1012" s="1489"/>
      <c r="AG1012" s="1489"/>
      <c r="AH1012" s="1489"/>
      <c r="AI1012" s="1489"/>
      <c r="AJ1012" s="1489"/>
      <c r="AK1012" s="1489"/>
      <c r="AL1012" s="1489"/>
      <c r="AM1012" s="1489"/>
      <c r="AN1012" s="1489"/>
      <c r="AO1012" s="1489"/>
      <c r="AP1012" s="1489"/>
      <c r="AQ1012" s="1489"/>
      <c r="AR1012" s="1488"/>
      <c r="AS1012" s="1488"/>
      <c r="AT1012" s="1488"/>
      <c r="AU1012" s="1488"/>
      <c r="AV1012" s="1488"/>
      <c r="AW1012" s="1488"/>
      <c r="AX1012" s="1488"/>
      <c r="AY1012" s="1488"/>
    </row>
    <row r="1013" spans="3:51" s="1502" customFormat="1">
      <c r="C1013" s="1498"/>
      <c r="D1013" s="1501"/>
      <c r="E1013" s="1500"/>
      <c r="F1013" s="814"/>
      <c r="G1013" s="1494"/>
      <c r="H1013" s="1493"/>
      <c r="I1013" s="1493"/>
      <c r="J1013" s="813"/>
      <c r="K1013" s="814"/>
      <c r="L1013" s="1499"/>
      <c r="M1013" s="1488"/>
      <c r="N1013" s="1488"/>
      <c r="O1013" s="1488"/>
      <c r="P1013" s="1488"/>
      <c r="Q1013" s="1489"/>
      <c r="R1013" s="1489"/>
      <c r="S1013" s="1489"/>
      <c r="T1013" s="1489"/>
      <c r="U1013" s="1489"/>
      <c r="V1013" s="1489"/>
      <c r="W1013" s="1489"/>
      <c r="X1013" s="1489"/>
      <c r="Y1013" s="1489"/>
      <c r="Z1013" s="1489"/>
      <c r="AA1013" s="1489"/>
      <c r="AB1013" s="1489"/>
      <c r="AC1013" s="1489"/>
      <c r="AD1013" s="1489"/>
      <c r="AE1013" s="1489"/>
      <c r="AF1013" s="1489"/>
      <c r="AG1013" s="1489"/>
      <c r="AH1013" s="1489"/>
      <c r="AI1013" s="1489"/>
      <c r="AJ1013" s="1489"/>
      <c r="AK1013" s="1489"/>
      <c r="AL1013" s="1489"/>
      <c r="AM1013" s="1489"/>
      <c r="AN1013" s="1489"/>
      <c r="AO1013" s="1489"/>
      <c r="AP1013" s="1489"/>
      <c r="AQ1013" s="1489"/>
      <c r="AR1013" s="1488"/>
      <c r="AS1013" s="1488"/>
      <c r="AT1013" s="1488"/>
      <c r="AU1013" s="1488"/>
      <c r="AV1013" s="1488"/>
      <c r="AW1013" s="1488"/>
      <c r="AX1013" s="1488"/>
      <c r="AY1013" s="1488"/>
    </row>
    <row r="1014" spans="3:51" s="1502" customFormat="1">
      <c r="C1014" s="1498"/>
      <c r="D1014" s="1501"/>
      <c r="E1014" s="1500"/>
      <c r="F1014" s="814"/>
      <c r="G1014" s="1494"/>
      <c r="H1014" s="1493"/>
      <c r="I1014" s="1493"/>
      <c r="J1014" s="813"/>
      <c r="K1014" s="814"/>
      <c r="L1014" s="1499"/>
      <c r="M1014" s="1488"/>
      <c r="N1014" s="1488"/>
      <c r="O1014" s="1488"/>
      <c r="P1014" s="1488"/>
      <c r="Q1014" s="1489"/>
      <c r="R1014" s="1489"/>
      <c r="S1014" s="1489"/>
      <c r="T1014" s="1489"/>
      <c r="U1014" s="1489"/>
      <c r="V1014" s="1489"/>
      <c r="W1014" s="1489"/>
      <c r="X1014" s="1489"/>
      <c r="Y1014" s="1489"/>
      <c r="Z1014" s="1489"/>
      <c r="AA1014" s="1489"/>
      <c r="AB1014" s="1489"/>
      <c r="AC1014" s="1489"/>
      <c r="AD1014" s="1489"/>
      <c r="AE1014" s="1489"/>
      <c r="AF1014" s="1489"/>
      <c r="AG1014" s="1489"/>
      <c r="AH1014" s="1489"/>
      <c r="AI1014" s="1489"/>
      <c r="AJ1014" s="1489"/>
      <c r="AK1014" s="1489"/>
      <c r="AL1014" s="1489"/>
      <c r="AM1014" s="1489"/>
      <c r="AN1014" s="1489"/>
      <c r="AO1014" s="1489"/>
      <c r="AP1014" s="1489"/>
      <c r="AQ1014" s="1489"/>
      <c r="AR1014" s="1488"/>
      <c r="AS1014" s="1488"/>
      <c r="AT1014" s="1488"/>
      <c r="AU1014" s="1488"/>
      <c r="AV1014" s="1488"/>
      <c r="AW1014" s="1488"/>
      <c r="AX1014" s="1488"/>
      <c r="AY1014" s="1488"/>
    </row>
    <row r="1015" spans="3:51" s="1502" customFormat="1">
      <c r="C1015" s="1498"/>
      <c r="D1015" s="1501"/>
      <c r="E1015" s="1500"/>
      <c r="F1015" s="814"/>
      <c r="G1015" s="1494"/>
      <c r="H1015" s="1493"/>
      <c r="I1015" s="1493"/>
      <c r="J1015" s="813"/>
      <c r="K1015" s="814"/>
      <c r="L1015" s="1499"/>
      <c r="M1015" s="1488"/>
      <c r="N1015" s="1488"/>
      <c r="O1015" s="1488"/>
      <c r="P1015" s="1488"/>
      <c r="Q1015" s="1489"/>
      <c r="R1015" s="1489"/>
      <c r="S1015" s="1489"/>
      <c r="T1015" s="1489"/>
      <c r="U1015" s="1489"/>
      <c r="V1015" s="1489"/>
      <c r="W1015" s="1489"/>
      <c r="X1015" s="1489"/>
      <c r="Y1015" s="1489"/>
      <c r="Z1015" s="1489"/>
      <c r="AA1015" s="1489"/>
      <c r="AB1015" s="1489"/>
      <c r="AC1015" s="1489"/>
      <c r="AD1015" s="1489"/>
      <c r="AE1015" s="1489"/>
      <c r="AF1015" s="1489"/>
      <c r="AG1015" s="1489"/>
      <c r="AH1015" s="1489"/>
      <c r="AI1015" s="1489"/>
      <c r="AJ1015" s="1489"/>
      <c r="AK1015" s="1489"/>
      <c r="AL1015" s="1489"/>
      <c r="AM1015" s="1489"/>
      <c r="AN1015" s="1489"/>
      <c r="AO1015" s="1489"/>
      <c r="AP1015" s="1489"/>
      <c r="AQ1015" s="1489"/>
      <c r="AR1015" s="1488"/>
      <c r="AS1015" s="1488"/>
      <c r="AT1015" s="1488"/>
      <c r="AU1015" s="1488"/>
      <c r="AV1015" s="1488"/>
      <c r="AW1015" s="1488"/>
      <c r="AX1015" s="1488"/>
      <c r="AY1015" s="1488"/>
    </row>
    <row r="1016" spans="3:51" s="1502" customFormat="1">
      <c r="C1016" s="1498"/>
      <c r="D1016" s="1501"/>
      <c r="E1016" s="1500"/>
      <c r="F1016" s="814"/>
      <c r="G1016" s="1494"/>
      <c r="H1016" s="1493"/>
      <c r="I1016" s="1493"/>
      <c r="J1016" s="813"/>
      <c r="K1016" s="814"/>
      <c r="L1016" s="1499"/>
      <c r="M1016" s="1488"/>
      <c r="N1016" s="1488"/>
      <c r="O1016" s="1488"/>
      <c r="P1016" s="1488"/>
      <c r="Q1016" s="1489"/>
      <c r="R1016" s="1489"/>
      <c r="S1016" s="1489"/>
      <c r="T1016" s="1489"/>
      <c r="U1016" s="1489"/>
      <c r="V1016" s="1489"/>
      <c r="W1016" s="1489"/>
      <c r="X1016" s="1489"/>
      <c r="Y1016" s="1489"/>
      <c r="Z1016" s="1489"/>
      <c r="AA1016" s="1489"/>
      <c r="AB1016" s="1489"/>
      <c r="AC1016" s="1489"/>
      <c r="AD1016" s="1489"/>
      <c r="AE1016" s="1489"/>
      <c r="AF1016" s="1489"/>
      <c r="AG1016" s="1489"/>
      <c r="AH1016" s="1489"/>
      <c r="AI1016" s="1489"/>
      <c r="AJ1016" s="1489"/>
      <c r="AK1016" s="1489"/>
      <c r="AL1016" s="1489"/>
      <c r="AM1016" s="1489"/>
      <c r="AN1016" s="1489"/>
      <c r="AO1016" s="1489"/>
      <c r="AP1016" s="1489"/>
      <c r="AQ1016" s="1489"/>
      <c r="AR1016" s="1488"/>
      <c r="AS1016" s="1488"/>
      <c r="AT1016" s="1488"/>
      <c r="AU1016" s="1488"/>
      <c r="AV1016" s="1488"/>
      <c r="AW1016" s="1488"/>
      <c r="AX1016" s="1488"/>
      <c r="AY1016" s="1488"/>
    </row>
    <row r="1017" spans="3:51" s="1502" customFormat="1">
      <c r="C1017" s="1498"/>
      <c r="D1017" s="1501"/>
      <c r="E1017" s="1500"/>
      <c r="F1017" s="814"/>
      <c r="G1017" s="1494"/>
      <c r="H1017" s="1493"/>
      <c r="I1017" s="1493"/>
      <c r="J1017" s="813"/>
      <c r="K1017" s="814"/>
      <c r="L1017" s="1499"/>
      <c r="M1017" s="1488"/>
      <c r="N1017" s="1488"/>
      <c r="O1017" s="1488"/>
      <c r="P1017" s="1488"/>
      <c r="Q1017" s="1489"/>
      <c r="R1017" s="1489"/>
      <c r="S1017" s="1489"/>
      <c r="T1017" s="1489"/>
      <c r="U1017" s="1489"/>
      <c r="V1017" s="1489"/>
      <c r="W1017" s="1489"/>
      <c r="X1017" s="1489"/>
      <c r="Y1017" s="1489"/>
      <c r="Z1017" s="1489"/>
      <c r="AA1017" s="1489"/>
      <c r="AB1017" s="1489"/>
      <c r="AC1017" s="1489"/>
      <c r="AD1017" s="1489"/>
      <c r="AE1017" s="1489"/>
      <c r="AF1017" s="1489"/>
      <c r="AG1017" s="1489"/>
      <c r="AH1017" s="1489"/>
      <c r="AI1017" s="1489"/>
      <c r="AJ1017" s="1489"/>
      <c r="AK1017" s="1489"/>
      <c r="AL1017" s="1489"/>
      <c r="AM1017" s="1489"/>
      <c r="AN1017" s="1489"/>
      <c r="AO1017" s="1489"/>
      <c r="AP1017" s="1489"/>
      <c r="AQ1017" s="1489"/>
      <c r="AR1017" s="1488"/>
      <c r="AS1017" s="1488"/>
      <c r="AT1017" s="1488"/>
      <c r="AU1017" s="1488"/>
      <c r="AV1017" s="1488"/>
      <c r="AW1017" s="1488"/>
      <c r="AX1017" s="1488"/>
      <c r="AY1017" s="1488"/>
    </row>
    <row r="1018" spans="3:51" s="1502" customFormat="1">
      <c r="C1018" s="1498"/>
      <c r="D1018" s="1501"/>
      <c r="E1018" s="1500"/>
      <c r="F1018" s="814"/>
      <c r="G1018" s="1494"/>
      <c r="H1018" s="1493"/>
      <c r="I1018" s="1493"/>
      <c r="J1018" s="813"/>
      <c r="K1018" s="814"/>
      <c r="L1018" s="1499"/>
      <c r="M1018" s="1488"/>
      <c r="N1018" s="1488"/>
      <c r="O1018" s="1488"/>
      <c r="P1018" s="1488"/>
      <c r="Q1018" s="1489"/>
      <c r="R1018" s="1489"/>
      <c r="S1018" s="1489"/>
      <c r="T1018" s="1489"/>
      <c r="U1018" s="1489"/>
      <c r="V1018" s="1489"/>
      <c r="W1018" s="1489"/>
      <c r="X1018" s="1489"/>
      <c r="Y1018" s="1489"/>
      <c r="Z1018" s="1489"/>
      <c r="AA1018" s="1489"/>
      <c r="AB1018" s="1489"/>
      <c r="AC1018" s="1489"/>
      <c r="AD1018" s="1489"/>
      <c r="AE1018" s="1489"/>
      <c r="AF1018" s="1489"/>
      <c r="AG1018" s="1489"/>
      <c r="AH1018" s="1489"/>
      <c r="AI1018" s="1489"/>
      <c r="AJ1018" s="1489"/>
      <c r="AK1018" s="1489"/>
      <c r="AL1018" s="1489"/>
      <c r="AM1018" s="1489"/>
      <c r="AN1018" s="1489"/>
      <c r="AO1018" s="1489"/>
      <c r="AP1018" s="1489"/>
      <c r="AQ1018" s="1489"/>
      <c r="AR1018" s="1488"/>
      <c r="AS1018" s="1488"/>
      <c r="AT1018" s="1488"/>
      <c r="AU1018" s="1488"/>
      <c r="AV1018" s="1488"/>
      <c r="AW1018" s="1488"/>
      <c r="AX1018" s="1488"/>
      <c r="AY1018" s="1488"/>
    </row>
    <row r="1019" spans="3:51" s="1502" customFormat="1">
      <c r="C1019" s="1498"/>
      <c r="D1019" s="1501"/>
      <c r="E1019" s="1500"/>
      <c r="F1019" s="814"/>
      <c r="G1019" s="1494"/>
      <c r="H1019" s="1493"/>
      <c r="I1019" s="1493"/>
      <c r="J1019" s="813"/>
      <c r="K1019" s="814"/>
      <c r="L1019" s="1499"/>
      <c r="M1019" s="1488"/>
      <c r="N1019" s="1488"/>
      <c r="O1019" s="1488"/>
      <c r="P1019" s="1488"/>
      <c r="Q1019" s="1489"/>
      <c r="R1019" s="1489"/>
      <c r="S1019" s="1489"/>
      <c r="T1019" s="1489"/>
      <c r="U1019" s="1489"/>
      <c r="V1019" s="1489"/>
      <c r="W1019" s="1489"/>
      <c r="X1019" s="1489"/>
      <c r="Y1019" s="1489"/>
      <c r="Z1019" s="1489"/>
      <c r="AA1019" s="1489"/>
      <c r="AB1019" s="1489"/>
      <c r="AC1019" s="1489"/>
      <c r="AD1019" s="1489"/>
      <c r="AE1019" s="1489"/>
      <c r="AF1019" s="1489"/>
      <c r="AG1019" s="1489"/>
      <c r="AH1019" s="1489"/>
      <c r="AI1019" s="1489"/>
      <c r="AJ1019" s="1489"/>
      <c r="AK1019" s="1489"/>
      <c r="AL1019" s="1489"/>
      <c r="AM1019" s="1489"/>
      <c r="AN1019" s="1489"/>
      <c r="AO1019" s="1489"/>
      <c r="AP1019" s="1489"/>
      <c r="AQ1019" s="1489"/>
      <c r="AR1019" s="1488"/>
      <c r="AS1019" s="1488"/>
      <c r="AT1019" s="1488"/>
      <c r="AU1019" s="1488"/>
      <c r="AV1019" s="1488"/>
      <c r="AW1019" s="1488"/>
      <c r="AX1019" s="1488"/>
      <c r="AY1019" s="1488"/>
    </row>
    <row r="1020" spans="3:51" s="1502" customFormat="1">
      <c r="C1020" s="1498"/>
      <c r="D1020" s="1501"/>
      <c r="E1020" s="1500"/>
      <c r="F1020" s="814"/>
      <c r="G1020" s="1494"/>
      <c r="H1020" s="1493"/>
      <c r="I1020" s="1493"/>
      <c r="J1020" s="813"/>
      <c r="K1020" s="814"/>
      <c r="L1020" s="1499"/>
      <c r="M1020" s="1488"/>
      <c r="N1020" s="1488"/>
      <c r="O1020" s="1488"/>
      <c r="P1020" s="1488"/>
      <c r="Q1020" s="1489"/>
      <c r="R1020" s="1489"/>
      <c r="S1020" s="1489"/>
      <c r="T1020" s="1489"/>
      <c r="U1020" s="1489"/>
      <c r="V1020" s="1489"/>
      <c r="W1020" s="1489"/>
      <c r="X1020" s="1489"/>
      <c r="Y1020" s="1489"/>
      <c r="Z1020" s="1489"/>
      <c r="AA1020" s="1489"/>
      <c r="AB1020" s="1489"/>
      <c r="AC1020" s="1489"/>
      <c r="AD1020" s="1489"/>
      <c r="AE1020" s="1489"/>
      <c r="AF1020" s="1489"/>
      <c r="AG1020" s="1489"/>
      <c r="AH1020" s="1489"/>
      <c r="AI1020" s="1489"/>
      <c r="AJ1020" s="1489"/>
      <c r="AK1020" s="1489"/>
      <c r="AL1020" s="1489"/>
      <c r="AM1020" s="1489"/>
      <c r="AN1020" s="1489"/>
      <c r="AO1020" s="1489"/>
      <c r="AP1020" s="1489"/>
      <c r="AQ1020" s="1489"/>
      <c r="AR1020" s="1488"/>
      <c r="AS1020" s="1488"/>
      <c r="AT1020" s="1488"/>
      <c r="AU1020" s="1488"/>
      <c r="AV1020" s="1488"/>
      <c r="AW1020" s="1488"/>
      <c r="AX1020" s="1488"/>
      <c r="AY1020" s="1488"/>
    </row>
    <row r="1021" spans="3:51" s="1502" customFormat="1">
      <c r="C1021" s="1498"/>
      <c r="D1021" s="1501"/>
      <c r="E1021" s="1500"/>
      <c r="F1021" s="814"/>
      <c r="G1021" s="1494"/>
      <c r="H1021" s="1493"/>
      <c r="I1021" s="1493"/>
      <c r="J1021" s="813"/>
      <c r="K1021" s="814"/>
      <c r="L1021" s="1499"/>
      <c r="M1021" s="1488"/>
      <c r="N1021" s="1488"/>
      <c r="O1021" s="1488"/>
      <c r="P1021" s="1488"/>
      <c r="Q1021" s="1489"/>
      <c r="R1021" s="1489"/>
      <c r="S1021" s="1489"/>
      <c r="T1021" s="1489"/>
      <c r="U1021" s="1489"/>
      <c r="V1021" s="1489"/>
      <c r="W1021" s="1489"/>
      <c r="X1021" s="1489"/>
      <c r="Y1021" s="1489"/>
      <c r="Z1021" s="1489"/>
      <c r="AA1021" s="1489"/>
      <c r="AB1021" s="1489"/>
      <c r="AC1021" s="1489"/>
      <c r="AD1021" s="1489"/>
      <c r="AE1021" s="1489"/>
      <c r="AF1021" s="1489"/>
      <c r="AG1021" s="1489"/>
      <c r="AH1021" s="1489"/>
      <c r="AI1021" s="1489"/>
      <c r="AJ1021" s="1489"/>
      <c r="AK1021" s="1489"/>
      <c r="AL1021" s="1489"/>
      <c r="AM1021" s="1489"/>
      <c r="AN1021" s="1489"/>
      <c r="AO1021" s="1489"/>
      <c r="AP1021" s="1489"/>
      <c r="AQ1021" s="1489"/>
      <c r="AR1021" s="1488"/>
      <c r="AS1021" s="1488"/>
      <c r="AT1021" s="1488"/>
      <c r="AU1021" s="1488"/>
      <c r="AV1021" s="1488"/>
      <c r="AW1021" s="1488"/>
      <c r="AX1021" s="1488"/>
      <c r="AY1021" s="1488"/>
    </row>
    <row r="1022" spans="3:51" s="1502" customFormat="1">
      <c r="C1022" s="1498"/>
      <c r="D1022" s="1501"/>
      <c r="E1022" s="1500"/>
      <c r="F1022" s="814"/>
      <c r="G1022" s="1494"/>
      <c r="H1022" s="1493"/>
      <c r="I1022" s="1493"/>
      <c r="J1022" s="813"/>
      <c r="K1022" s="814"/>
      <c r="L1022" s="1499"/>
      <c r="M1022" s="1488"/>
      <c r="N1022" s="1488"/>
      <c r="O1022" s="1488"/>
      <c r="P1022" s="1488"/>
      <c r="Q1022" s="1489"/>
      <c r="R1022" s="1489"/>
      <c r="S1022" s="1489"/>
      <c r="T1022" s="1489"/>
      <c r="U1022" s="1489"/>
      <c r="V1022" s="1489"/>
      <c r="W1022" s="1489"/>
      <c r="X1022" s="1489"/>
      <c r="Y1022" s="1489"/>
      <c r="Z1022" s="1489"/>
      <c r="AA1022" s="1489"/>
      <c r="AB1022" s="1489"/>
      <c r="AC1022" s="1489"/>
      <c r="AD1022" s="1489"/>
      <c r="AE1022" s="1489"/>
      <c r="AF1022" s="1489"/>
      <c r="AG1022" s="1489"/>
      <c r="AH1022" s="1489"/>
      <c r="AI1022" s="1489"/>
      <c r="AJ1022" s="1489"/>
      <c r="AK1022" s="1489"/>
      <c r="AL1022" s="1489"/>
      <c r="AM1022" s="1489"/>
      <c r="AN1022" s="1489"/>
      <c r="AO1022" s="1489"/>
      <c r="AP1022" s="1489"/>
      <c r="AQ1022" s="1489"/>
      <c r="AR1022" s="1488"/>
      <c r="AS1022" s="1488"/>
      <c r="AT1022" s="1488"/>
      <c r="AU1022" s="1488"/>
      <c r="AV1022" s="1488"/>
      <c r="AW1022" s="1488"/>
      <c r="AX1022" s="1488"/>
      <c r="AY1022" s="1488"/>
    </row>
    <row r="1023" spans="3:51" s="1502" customFormat="1">
      <c r="C1023" s="1498"/>
      <c r="D1023" s="1501"/>
      <c r="E1023" s="1500"/>
      <c r="F1023" s="814"/>
      <c r="G1023" s="1494"/>
      <c r="H1023" s="1493"/>
      <c r="I1023" s="1493"/>
      <c r="J1023" s="813"/>
      <c r="K1023" s="814"/>
      <c r="L1023" s="1499"/>
      <c r="M1023" s="1488"/>
      <c r="N1023" s="1488"/>
      <c r="O1023" s="1488"/>
      <c r="P1023" s="1488"/>
      <c r="Q1023" s="1489"/>
      <c r="R1023" s="1489"/>
      <c r="S1023" s="1489"/>
      <c r="T1023" s="1489"/>
      <c r="U1023" s="1489"/>
      <c r="V1023" s="1489"/>
      <c r="W1023" s="1489"/>
      <c r="X1023" s="1489"/>
      <c r="Y1023" s="1489"/>
      <c r="Z1023" s="1489"/>
      <c r="AA1023" s="1489"/>
      <c r="AB1023" s="1489"/>
      <c r="AC1023" s="1489"/>
      <c r="AD1023" s="1489"/>
      <c r="AE1023" s="1489"/>
      <c r="AF1023" s="1489"/>
      <c r="AG1023" s="1489"/>
      <c r="AH1023" s="1489"/>
      <c r="AI1023" s="1489"/>
      <c r="AJ1023" s="1489"/>
      <c r="AK1023" s="1489"/>
      <c r="AL1023" s="1489"/>
      <c r="AM1023" s="1489"/>
      <c r="AN1023" s="1489"/>
      <c r="AO1023" s="1489"/>
      <c r="AP1023" s="1489"/>
      <c r="AQ1023" s="1489"/>
      <c r="AR1023" s="1488"/>
      <c r="AS1023" s="1488"/>
      <c r="AT1023" s="1488"/>
      <c r="AU1023" s="1488"/>
      <c r="AV1023" s="1488"/>
      <c r="AW1023" s="1488"/>
      <c r="AX1023" s="1488"/>
      <c r="AY1023" s="1488"/>
    </row>
    <row r="1024" spans="3:51" s="1502" customFormat="1">
      <c r="C1024" s="1498"/>
      <c r="D1024" s="1501"/>
      <c r="E1024" s="1500"/>
      <c r="F1024" s="814"/>
      <c r="G1024" s="1494"/>
      <c r="H1024" s="1493"/>
      <c r="I1024" s="1493"/>
      <c r="J1024" s="813"/>
      <c r="K1024" s="814"/>
      <c r="L1024" s="1499"/>
      <c r="M1024" s="1488"/>
      <c r="N1024" s="1488"/>
      <c r="O1024" s="1488"/>
      <c r="P1024" s="1488"/>
      <c r="Q1024" s="1489"/>
      <c r="R1024" s="1489"/>
      <c r="S1024" s="1489"/>
      <c r="T1024" s="1489"/>
      <c r="U1024" s="1489"/>
      <c r="V1024" s="1489"/>
      <c r="W1024" s="1489"/>
      <c r="X1024" s="1489"/>
      <c r="Y1024" s="1489"/>
      <c r="Z1024" s="1489"/>
      <c r="AA1024" s="1489"/>
      <c r="AB1024" s="1489"/>
      <c r="AC1024" s="1489"/>
      <c r="AD1024" s="1489"/>
      <c r="AE1024" s="1489"/>
      <c r="AF1024" s="1489"/>
      <c r="AG1024" s="1489"/>
      <c r="AH1024" s="1489"/>
      <c r="AI1024" s="1489"/>
      <c r="AJ1024" s="1489"/>
      <c r="AK1024" s="1489"/>
      <c r="AL1024" s="1489"/>
      <c r="AM1024" s="1489"/>
      <c r="AN1024" s="1489"/>
      <c r="AO1024" s="1489"/>
      <c r="AP1024" s="1489"/>
      <c r="AQ1024" s="1489"/>
      <c r="AR1024" s="1488"/>
      <c r="AS1024" s="1488"/>
      <c r="AT1024" s="1488"/>
      <c r="AU1024" s="1488"/>
      <c r="AV1024" s="1488"/>
      <c r="AW1024" s="1488"/>
      <c r="AX1024" s="1488"/>
      <c r="AY1024" s="1488"/>
    </row>
    <row r="1025" spans="3:51" s="1502" customFormat="1">
      <c r="C1025" s="1498"/>
      <c r="D1025" s="1501"/>
      <c r="E1025" s="1500"/>
      <c r="F1025" s="814"/>
      <c r="G1025" s="1494"/>
      <c r="H1025" s="1493"/>
      <c r="I1025" s="1493"/>
      <c r="J1025" s="813"/>
      <c r="K1025" s="814"/>
      <c r="L1025" s="1499"/>
      <c r="M1025" s="1488"/>
      <c r="N1025" s="1488"/>
      <c r="O1025" s="1488"/>
      <c r="P1025" s="1488"/>
      <c r="Q1025" s="1489"/>
      <c r="R1025" s="1489"/>
      <c r="S1025" s="1489"/>
      <c r="T1025" s="1489"/>
      <c r="U1025" s="1489"/>
      <c r="V1025" s="1489"/>
      <c r="W1025" s="1489"/>
      <c r="X1025" s="1489"/>
      <c r="Y1025" s="1489"/>
      <c r="Z1025" s="1489"/>
      <c r="AA1025" s="1489"/>
      <c r="AB1025" s="1489"/>
      <c r="AC1025" s="1489"/>
      <c r="AD1025" s="1489"/>
      <c r="AE1025" s="1489"/>
      <c r="AF1025" s="1489"/>
      <c r="AG1025" s="1489"/>
      <c r="AH1025" s="1489"/>
      <c r="AI1025" s="1489"/>
      <c r="AJ1025" s="1489"/>
      <c r="AK1025" s="1489"/>
      <c r="AL1025" s="1489"/>
      <c r="AM1025" s="1489"/>
      <c r="AN1025" s="1489"/>
      <c r="AO1025" s="1489"/>
      <c r="AP1025" s="1489"/>
      <c r="AQ1025" s="1489"/>
      <c r="AR1025" s="1488"/>
      <c r="AS1025" s="1488"/>
      <c r="AT1025" s="1488"/>
      <c r="AU1025" s="1488"/>
      <c r="AV1025" s="1488"/>
      <c r="AW1025" s="1488"/>
      <c r="AX1025" s="1488"/>
      <c r="AY1025" s="1488"/>
    </row>
    <row r="1026" spans="3:51" s="1502" customFormat="1">
      <c r="C1026" s="1498"/>
      <c r="D1026" s="1501"/>
      <c r="E1026" s="1500"/>
      <c r="F1026" s="814"/>
      <c r="G1026" s="1494"/>
      <c r="H1026" s="1493"/>
      <c r="I1026" s="1493"/>
      <c r="J1026" s="813"/>
      <c r="K1026" s="814"/>
      <c r="L1026" s="1499"/>
      <c r="M1026" s="1488"/>
      <c r="N1026" s="1488"/>
      <c r="O1026" s="1488"/>
      <c r="P1026" s="1488"/>
      <c r="Q1026" s="1489"/>
      <c r="R1026" s="1489"/>
      <c r="S1026" s="1489"/>
      <c r="T1026" s="1489"/>
      <c r="U1026" s="1489"/>
      <c r="V1026" s="1489"/>
      <c r="W1026" s="1489"/>
      <c r="X1026" s="1489"/>
      <c r="Y1026" s="1489"/>
      <c r="Z1026" s="1489"/>
      <c r="AA1026" s="1489"/>
      <c r="AB1026" s="1489"/>
      <c r="AC1026" s="1489"/>
      <c r="AD1026" s="1489"/>
      <c r="AE1026" s="1489"/>
      <c r="AF1026" s="1489"/>
      <c r="AG1026" s="1489"/>
      <c r="AH1026" s="1489"/>
      <c r="AI1026" s="1489"/>
      <c r="AJ1026" s="1489"/>
      <c r="AK1026" s="1489"/>
      <c r="AL1026" s="1489"/>
      <c r="AM1026" s="1489"/>
      <c r="AN1026" s="1489"/>
      <c r="AO1026" s="1489"/>
      <c r="AP1026" s="1489"/>
      <c r="AQ1026" s="1489"/>
      <c r="AR1026" s="1488"/>
      <c r="AS1026" s="1488"/>
      <c r="AT1026" s="1488"/>
      <c r="AU1026" s="1488"/>
      <c r="AV1026" s="1488"/>
      <c r="AW1026" s="1488"/>
      <c r="AX1026" s="1488"/>
      <c r="AY1026" s="1488"/>
    </row>
    <row r="1027" spans="3:51" s="1502" customFormat="1">
      <c r="C1027" s="1498"/>
      <c r="D1027" s="1501"/>
      <c r="E1027" s="1500"/>
      <c r="F1027" s="814"/>
      <c r="G1027" s="1494"/>
      <c r="H1027" s="1493"/>
      <c r="I1027" s="1493"/>
      <c r="J1027" s="813"/>
      <c r="K1027" s="814"/>
      <c r="L1027" s="1499"/>
      <c r="M1027" s="1488"/>
      <c r="N1027" s="1488"/>
      <c r="O1027" s="1488"/>
      <c r="P1027" s="1488"/>
      <c r="Q1027" s="1489"/>
      <c r="R1027" s="1489"/>
      <c r="S1027" s="1489"/>
      <c r="T1027" s="1489"/>
      <c r="U1027" s="1489"/>
      <c r="V1027" s="1489"/>
      <c r="W1027" s="1489"/>
      <c r="X1027" s="1489"/>
      <c r="Y1027" s="1489"/>
      <c r="Z1027" s="1489"/>
      <c r="AA1027" s="1489"/>
      <c r="AB1027" s="1489"/>
      <c r="AC1027" s="1489"/>
      <c r="AD1027" s="1489"/>
      <c r="AE1027" s="1489"/>
      <c r="AF1027" s="1489"/>
      <c r="AG1027" s="1489"/>
      <c r="AH1027" s="1489"/>
      <c r="AI1027" s="1489"/>
      <c r="AJ1027" s="1489"/>
      <c r="AK1027" s="1489"/>
      <c r="AL1027" s="1489"/>
      <c r="AM1027" s="1489"/>
      <c r="AN1027" s="1489"/>
      <c r="AO1027" s="1489"/>
      <c r="AP1027" s="1489"/>
      <c r="AQ1027" s="1489"/>
      <c r="AR1027" s="1488"/>
      <c r="AS1027" s="1488"/>
      <c r="AT1027" s="1488"/>
      <c r="AU1027" s="1488"/>
      <c r="AV1027" s="1488"/>
      <c r="AW1027" s="1488"/>
      <c r="AX1027" s="1488"/>
      <c r="AY1027" s="1488"/>
    </row>
    <row r="1028" spans="3:51" s="1502" customFormat="1">
      <c r="C1028" s="1498"/>
      <c r="D1028" s="1501"/>
      <c r="E1028" s="1500"/>
      <c r="F1028" s="814"/>
      <c r="G1028" s="1494"/>
      <c r="H1028" s="1493"/>
      <c r="I1028" s="1493"/>
      <c r="J1028" s="813"/>
      <c r="K1028" s="814"/>
      <c r="L1028" s="1499"/>
      <c r="M1028" s="1488"/>
      <c r="N1028" s="1488"/>
      <c r="O1028" s="1488"/>
      <c r="P1028" s="1488"/>
      <c r="Q1028" s="1489"/>
      <c r="R1028" s="1489"/>
      <c r="S1028" s="1489"/>
      <c r="T1028" s="1489"/>
      <c r="U1028" s="1489"/>
      <c r="V1028" s="1489"/>
      <c r="W1028" s="1489"/>
      <c r="X1028" s="1489"/>
      <c r="Y1028" s="1489"/>
      <c r="Z1028" s="1489"/>
      <c r="AA1028" s="1489"/>
      <c r="AB1028" s="1489"/>
      <c r="AC1028" s="1489"/>
      <c r="AD1028" s="1489"/>
      <c r="AE1028" s="1489"/>
      <c r="AF1028" s="1489"/>
      <c r="AG1028" s="1489"/>
      <c r="AH1028" s="1489"/>
      <c r="AI1028" s="1489"/>
      <c r="AJ1028" s="1489"/>
      <c r="AK1028" s="1489"/>
      <c r="AL1028" s="1489"/>
      <c r="AM1028" s="1489"/>
      <c r="AN1028" s="1489"/>
      <c r="AO1028" s="1489"/>
      <c r="AP1028" s="1489"/>
      <c r="AQ1028" s="1489"/>
      <c r="AR1028" s="1488"/>
      <c r="AS1028" s="1488"/>
      <c r="AT1028" s="1488"/>
      <c r="AU1028" s="1488"/>
      <c r="AV1028" s="1488"/>
      <c r="AW1028" s="1488"/>
      <c r="AX1028" s="1488"/>
      <c r="AY1028" s="1488"/>
    </row>
    <row r="1029" spans="3:51" s="1502" customFormat="1">
      <c r="C1029" s="1498"/>
      <c r="D1029" s="1501"/>
      <c r="E1029" s="1500"/>
      <c r="F1029" s="814"/>
      <c r="G1029" s="1494"/>
      <c r="H1029" s="1493"/>
      <c r="I1029" s="1493"/>
      <c r="J1029" s="813"/>
      <c r="K1029" s="814"/>
      <c r="L1029" s="1499"/>
      <c r="M1029" s="1488"/>
      <c r="N1029" s="1488"/>
      <c r="O1029" s="1488"/>
      <c r="P1029" s="1488"/>
      <c r="Q1029" s="1489"/>
      <c r="R1029" s="1489"/>
      <c r="S1029" s="1489"/>
      <c r="T1029" s="1489"/>
      <c r="U1029" s="1489"/>
      <c r="V1029" s="1489"/>
      <c r="W1029" s="1489"/>
      <c r="X1029" s="1489"/>
      <c r="Y1029" s="1489"/>
      <c r="Z1029" s="1489"/>
      <c r="AA1029" s="1489"/>
      <c r="AB1029" s="1489"/>
      <c r="AC1029" s="1489"/>
      <c r="AD1029" s="1489"/>
      <c r="AE1029" s="1489"/>
      <c r="AF1029" s="1489"/>
      <c r="AG1029" s="1489"/>
      <c r="AH1029" s="1489"/>
      <c r="AI1029" s="1489"/>
      <c r="AJ1029" s="1489"/>
      <c r="AK1029" s="1489"/>
      <c r="AL1029" s="1489"/>
      <c r="AM1029" s="1489"/>
      <c r="AN1029" s="1489"/>
      <c r="AO1029" s="1489"/>
      <c r="AP1029" s="1489"/>
      <c r="AQ1029" s="1489"/>
      <c r="AR1029" s="1488"/>
      <c r="AS1029" s="1488"/>
      <c r="AT1029" s="1488"/>
      <c r="AU1029" s="1488"/>
      <c r="AV1029" s="1488"/>
      <c r="AW1029" s="1488"/>
      <c r="AX1029" s="1488"/>
      <c r="AY1029" s="1488"/>
    </row>
    <row r="1030" spans="3:51" s="1502" customFormat="1">
      <c r="C1030" s="1498"/>
      <c r="D1030" s="1501"/>
      <c r="E1030" s="1500"/>
      <c r="F1030" s="814"/>
      <c r="G1030" s="1494"/>
      <c r="H1030" s="1493"/>
      <c r="I1030" s="1493"/>
      <c r="J1030" s="813"/>
      <c r="K1030" s="814"/>
      <c r="L1030" s="1499"/>
      <c r="M1030" s="1488"/>
      <c r="N1030" s="1488"/>
      <c r="O1030" s="1488"/>
      <c r="P1030" s="1488"/>
      <c r="Q1030" s="1489"/>
      <c r="R1030" s="1489"/>
      <c r="S1030" s="1489"/>
      <c r="T1030" s="1489"/>
      <c r="U1030" s="1489"/>
      <c r="V1030" s="1489"/>
      <c r="W1030" s="1489"/>
      <c r="X1030" s="1489"/>
      <c r="Y1030" s="1489"/>
      <c r="Z1030" s="1489"/>
      <c r="AA1030" s="1489"/>
      <c r="AB1030" s="1489"/>
      <c r="AC1030" s="1489"/>
      <c r="AD1030" s="1489"/>
      <c r="AE1030" s="1489"/>
      <c r="AF1030" s="1489"/>
      <c r="AG1030" s="1489"/>
      <c r="AH1030" s="1489"/>
      <c r="AI1030" s="1489"/>
      <c r="AJ1030" s="1489"/>
      <c r="AK1030" s="1489"/>
      <c r="AL1030" s="1489"/>
      <c r="AM1030" s="1489"/>
      <c r="AN1030" s="1489"/>
      <c r="AO1030" s="1489"/>
      <c r="AP1030" s="1489"/>
      <c r="AQ1030" s="1489"/>
      <c r="AR1030" s="1488"/>
      <c r="AS1030" s="1488"/>
      <c r="AT1030" s="1488"/>
      <c r="AU1030" s="1488"/>
      <c r="AV1030" s="1488"/>
      <c r="AW1030" s="1488"/>
      <c r="AX1030" s="1488"/>
      <c r="AY1030" s="1488"/>
    </row>
    <row r="1031" spans="3:51" s="1502" customFormat="1">
      <c r="C1031" s="1498"/>
      <c r="D1031" s="1501"/>
      <c r="E1031" s="1500"/>
      <c r="F1031" s="814"/>
      <c r="G1031" s="1494"/>
      <c r="H1031" s="1493"/>
      <c r="I1031" s="1493"/>
      <c r="J1031" s="813"/>
      <c r="K1031" s="814"/>
      <c r="L1031" s="1499"/>
      <c r="M1031" s="1488"/>
      <c r="N1031" s="1488"/>
      <c r="O1031" s="1488"/>
      <c r="P1031" s="1488"/>
      <c r="Q1031" s="1489"/>
      <c r="R1031" s="1489"/>
      <c r="S1031" s="1489"/>
      <c r="T1031" s="1489"/>
      <c r="U1031" s="1489"/>
      <c r="V1031" s="1489"/>
      <c r="W1031" s="1489"/>
      <c r="X1031" s="1489"/>
      <c r="Y1031" s="1489"/>
      <c r="Z1031" s="1489"/>
      <c r="AA1031" s="1489"/>
      <c r="AB1031" s="1489"/>
      <c r="AC1031" s="1489"/>
      <c r="AD1031" s="1489"/>
      <c r="AE1031" s="1489"/>
      <c r="AF1031" s="1489"/>
      <c r="AG1031" s="1489"/>
      <c r="AH1031" s="1489"/>
      <c r="AI1031" s="1489"/>
      <c r="AJ1031" s="1489"/>
      <c r="AK1031" s="1489"/>
      <c r="AL1031" s="1489"/>
      <c r="AM1031" s="1489"/>
      <c r="AN1031" s="1489"/>
      <c r="AO1031" s="1489"/>
      <c r="AP1031" s="1489"/>
      <c r="AQ1031" s="1489"/>
      <c r="AR1031" s="1488"/>
      <c r="AS1031" s="1488"/>
      <c r="AT1031" s="1488"/>
      <c r="AU1031" s="1488"/>
      <c r="AV1031" s="1488"/>
      <c r="AW1031" s="1488"/>
      <c r="AX1031" s="1488"/>
      <c r="AY1031" s="1488"/>
    </row>
    <row r="1032" spans="3:51" s="1502" customFormat="1">
      <c r="C1032" s="1498"/>
      <c r="D1032" s="1501"/>
      <c r="E1032" s="1500"/>
      <c r="F1032" s="814"/>
      <c r="G1032" s="1494"/>
      <c r="H1032" s="1493"/>
      <c r="I1032" s="1493"/>
      <c r="J1032" s="813"/>
      <c r="K1032" s="814"/>
      <c r="L1032" s="1499"/>
      <c r="M1032" s="1488"/>
      <c r="N1032" s="1488"/>
      <c r="O1032" s="1488"/>
      <c r="P1032" s="1488"/>
      <c r="Q1032" s="1489"/>
      <c r="R1032" s="1489"/>
      <c r="S1032" s="1489"/>
      <c r="T1032" s="1489"/>
      <c r="U1032" s="1489"/>
      <c r="V1032" s="1489"/>
      <c r="W1032" s="1489"/>
      <c r="X1032" s="1489"/>
      <c r="Y1032" s="1489"/>
      <c r="Z1032" s="1489"/>
      <c r="AA1032" s="1489"/>
      <c r="AB1032" s="1489"/>
      <c r="AC1032" s="1489"/>
      <c r="AD1032" s="1489"/>
      <c r="AE1032" s="1489"/>
      <c r="AF1032" s="1489"/>
      <c r="AG1032" s="1489"/>
      <c r="AH1032" s="1489"/>
      <c r="AI1032" s="1489"/>
      <c r="AJ1032" s="1489"/>
      <c r="AK1032" s="1489"/>
      <c r="AL1032" s="1489"/>
      <c r="AM1032" s="1489"/>
      <c r="AN1032" s="1489"/>
      <c r="AO1032" s="1489"/>
      <c r="AP1032" s="1489"/>
      <c r="AQ1032" s="1489"/>
      <c r="AR1032" s="1488"/>
      <c r="AS1032" s="1488"/>
      <c r="AT1032" s="1488"/>
      <c r="AU1032" s="1488"/>
      <c r="AV1032" s="1488"/>
      <c r="AW1032" s="1488"/>
      <c r="AX1032" s="1488"/>
      <c r="AY1032" s="1488"/>
    </row>
    <row r="1033" spans="3:51" s="1502" customFormat="1">
      <c r="C1033" s="1498"/>
      <c r="D1033" s="1501"/>
      <c r="E1033" s="1500"/>
      <c r="F1033" s="814"/>
      <c r="G1033" s="1494"/>
      <c r="H1033" s="1493"/>
      <c r="I1033" s="1493"/>
      <c r="J1033" s="813"/>
      <c r="K1033" s="814"/>
      <c r="L1033" s="1499"/>
      <c r="M1033" s="1488"/>
      <c r="N1033" s="1488"/>
      <c r="O1033" s="1488"/>
      <c r="P1033" s="1488"/>
      <c r="Q1033" s="1489"/>
      <c r="R1033" s="1489"/>
      <c r="S1033" s="1489"/>
      <c r="T1033" s="1489"/>
      <c r="U1033" s="1489"/>
      <c r="V1033" s="1489"/>
      <c r="W1033" s="1489"/>
      <c r="X1033" s="1489"/>
      <c r="Y1033" s="1489"/>
      <c r="Z1033" s="1489"/>
      <c r="AA1033" s="1489"/>
      <c r="AB1033" s="1489"/>
      <c r="AC1033" s="1489"/>
      <c r="AD1033" s="1489"/>
      <c r="AE1033" s="1489"/>
      <c r="AF1033" s="1489"/>
      <c r="AG1033" s="1489"/>
      <c r="AH1033" s="1489"/>
      <c r="AI1033" s="1489"/>
      <c r="AJ1033" s="1489"/>
      <c r="AK1033" s="1489"/>
      <c r="AL1033" s="1489"/>
      <c r="AM1033" s="1489"/>
      <c r="AN1033" s="1489"/>
      <c r="AO1033" s="1489"/>
      <c r="AP1033" s="1489"/>
      <c r="AQ1033" s="1489"/>
      <c r="AR1033" s="1488"/>
      <c r="AS1033" s="1488"/>
      <c r="AT1033" s="1488"/>
      <c r="AU1033" s="1488"/>
      <c r="AV1033" s="1488"/>
      <c r="AW1033" s="1488"/>
      <c r="AX1033" s="1488"/>
      <c r="AY1033" s="1488"/>
    </row>
    <row r="1034" spans="3:51" s="1502" customFormat="1">
      <c r="C1034" s="1498"/>
      <c r="D1034" s="1501"/>
      <c r="E1034" s="1500"/>
      <c r="F1034" s="814"/>
      <c r="G1034" s="1494"/>
      <c r="H1034" s="1493"/>
      <c r="I1034" s="1493"/>
      <c r="J1034" s="813"/>
      <c r="K1034" s="814"/>
      <c r="L1034" s="1499"/>
      <c r="M1034" s="1488"/>
      <c r="N1034" s="1488"/>
      <c r="O1034" s="1488"/>
      <c r="P1034" s="1488"/>
      <c r="Q1034" s="1489"/>
      <c r="R1034" s="1489"/>
      <c r="S1034" s="1489"/>
      <c r="T1034" s="1489"/>
      <c r="U1034" s="1489"/>
      <c r="V1034" s="1489"/>
      <c r="W1034" s="1489"/>
      <c r="X1034" s="1489"/>
      <c r="Y1034" s="1489"/>
      <c r="Z1034" s="1489"/>
      <c r="AA1034" s="1489"/>
      <c r="AB1034" s="1489"/>
      <c r="AC1034" s="1489"/>
      <c r="AD1034" s="1489"/>
      <c r="AE1034" s="1489"/>
      <c r="AF1034" s="1489"/>
      <c r="AG1034" s="1489"/>
      <c r="AH1034" s="1489"/>
      <c r="AI1034" s="1489"/>
      <c r="AJ1034" s="1489"/>
      <c r="AK1034" s="1489"/>
      <c r="AL1034" s="1489"/>
      <c r="AM1034" s="1489"/>
      <c r="AN1034" s="1489"/>
      <c r="AO1034" s="1489"/>
      <c r="AP1034" s="1489"/>
      <c r="AQ1034" s="1489"/>
      <c r="AR1034" s="1488"/>
      <c r="AS1034" s="1488"/>
      <c r="AT1034" s="1488"/>
      <c r="AU1034" s="1488"/>
      <c r="AV1034" s="1488"/>
      <c r="AW1034" s="1488"/>
      <c r="AX1034" s="1488"/>
      <c r="AY1034" s="1488"/>
    </row>
    <row r="1035" spans="3:51" s="1502" customFormat="1">
      <c r="C1035" s="1498"/>
      <c r="D1035" s="1501"/>
      <c r="E1035" s="1500"/>
      <c r="F1035" s="814"/>
      <c r="G1035" s="1494"/>
      <c r="H1035" s="1493"/>
      <c r="I1035" s="1493"/>
      <c r="J1035" s="813"/>
      <c r="K1035" s="814"/>
      <c r="L1035" s="1499"/>
      <c r="M1035" s="1488"/>
      <c r="N1035" s="1488"/>
      <c r="O1035" s="1488"/>
      <c r="P1035" s="1488"/>
      <c r="Q1035" s="1489"/>
      <c r="R1035" s="1489"/>
      <c r="S1035" s="1489"/>
      <c r="T1035" s="1489"/>
      <c r="U1035" s="1489"/>
      <c r="V1035" s="1489"/>
      <c r="W1035" s="1489"/>
      <c r="X1035" s="1489"/>
      <c r="Y1035" s="1489"/>
      <c r="Z1035" s="1489"/>
      <c r="AA1035" s="1489"/>
      <c r="AB1035" s="1489"/>
      <c r="AC1035" s="1489"/>
      <c r="AD1035" s="1489"/>
      <c r="AE1035" s="1489"/>
      <c r="AF1035" s="1489"/>
      <c r="AG1035" s="1489"/>
      <c r="AH1035" s="1489"/>
      <c r="AI1035" s="1489"/>
      <c r="AJ1035" s="1489"/>
      <c r="AK1035" s="1489"/>
      <c r="AL1035" s="1489"/>
      <c r="AM1035" s="1489"/>
      <c r="AN1035" s="1489"/>
      <c r="AO1035" s="1489"/>
      <c r="AP1035" s="1489"/>
      <c r="AQ1035" s="1489"/>
      <c r="AR1035" s="1488"/>
      <c r="AS1035" s="1488"/>
      <c r="AT1035" s="1488"/>
      <c r="AU1035" s="1488"/>
      <c r="AV1035" s="1488"/>
      <c r="AW1035" s="1488"/>
      <c r="AX1035" s="1488"/>
      <c r="AY1035" s="1488"/>
    </row>
    <row r="1036" spans="3:51" s="1502" customFormat="1">
      <c r="C1036" s="1498"/>
      <c r="D1036" s="1501"/>
      <c r="E1036" s="1500"/>
      <c r="F1036" s="814"/>
      <c r="G1036" s="1494"/>
      <c r="H1036" s="1493"/>
      <c r="I1036" s="1493"/>
      <c r="J1036" s="813"/>
      <c r="K1036" s="814"/>
      <c r="L1036" s="1499"/>
      <c r="M1036" s="1488"/>
      <c r="N1036" s="1488"/>
      <c r="O1036" s="1488"/>
      <c r="P1036" s="1488"/>
      <c r="Q1036" s="1489"/>
      <c r="R1036" s="1489"/>
      <c r="S1036" s="1489"/>
      <c r="T1036" s="1489"/>
      <c r="U1036" s="1489"/>
      <c r="V1036" s="1489"/>
      <c r="W1036" s="1489"/>
      <c r="X1036" s="1489"/>
      <c r="Y1036" s="1489"/>
      <c r="Z1036" s="1489"/>
      <c r="AA1036" s="1489"/>
      <c r="AB1036" s="1489"/>
      <c r="AC1036" s="1489"/>
      <c r="AD1036" s="1489"/>
      <c r="AE1036" s="1489"/>
      <c r="AF1036" s="1489"/>
      <c r="AG1036" s="1489"/>
      <c r="AH1036" s="1489"/>
      <c r="AI1036" s="1489"/>
      <c r="AJ1036" s="1489"/>
      <c r="AK1036" s="1489"/>
      <c r="AL1036" s="1489"/>
      <c r="AM1036" s="1489"/>
      <c r="AN1036" s="1489"/>
      <c r="AO1036" s="1489"/>
      <c r="AP1036" s="1489"/>
      <c r="AQ1036" s="1489"/>
      <c r="AR1036" s="1488"/>
      <c r="AS1036" s="1488"/>
      <c r="AT1036" s="1488"/>
      <c r="AU1036" s="1488"/>
      <c r="AV1036" s="1488"/>
      <c r="AW1036" s="1488"/>
      <c r="AX1036" s="1488"/>
      <c r="AY1036" s="1488"/>
    </row>
    <row r="1037" spans="3:51" s="1502" customFormat="1">
      <c r="C1037" s="1498"/>
      <c r="D1037" s="1501"/>
      <c r="E1037" s="1500"/>
      <c r="F1037" s="814"/>
      <c r="G1037" s="1494"/>
      <c r="H1037" s="1493"/>
      <c r="I1037" s="1493"/>
      <c r="J1037" s="813"/>
      <c r="K1037" s="814"/>
      <c r="L1037" s="1499"/>
      <c r="M1037" s="1488"/>
      <c r="N1037" s="1488"/>
      <c r="O1037" s="1488"/>
      <c r="P1037" s="1488"/>
      <c r="Q1037" s="1489"/>
      <c r="R1037" s="1489"/>
      <c r="S1037" s="1489"/>
      <c r="T1037" s="1489"/>
      <c r="U1037" s="1489"/>
      <c r="V1037" s="1489"/>
      <c r="W1037" s="1489"/>
      <c r="X1037" s="1489"/>
      <c r="Y1037" s="1489"/>
      <c r="Z1037" s="1489"/>
      <c r="AA1037" s="1489"/>
      <c r="AB1037" s="1489"/>
      <c r="AC1037" s="1489"/>
      <c r="AD1037" s="1489"/>
      <c r="AE1037" s="1489"/>
      <c r="AF1037" s="1489"/>
      <c r="AG1037" s="1489"/>
      <c r="AH1037" s="1489"/>
      <c r="AI1037" s="1489"/>
      <c r="AJ1037" s="1489"/>
      <c r="AK1037" s="1489"/>
      <c r="AL1037" s="1489"/>
      <c r="AM1037" s="1489"/>
      <c r="AN1037" s="1489"/>
      <c r="AO1037" s="1489"/>
      <c r="AP1037" s="1489"/>
      <c r="AQ1037" s="1489"/>
      <c r="AR1037" s="1488"/>
      <c r="AS1037" s="1488"/>
      <c r="AT1037" s="1488"/>
      <c r="AU1037" s="1488"/>
      <c r="AV1037" s="1488"/>
      <c r="AW1037" s="1488"/>
      <c r="AX1037" s="1488"/>
      <c r="AY1037" s="1488"/>
    </row>
    <row r="1038" spans="3:51" s="1502" customFormat="1">
      <c r="C1038" s="1498"/>
      <c r="D1038" s="1501"/>
      <c r="E1038" s="1500"/>
      <c r="F1038" s="814"/>
      <c r="G1038" s="1494"/>
      <c r="H1038" s="1493"/>
      <c r="I1038" s="1493"/>
      <c r="J1038" s="813"/>
      <c r="K1038" s="814"/>
      <c r="L1038" s="1499"/>
      <c r="M1038" s="1488"/>
      <c r="N1038" s="1488"/>
      <c r="O1038" s="1488"/>
      <c r="P1038" s="1488"/>
      <c r="Q1038" s="1489"/>
      <c r="R1038" s="1489"/>
      <c r="S1038" s="1489"/>
      <c r="T1038" s="1489"/>
      <c r="U1038" s="1489"/>
      <c r="V1038" s="1489"/>
      <c r="W1038" s="1489"/>
      <c r="X1038" s="1489"/>
      <c r="Y1038" s="1489"/>
      <c r="Z1038" s="1489"/>
      <c r="AA1038" s="1489"/>
      <c r="AB1038" s="1489"/>
      <c r="AC1038" s="1489"/>
      <c r="AD1038" s="1489"/>
      <c r="AE1038" s="1489"/>
      <c r="AF1038" s="1489"/>
      <c r="AG1038" s="1489"/>
      <c r="AH1038" s="1489"/>
      <c r="AI1038" s="1489"/>
      <c r="AJ1038" s="1489"/>
      <c r="AK1038" s="1489"/>
      <c r="AL1038" s="1489"/>
      <c r="AM1038" s="1489"/>
      <c r="AN1038" s="1489"/>
      <c r="AO1038" s="1489"/>
      <c r="AP1038" s="1489"/>
      <c r="AQ1038" s="1489"/>
      <c r="AR1038" s="1488"/>
      <c r="AS1038" s="1488"/>
      <c r="AT1038" s="1488"/>
      <c r="AU1038" s="1488"/>
      <c r="AV1038" s="1488"/>
      <c r="AW1038" s="1488"/>
      <c r="AX1038" s="1488"/>
      <c r="AY1038" s="1488"/>
    </row>
    <row r="1039" spans="3:51" s="1502" customFormat="1">
      <c r="C1039" s="1498"/>
      <c r="D1039" s="1501"/>
      <c r="E1039" s="1500"/>
      <c r="F1039" s="814"/>
      <c r="G1039" s="1494"/>
      <c r="H1039" s="1493"/>
      <c r="I1039" s="1493"/>
      <c r="J1039" s="813"/>
      <c r="K1039" s="814"/>
      <c r="L1039" s="1499"/>
      <c r="M1039" s="1488"/>
      <c r="N1039" s="1488"/>
      <c r="O1039" s="1488"/>
      <c r="P1039" s="1488"/>
      <c r="Q1039" s="1489"/>
      <c r="R1039" s="1489"/>
      <c r="S1039" s="1489"/>
      <c r="T1039" s="1489"/>
      <c r="U1039" s="1489"/>
      <c r="V1039" s="1489"/>
      <c r="W1039" s="1489"/>
      <c r="X1039" s="1489"/>
      <c r="Y1039" s="1489"/>
      <c r="Z1039" s="1489"/>
      <c r="AA1039" s="1489"/>
      <c r="AB1039" s="1489"/>
      <c r="AC1039" s="1489"/>
      <c r="AD1039" s="1489"/>
      <c r="AE1039" s="1489"/>
      <c r="AF1039" s="1489"/>
      <c r="AG1039" s="1489"/>
      <c r="AH1039" s="1489"/>
      <c r="AI1039" s="1489"/>
      <c r="AJ1039" s="1489"/>
      <c r="AK1039" s="1489"/>
      <c r="AL1039" s="1489"/>
      <c r="AM1039" s="1489"/>
      <c r="AN1039" s="1489"/>
      <c r="AO1039" s="1489"/>
      <c r="AP1039" s="1489"/>
      <c r="AQ1039" s="1489"/>
      <c r="AR1039" s="1488"/>
      <c r="AS1039" s="1488"/>
      <c r="AT1039" s="1488"/>
      <c r="AU1039" s="1488"/>
      <c r="AV1039" s="1488"/>
      <c r="AW1039" s="1488"/>
      <c r="AX1039" s="1488"/>
      <c r="AY1039" s="1488"/>
    </row>
    <row r="1040" spans="3:51" s="1502" customFormat="1">
      <c r="C1040" s="1498"/>
      <c r="D1040" s="1501"/>
      <c r="E1040" s="1500"/>
      <c r="F1040" s="814"/>
      <c r="G1040" s="1494"/>
      <c r="H1040" s="1493"/>
      <c r="I1040" s="1493"/>
      <c r="J1040" s="813"/>
      <c r="K1040" s="814"/>
      <c r="L1040" s="1499"/>
      <c r="M1040" s="1488"/>
      <c r="N1040" s="1488"/>
      <c r="O1040" s="1488"/>
      <c r="P1040" s="1488"/>
      <c r="Q1040" s="1489"/>
      <c r="R1040" s="1489"/>
      <c r="S1040" s="1489"/>
      <c r="T1040" s="1489"/>
      <c r="U1040" s="1489"/>
      <c r="V1040" s="1489"/>
      <c r="W1040" s="1489"/>
      <c r="X1040" s="1489"/>
      <c r="Y1040" s="1489"/>
      <c r="Z1040" s="1489"/>
      <c r="AA1040" s="1489"/>
      <c r="AB1040" s="1489"/>
      <c r="AC1040" s="1489"/>
      <c r="AD1040" s="1489"/>
      <c r="AE1040" s="1489"/>
      <c r="AF1040" s="1489"/>
      <c r="AG1040" s="1489"/>
      <c r="AH1040" s="1489"/>
      <c r="AI1040" s="1489"/>
      <c r="AJ1040" s="1489"/>
      <c r="AK1040" s="1489"/>
      <c r="AL1040" s="1489"/>
      <c r="AM1040" s="1489"/>
      <c r="AN1040" s="1489"/>
      <c r="AO1040" s="1489"/>
      <c r="AP1040" s="1489"/>
      <c r="AQ1040" s="1489"/>
      <c r="AR1040" s="1488"/>
      <c r="AS1040" s="1488"/>
      <c r="AT1040" s="1488"/>
      <c r="AU1040" s="1488"/>
      <c r="AV1040" s="1488"/>
      <c r="AW1040" s="1488"/>
      <c r="AX1040" s="1488"/>
      <c r="AY1040" s="1488"/>
    </row>
    <row r="1041" spans="3:51" s="1502" customFormat="1">
      <c r="C1041" s="1498"/>
      <c r="D1041" s="1501"/>
      <c r="E1041" s="1500"/>
      <c r="F1041" s="814"/>
      <c r="G1041" s="1494"/>
      <c r="H1041" s="1493"/>
      <c r="I1041" s="1493"/>
      <c r="J1041" s="813"/>
      <c r="K1041" s="814"/>
      <c r="L1041" s="1499"/>
      <c r="M1041" s="1488"/>
      <c r="N1041" s="1488"/>
      <c r="O1041" s="1488"/>
      <c r="P1041" s="1488"/>
      <c r="Q1041" s="1489"/>
      <c r="R1041" s="1489"/>
      <c r="S1041" s="1489"/>
      <c r="T1041" s="1489"/>
      <c r="U1041" s="1489"/>
      <c r="V1041" s="1489"/>
      <c r="W1041" s="1489"/>
      <c r="X1041" s="1489"/>
      <c r="Y1041" s="1489"/>
      <c r="Z1041" s="1489"/>
      <c r="AA1041" s="1489"/>
      <c r="AB1041" s="1489"/>
      <c r="AC1041" s="1489"/>
      <c r="AD1041" s="1489"/>
      <c r="AE1041" s="1489"/>
      <c r="AF1041" s="1489"/>
      <c r="AG1041" s="1489"/>
      <c r="AH1041" s="1489"/>
      <c r="AI1041" s="1489"/>
      <c r="AJ1041" s="1489"/>
      <c r="AK1041" s="1489"/>
      <c r="AL1041" s="1489"/>
      <c r="AM1041" s="1489"/>
      <c r="AN1041" s="1489"/>
      <c r="AO1041" s="1489"/>
      <c r="AP1041" s="1489"/>
      <c r="AQ1041" s="1489"/>
      <c r="AR1041" s="1488"/>
      <c r="AS1041" s="1488"/>
      <c r="AT1041" s="1488"/>
      <c r="AU1041" s="1488"/>
      <c r="AV1041" s="1488"/>
      <c r="AW1041" s="1488"/>
      <c r="AX1041" s="1488"/>
      <c r="AY1041" s="1488"/>
    </row>
    <row r="1042" spans="3:51" s="1502" customFormat="1">
      <c r="C1042" s="1498"/>
      <c r="D1042" s="1501"/>
      <c r="E1042" s="1500"/>
      <c r="F1042" s="814"/>
      <c r="G1042" s="1494"/>
      <c r="H1042" s="1493"/>
      <c r="I1042" s="1493"/>
      <c r="J1042" s="813"/>
      <c r="K1042" s="814"/>
      <c r="L1042" s="1499"/>
      <c r="M1042" s="1488"/>
      <c r="N1042" s="1488"/>
      <c r="O1042" s="1488"/>
      <c r="P1042" s="1488"/>
      <c r="Q1042" s="1489"/>
      <c r="R1042" s="1489"/>
      <c r="S1042" s="1489"/>
      <c r="T1042" s="1489"/>
      <c r="U1042" s="1489"/>
      <c r="V1042" s="1489"/>
      <c r="W1042" s="1489"/>
      <c r="X1042" s="1489"/>
      <c r="Y1042" s="1489"/>
      <c r="Z1042" s="1489"/>
      <c r="AA1042" s="1489"/>
      <c r="AB1042" s="1489"/>
      <c r="AC1042" s="1489"/>
      <c r="AD1042" s="1489"/>
      <c r="AE1042" s="1489"/>
      <c r="AF1042" s="1489"/>
      <c r="AG1042" s="1489"/>
      <c r="AH1042" s="1489"/>
      <c r="AI1042" s="1489"/>
      <c r="AJ1042" s="1489"/>
      <c r="AK1042" s="1489"/>
      <c r="AL1042" s="1489"/>
      <c r="AM1042" s="1489"/>
      <c r="AN1042" s="1489"/>
      <c r="AO1042" s="1489"/>
      <c r="AP1042" s="1489"/>
      <c r="AQ1042" s="1489"/>
      <c r="AR1042" s="1488"/>
      <c r="AS1042" s="1488"/>
      <c r="AT1042" s="1488"/>
      <c r="AU1042" s="1488"/>
      <c r="AV1042" s="1488"/>
      <c r="AW1042" s="1488"/>
      <c r="AX1042" s="1488"/>
      <c r="AY1042" s="1488"/>
    </row>
    <row r="1043" spans="3:51" s="1502" customFormat="1">
      <c r="C1043" s="1498"/>
      <c r="D1043" s="1501"/>
      <c r="E1043" s="1500"/>
      <c r="F1043" s="814"/>
      <c r="G1043" s="1494"/>
      <c r="H1043" s="1493"/>
      <c r="I1043" s="1493"/>
      <c r="J1043" s="813"/>
      <c r="K1043" s="814"/>
      <c r="L1043" s="1499"/>
      <c r="M1043" s="1488"/>
      <c r="N1043" s="1488"/>
      <c r="O1043" s="1488"/>
      <c r="P1043" s="1488"/>
      <c r="Q1043" s="1489"/>
      <c r="R1043" s="1489"/>
      <c r="S1043" s="1489"/>
      <c r="T1043" s="1489"/>
      <c r="U1043" s="1489"/>
      <c r="V1043" s="1489"/>
      <c r="W1043" s="1489"/>
      <c r="X1043" s="1489"/>
      <c r="Y1043" s="1489"/>
      <c r="Z1043" s="1489"/>
      <c r="AA1043" s="1489"/>
      <c r="AB1043" s="1489"/>
      <c r="AC1043" s="1489"/>
      <c r="AD1043" s="1489"/>
      <c r="AE1043" s="1489"/>
      <c r="AF1043" s="1489"/>
      <c r="AG1043" s="1489"/>
      <c r="AH1043" s="1489"/>
      <c r="AI1043" s="1489"/>
      <c r="AJ1043" s="1489"/>
      <c r="AK1043" s="1489"/>
      <c r="AL1043" s="1489"/>
      <c r="AM1043" s="1489"/>
      <c r="AN1043" s="1489"/>
      <c r="AO1043" s="1489"/>
      <c r="AP1043" s="1489"/>
      <c r="AQ1043" s="1489"/>
      <c r="AR1043" s="1488"/>
      <c r="AS1043" s="1488"/>
      <c r="AT1043" s="1488"/>
      <c r="AU1043" s="1488"/>
      <c r="AV1043" s="1488"/>
      <c r="AW1043" s="1488"/>
      <c r="AX1043" s="1488"/>
      <c r="AY1043" s="1488"/>
    </row>
    <row r="1044" spans="3:51" s="1502" customFormat="1">
      <c r="C1044" s="1498"/>
      <c r="D1044" s="1501"/>
      <c r="E1044" s="1500"/>
      <c r="F1044" s="814"/>
      <c r="G1044" s="1494"/>
      <c r="H1044" s="1493"/>
      <c r="I1044" s="1493"/>
      <c r="J1044" s="813"/>
      <c r="K1044" s="814"/>
      <c r="L1044" s="1499"/>
      <c r="M1044" s="1488"/>
      <c r="N1044" s="1488"/>
      <c r="O1044" s="1488"/>
      <c r="P1044" s="1488"/>
      <c r="Q1044" s="1489"/>
      <c r="R1044" s="1489"/>
      <c r="S1044" s="1489"/>
      <c r="T1044" s="1489"/>
      <c r="U1044" s="1489"/>
      <c r="V1044" s="1489"/>
      <c r="W1044" s="1489"/>
      <c r="X1044" s="1489"/>
      <c r="Y1044" s="1489"/>
      <c r="Z1044" s="1489"/>
      <c r="AA1044" s="1489"/>
      <c r="AB1044" s="1489"/>
      <c r="AC1044" s="1489"/>
      <c r="AD1044" s="1489"/>
      <c r="AE1044" s="1489"/>
      <c r="AF1044" s="1489"/>
      <c r="AG1044" s="1489"/>
      <c r="AH1044" s="1489"/>
      <c r="AI1044" s="1489"/>
      <c r="AJ1044" s="1489"/>
      <c r="AK1044" s="1489"/>
      <c r="AL1044" s="1489"/>
      <c r="AM1044" s="1489"/>
      <c r="AN1044" s="1489"/>
      <c r="AO1044" s="1489"/>
      <c r="AP1044" s="1489"/>
      <c r="AQ1044" s="1489"/>
      <c r="AR1044" s="1488"/>
      <c r="AS1044" s="1488"/>
      <c r="AT1044" s="1488"/>
      <c r="AU1044" s="1488"/>
      <c r="AV1044" s="1488"/>
      <c r="AW1044" s="1488"/>
      <c r="AX1044" s="1488"/>
      <c r="AY1044" s="1488"/>
    </row>
    <row r="1045" spans="3:51" s="1502" customFormat="1">
      <c r="C1045" s="1498"/>
      <c r="D1045" s="1501"/>
      <c r="E1045" s="1500"/>
      <c r="F1045" s="814"/>
      <c r="G1045" s="1494"/>
      <c r="H1045" s="1493"/>
      <c r="I1045" s="1493"/>
      <c r="J1045" s="813"/>
      <c r="K1045" s="814"/>
      <c r="L1045" s="1499"/>
      <c r="M1045" s="1488"/>
      <c r="N1045" s="1488"/>
      <c r="O1045" s="1488"/>
      <c r="P1045" s="1488"/>
      <c r="Q1045" s="1489"/>
      <c r="R1045" s="1489"/>
      <c r="S1045" s="1489"/>
      <c r="T1045" s="1489"/>
      <c r="U1045" s="1489"/>
      <c r="V1045" s="1489"/>
      <c r="W1045" s="1489"/>
      <c r="X1045" s="1489"/>
      <c r="Y1045" s="1489"/>
      <c r="Z1045" s="1489"/>
      <c r="AA1045" s="1489"/>
      <c r="AB1045" s="1489"/>
      <c r="AC1045" s="1489"/>
      <c r="AD1045" s="1489"/>
      <c r="AE1045" s="1489"/>
      <c r="AF1045" s="1489"/>
      <c r="AG1045" s="1489"/>
      <c r="AH1045" s="1489"/>
      <c r="AI1045" s="1489"/>
      <c r="AJ1045" s="1489"/>
      <c r="AK1045" s="1489"/>
      <c r="AL1045" s="1489"/>
      <c r="AM1045" s="1489"/>
      <c r="AN1045" s="1489"/>
      <c r="AO1045" s="1489"/>
      <c r="AP1045" s="1489"/>
      <c r="AQ1045" s="1489"/>
      <c r="AR1045" s="1488"/>
      <c r="AS1045" s="1488"/>
      <c r="AT1045" s="1488"/>
      <c r="AU1045" s="1488"/>
      <c r="AV1045" s="1488"/>
      <c r="AW1045" s="1488"/>
      <c r="AX1045" s="1488"/>
      <c r="AY1045" s="1488"/>
    </row>
    <row r="1046" spans="3:51" s="1502" customFormat="1">
      <c r="C1046" s="1498"/>
      <c r="D1046" s="1501"/>
      <c r="E1046" s="1500"/>
      <c r="F1046" s="814"/>
      <c r="G1046" s="1494"/>
      <c r="H1046" s="1493"/>
      <c r="I1046" s="1493"/>
      <c r="J1046" s="813"/>
      <c r="K1046" s="814"/>
      <c r="L1046" s="1499"/>
      <c r="M1046" s="1488"/>
      <c r="N1046" s="1488"/>
      <c r="O1046" s="1488"/>
      <c r="P1046" s="1488"/>
      <c r="Q1046" s="1489"/>
      <c r="R1046" s="1489"/>
      <c r="S1046" s="1489"/>
      <c r="T1046" s="1489"/>
      <c r="U1046" s="1489"/>
      <c r="V1046" s="1489"/>
      <c r="W1046" s="1489"/>
      <c r="X1046" s="1489"/>
      <c r="Y1046" s="1489"/>
      <c r="Z1046" s="1489"/>
      <c r="AA1046" s="1489"/>
      <c r="AB1046" s="1489"/>
      <c r="AC1046" s="1489"/>
      <c r="AD1046" s="1489"/>
      <c r="AE1046" s="1489"/>
      <c r="AF1046" s="1489"/>
      <c r="AG1046" s="1489"/>
      <c r="AH1046" s="1489"/>
      <c r="AI1046" s="1489"/>
      <c r="AJ1046" s="1489"/>
      <c r="AK1046" s="1489"/>
      <c r="AL1046" s="1489"/>
      <c r="AM1046" s="1489"/>
      <c r="AN1046" s="1489"/>
      <c r="AO1046" s="1489"/>
      <c r="AP1046" s="1489"/>
      <c r="AQ1046" s="1489"/>
      <c r="AR1046" s="1488"/>
      <c r="AS1046" s="1488"/>
      <c r="AT1046" s="1488"/>
      <c r="AU1046" s="1488"/>
      <c r="AV1046" s="1488"/>
      <c r="AW1046" s="1488"/>
      <c r="AX1046" s="1488"/>
      <c r="AY1046" s="1488"/>
    </row>
    <row r="1047" spans="3:51" s="1502" customFormat="1">
      <c r="C1047" s="1498"/>
      <c r="D1047" s="1501"/>
      <c r="E1047" s="1500"/>
      <c r="F1047" s="814"/>
      <c r="G1047" s="1494"/>
      <c r="H1047" s="1493"/>
      <c r="I1047" s="1493"/>
      <c r="J1047" s="813"/>
      <c r="K1047" s="814"/>
      <c r="L1047" s="1499"/>
      <c r="M1047" s="1488"/>
      <c r="N1047" s="1488"/>
      <c r="O1047" s="1488"/>
      <c r="P1047" s="1488"/>
      <c r="Q1047" s="1489"/>
      <c r="R1047" s="1489"/>
      <c r="S1047" s="1489"/>
      <c r="T1047" s="1489"/>
      <c r="U1047" s="1489"/>
      <c r="V1047" s="1489"/>
      <c r="W1047" s="1489"/>
      <c r="X1047" s="1489"/>
      <c r="Y1047" s="1489"/>
      <c r="Z1047" s="1489"/>
      <c r="AA1047" s="1489"/>
      <c r="AB1047" s="1489"/>
      <c r="AC1047" s="1489"/>
      <c r="AD1047" s="1489"/>
      <c r="AE1047" s="1489"/>
      <c r="AF1047" s="1489"/>
      <c r="AG1047" s="1489"/>
      <c r="AH1047" s="1489"/>
      <c r="AI1047" s="1489"/>
      <c r="AJ1047" s="1489"/>
      <c r="AK1047" s="1489"/>
      <c r="AL1047" s="1489"/>
      <c r="AM1047" s="1489"/>
      <c r="AN1047" s="1489"/>
      <c r="AO1047" s="1489"/>
      <c r="AP1047" s="1489"/>
      <c r="AQ1047" s="1489"/>
      <c r="AR1047" s="1488"/>
      <c r="AS1047" s="1488"/>
      <c r="AT1047" s="1488"/>
      <c r="AU1047" s="1488"/>
      <c r="AV1047" s="1488"/>
      <c r="AW1047" s="1488"/>
      <c r="AX1047" s="1488"/>
      <c r="AY1047" s="1488"/>
    </row>
    <row r="1048" spans="3:51" s="1502" customFormat="1">
      <c r="C1048" s="1498"/>
      <c r="D1048" s="1501"/>
      <c r="E1048" s="1500"/>
      <c r="F1048" s="814"/>
      <c r="G1048" s="1494"/>
      <c r="H1048" s="1493"/>
      <c r="I1048" s="1493"/>
      <c r="J1048" s="813"/>
      <c r="K1048" s="814"/>
      <c r="L1048" s="1499"/>
      <c r="M1048" s="1488"/>
      <c r="N1048" s="1488"/>
      <c r="O1048" s="1488"/>
      <c r="P1048" s="1488"/>
      <c r="Q1048" s="1489"/>
      <c r="R1048" s="1489"/>
      <c r="S1048" s="1489"/>
      <c r="T1048" s="1489"/>
      <c r="U1048" s="1489"/>
      <c r="V1048" s="1489"/>
      <c r="W1048" s="1489"/>
      <c r="X1048" s="1489"/>
      <c r="Y1048" s="1489"/>
      <c r="Z1048" s="1489"/>
      <c r="AA1048" s="1489"/>
      <c r="AB1048" s="1489"/>
      <c r="AC1048" s="1489"/>
      <c r="AD1048" s="1489"/>
      <c r="AE1048" s="1489"/>
      <c r="AF1048" s="1489"/>
      <c r="AG1048" s="1489"/>
      <c r="AH1048" s="1489"/>
      <c r="AI1048" s="1489"/>
      <c r="AJ1048" s="1489"/>
      <c r="AK1048" s="1489"/>
      <c r="AL1048" s="1489"/>
      <c r="AM1048" s="1489"/>
      <c r="AN1048" s="1489"/>
      <c r="AO1048" s="1489"/>
      <c r="AP1048" s="1489"/>
      <c r="AQ1048" s="1489"/>
      <c r="AR1048" s="1488"/>
      <c r="AS1048" s="1488"/>
      <c r="AT1048" s="1488"/>
      <c r="AU1048" s="1488"/>
      <c r="AV1048" s="1488"/>
      <c r="AW1048" s="1488"/>
      <c r="AX1048" s="1488"/>
      <c r="AY1048" s="1488"/>
    </row>
    <row r="1049" spans="3:51" s="1502" customFormat="1">
      <c r="C1049" s="1498"/>
      <c r="D1049" s="1501"/>
      <c r="E1049" s="1500"/>
      <c r="F1049" s="814"/>
      <c r="G1049" s="1494"/>
      <c r="H1049" s="1493"/>
      <c r="I1049" s="1493"/>
      <c r="J1049" s="813"/>
      <c r="K1049" s="814"/>
      <c r="L1049" s="1499"/>
      <c r="M1049" s="1488"/>
      <c r="N1049" s="1488"/>
      <c r="O1049" s="1488"/>
      <c r="P1049" s="1488"/>
      <c r="Q1049" s="1489"/>
      <c r="R1049" s="1489"/>
      <c r="S1049" s="1489"/>
      <c r="T1049" s="1489"/>
      <c r="U1049" s="1489"/>
      <c r="V1049" s="1489"/>
      <c r="W1049" s="1489"/>
      <c r="X1049" s="1489"/>
      <c r="Y1049" s="1489"/>
      <c r="Z1049" s="1489"/>
      <c r="AA1049" s="1489"/>
      <c r="AB1049" s="1489"/>
      <c r="AC1049" s="1489"/>
      <c r="AD1049" s="1489"/>
      <c r="AE1049" s="1489"/>
      <c r="AF1049" s="1489"/>
      <c r="AG1049" s="1489"/>
      <c r="AH1049" s="1489"/>
      <c r="AI1049" s="1489"/>
      <c r="AJ1049" s="1489"/>
      <c r="AK1049" s="1489"/>
      <c r="AL1049" s="1489"/>
      <c r="AM1049" s="1489"/>
      <c r="AN1049" s="1489"/>
      <c r="AO1049" s="1489"/>
      <c r="AP1049" s="1489"/>
      <c r="AQ1049" s="1489"/>
      <c r="AR1049" s="1488"/>
      <c r="AS1049" s="1488"/>
      <c r="AT1049" s="1488"/>
      <c r="AU1049" s="1488"/>
      <c r="AV1049" s="1488"/>
      <c r="AW1049" s="1488"/>
      <c r="AX1049" s="1488"/>
      <c r="AY1049" s="1488"/>
    </row>
    <row r="1050" spans="3:51" s="1502" customFormat="1">
      <c r="C1050" s="1498"/>
      <c r="D1050" s="1501"/>
      <c r="E1050" s="1500"/>
      <c r="F1050" s="814"/>
      <c r="G1050" s="1494"/>
      <c r="H1050" s="1493"/>
      <c r="I1050" s="1493"/>
      <c r="J1050" s="813"/>
      <c r="K1050" s="814"/>
      <c r="L1050" s="1499"/>
      <c r="M1050" s="1488"/>
      <c r="N1050" s="1488"/>
      <c r="O1050" s="1488"/>
      <c r="P1050" s="1488"/>
      <c r="Q1050" s="1489"/>
      <c r="R1050" s="1489"/>
      <c r="S1050" s="1489"/>
      <c r="T1050" s="1489"/>
      <c r="U1050" s="1489"/>
      <c r="V1050" s="1489"/>
      <c r="W1050" s="1489"/>
      <c r="X1050" s="1489"/>
      <c r="Y1050" s="1489"/>
      <c r="Z1050" s="1489"/>
      <c r="AA1050" s="1489"/>
      <c r="AB1050" s="1489"/>
      <c r="AC1050" s="1489"/>
      <c r="AD1050" s="1489"/>
      <c r="AE1050" s="1489"/>
      <c r="AF1050" s="1489"/>
      <c r="AG1050" s="1489"/>
      <c r="AH1050" s="1489"/>
      <c r="AI1050" s="1489"/>
      <c r="AJ1050" s="1489"/>
      <c r="AK1050" s="1489"/>
      <c r="AL1050" s="1489"/>
      <c r="AM1050" s="1489"/>
      <c r="AN1050" s="1489"/>
      <c r="AO1050" s="1489"/>
      <c r="AP1050" s="1489"/>
      <c r="AQ1050" s="1489"/>
      <c r="AR1050" s="1488"/>
      <c r="AS1050" s="1488"/>
      <c r="AT1050" s="1488"/>
      <c r="AU1050" s="1488"/>
      <c r="AV1050" s="1488"/>
      <c r="AW1050" s="1488"/>
      <c r="AX1050" s="1488"/>
      <c r="AY1050" s="1488"/>
    </row>
    <row r="1051" spans="3:51" s="1502" customFormat="1">
      <c r="C1051" s="1498"/>
      <c r="D1051" s="1501"/>
      <c r="E1051" s="1500"/>
      <c r="F1051" s="814"/>
      <c r="G1051" s="1494"/>
      <c r="H1051" s="1493"/>
      <c r="I1051" s="1493"/>
      <c r="J1051" s="813"/>
      <c r="K1051" s="814"/>
      <c r="L1051" s="1499"/>
      <c r="M1051" s="1488"/>
      <c r="N1051" s="1488"/>
      <c r="O1051" s="1488"/>
      <c r="P1051" s="1488"/>
      <c r="Q1051" s="1489"/>
      <c r="R1051" s="1489"/>
      <c r="S1051" s="1489"/>
      <c r="T1051" s="1489"/>
      <c r="U1051" s="1489"/>
      <c r="V1051" s="1489"/>
      <c r="W1051" s="1489"/>
      <c r="X1051" s="1489"/>
      <c r="Y1051" s="1489"/>
      <c r="Z1051" s="1489"/>
      <c r="AA1051" s="1489"/>
      <c r="AB1051" s="1489"/>
      <c r="AC1051" s="1489"/>
      <c r="AD1051" s="1489"/>
      <c r="AE1051" s="1489"/>
      <c r="AF1051" s="1489"/>
      <c r="AG1051" s="1489"/>
      <c r="AH1051" s="1489"/>
      <c r="AI1051" s="1489"/>
      <c r="AJ1051" s="1489"/>
      <c r="AK1051" s="1489"/>
      <c r="AL1051" s="1489"/>
      <c r="AM1051" s="1489"/>
      <c r="AN1051" s="1489"/>
      <c r="AO1051" s="1489"/>
      <c r="AP1051" s="1489"/>
      <c r="AQ1051" s="1489"/>
      <c r="AR1051" s="1488"/>
      <c r="AS1051" s="1488"/>
      <c r="AT1051" s="1488"/>
      <c r="AU1051" s="1488"/>
      <c r="AV1051" s="1488"/>
      <c r="AW1051" s="1488"/>
      <c r="AX1051" s="1488"/>
      <c r="AY1051" s="1488"/>
    </row>
    <row r="1052" spans="3:51" s="1502" customFormat="1">
      <c r="C1052" s="1498"/>
      <c r="D1052" s="1501"/>
      <c r="E1052" s="1500"/>
      <c r="F1052" s="814"/>
      <c r="G1052" s="1494"/>
      <c r="H1052" s="1493"/>
      <c r="I1052" s="1493"/>
      <c r="J1052" s="813"/>
      <c r="K1052" s="814"/>
      <c r="L1052" s="1499"/>
      <c r="M1052" s="1488"/>
      <c r="N1052" s="1488"/>
      <c r="O1052" s="1488"/>
      <c r="P1052" s="1488"/>
      <c r="Q1052" s="1489"/>
      <c r="R1052" s="1489"/>
      <c r="S1052" s="1489"/>
      <c r="T1052" s="1489"/>
      <c r="U1052" s="1489"/>
      <c r="V1052" s="1489"/>
      <c r="W1052" s="1489"/>
      <c r="X1052" s="1489"/>
      <c r="Y1052" s="1489"/>
      <c r="Z1052" s="1489"/>
      <c r="AA1052" s="1489"/>
      <c r="AB1052" s="1489"/>
      <c r="AC1052" s="1489"/>
      <c r="AD1052" s="1489"/>
      <c r="AE1052" s="1489"/>
      <c r="AF1052" s="1489"/>
      <c r="AG1052" s="1489"/>
      <c r="AH1052" s="1489"/>
      <c r="AI1052" s="1489"/>
      <c r="AJ1052" s="1489"/>
      <c r="AK1052" s="1489"/>
      <c r="AL1052" s="1489"/>
      <c r="AM1052" s="1489"/>
      <c r="AN1052" s="1489"/>
      <c r="AO1052" s="1489"/>
      <c r="AP1052" s="1489"/>
      <c r="AQ1052" s="1489"/>
      <c r="AR1052" s="1488"/>
      <c r="AS1052" s="1488"/>
      <c r="AT1052" s="1488"/>
      <c r="AU1052" s="1488"/>
      <c r="AV1052" s="1488"/>
      <c r="AW1052" s="1488"/>
      <c r="AX1052" s="1488"/>
      <c r="AY1052" s="1488"/>
    </row>
    <row r="1053" spans="3:51" s="1502" customFormat="1">
      <c r="C1053" s="1498"/>
      <c r="D1053" s="1501"/>
      <c r="E1053" s="1500"/>
      <c r="F1053" s="814"/>
      <c r="G1053" s="1494"/>
      <c r="H1053" s="1493"/>
      <c r="I1053" s="1493"/>
      <c r="J1053" s="813"/>
      <c r="K1053" s="814"/>
      <c r="L1053" s="1499"/>
      <c r="M1053" s="1488"/>
      <c r="N1053" s="1488"/>
      <c r="O1053" s="1488"/>
      <c r="P1053" s="1488"/>
      <c r="Q1053" s="1489"/>
      <c r="R1053" s="1489"/>
      <c r="S1053" s="1489"/>
      <c r="T1053" s="1489"/>
      <c r="U1053" s="1489"/>
      <c r="V1053" s="1489"/>
      <c r="W1053" s="1489"/>
      <c r="X1053" s="1489"/>
      <c r="Y1053" s="1489"/>
      <c r="Z1053" s="1489"/>
      <c r="AA1053" s="1489"/>
      <c r="AB1053" s="1489"/>
      <c r="AC1053" s="1489"/>
      <c r="AD1053" s="1489"/>
      <c r="AE1053" s="1489"/>
      <c r="AF1053" s="1489"/>
      <c r="AG1053" s="1489"/>
      <c r="AH1053" s="1489"/>
      <c r="AI1053" s="1489"/>
      <c r="AJ1053" s="1489"/>
      <c r="AK1053" s="1489"/>
      <c r="AL1053" s="1489"/>
      <c r="AM1053" s="1489"/>
      <c r="AN1053" s="1489"/>
      <c r="AO1053" s="1489"/>
      <c r="AP1053" s="1489"/>
      <c r="AQ1053" s="1489"/>
      <c r="AR1053" s="1488"/>
      <c r="AS1053" s="1488"/>
      <c r="AT1053" s="1488"/>
      <c r="AU1053" s="1488"/>
      <c r="AV1053" s="1488"/>
      <c r="AW1053" s="1488"/>
      <c r="AX1053" s="1488"/>
      <c r="AY1053" s="1488"/>
    </row>
    <row r="1054" spans="3:51" s="1502" customFormat="1">
      <c r="C1054" s="1498"/>
      <c r="D1054" s="1501"/>
      <c r="E1054" s="1500"/>
      <c r="F1054" s="814"/>
      <c r="G1054" s="1494"/>
      <c r="H1054" s="1493"/>
      <c r="I1054" s="1493"/>
      <c r="J1054" s="813"/>
      <c r="K1054" s="814"/>
      <c r="L1054" s="1499"/>
      <c r="M1054" s="1488"/>
      <c r="N1054" s="1488"/>
      <c r="O1054" s="1488"/>
      <c r="P1054" s="1488"/>
      <c r="Q1054" s="1489"/>
      <c r="R1054" s="1489"/>
      <c r="S1054" s="1489"/>
      <c r="T1054" s="1489"/>
      <c r="U1054" s="1489"/>
      <c r="V1054" s="1489"/>
      <c r="W1054" s="1489"/>
      <c r="X1054" s="1489"/>
      <c r="Y1054" s="1489"/>
      <c r="Z1054" s="1489"/>
      <c r="AA1054" s="1489"/>
      <c r="AB1054" s="1489"/>
      <c r="AC1054" s="1489"/>
      <c r="AD1054" s="1489"/>
      <c r="AE1054" s="1489"/>
      <c r="AF1054" s="1489"/>
      <c r="AG1054" s="1489"/>
      <c r="AH1054" s="1489"/>
      <c r="AI1054" s="1489"/>
      <c r="AJ1054" s="1489"/>
      <c r="AK1054" s="1489"/>
      <c r="AL1054" s="1489"/>
      <c r="AM1054" s="1489"/>
      <c r="AN1054" s="1489"/>
      <c r="AO1054" s="1489"/>
      <c r="AP1054" s="1489"/>
      <c r="AQ1054" s="1489"/>
      <c r="AR1054" s="1488"/>
      <c r="AS1054" s="1488"/>
      <c r="AT1054" s="1488"/>
      <c r="AU1054" s="1488"/>
      <c r="AV1054" s="1488"/>
      <c r="AW1054" s="1488"/>
      <c r="AX1054" s="1488"/>
      <c r="AY1054" s="1488"/>
    </row>
    <row r="1055" spans="3:51" s="1502" customFormat="1">
      <c r="C1055" s="1498"/>
      <c r="D1055" s="1501"/>
      <c r="E1055" s="1500"/>
      <c r="F1055" s="814"/>
      <c r="G1055" s="1494"/>
      <c r="H1055" s="1493"/>
      <c r="I1055" s="1493"/>
      <c r="J1055" s="813"/>
      <c r="K1055" s="814"/>
      <c r="L1055" s="1499"/>
      <c r="M1055" s="1488"/>
      <c r="N1055" s="1488"/>
      <c r="O1055" s="1488"/>
      <c r="P1055" s="1488"/>
      <c r="Q1055" s="1489"/>
      <c r="R1055" s="1489"/>
      <c r="S1055" s="1489"/>
      <c r="T1055" s="1489"/>
      <c r="U1055" s="1489"/>
      <c r="V1055" s="1489"/>
      <c r="W1055" s="1489"/>
      <c r="X1055" s="1489"/>
      <c r="Y1055" s="1489"/>
      <c r="Z1055" s="1489"/>
      <c r="AA1055" s="1489"/>
      <c r="AB1055" s="1489"/>
      <c r="AC1055" s="1489"/>
      <c r="AD1055" s="1489"/>
      <c r="AE1055" s="1489"/>
      <c r="AF1055" s="1489"/>
      <c r="AG1055" s="1489"/>
      <c r="AH1055" s="1489"/>
      <c r="AI1055" s="1489"/>
      <c r="AJ1055" s="1489"/>
      <c r="AK1055" s="1489"/>
      <c r="AL1055" s="1489"/>
      <c r="AM1055" s="1489"/>
      <c r="AN1055" s="1489"/>
      <c r="AO1055" s="1489"/>
      <c r="AP1055" s="1489"/>
      <c r="AQ1055" s="1489"/>
      <c r="AR1055" s="1488"/>
      <c r="AS1055" s="1488"/>
      <c r="AT1055" s="1488"/>
      <c r="AU1055" s="1488"/>
      <c r="AV1055" s="1488"/>
      <c r="AW1055" s="1488"/>
      <c r="AX1055" s="1488"/>
      <c r="AY1055" s="1488"/>
    </row>
    <row r="1056" spans="3:51" s="1502" customFormat="1">
      <c r="C1056" s="1498"/>
      <c r="D1056" s="1501"/>
      <c r="E1056" s="1500"/>
      <c r="F1056" s="814"/>
      <c r="G1056" s="1494"/>
      <c r="H1056" s="1493"/>
      <c r="I1056" s="1493"/>
      <c r="J1056" s="813"/>
      <c r="K1056" s="814"/>
      <c r="L1056" s="1499"/>
      <c r="M1056" s="1488"/>
      <c r="N1056" s="1488"/>
      <c r="O1056" s="1488"/>
      <c r="P1056" s="1488"/>
      <c r="Q1056" s="1489"/>
      <c r="R1056" s="1489"/>
      <c r="S1056" s="1489"/>
      <c r="T1056" s="1489"/>
      <c r="U1056" s="1489"/>
      <c r="V1056" s="1489"/>
      <c r="W1056" s="1489"/>
      <c r="X1056" s="1489"/>
      <c r="Y1056" s="1489"/>
      <c r="Z1056" s="1489"/>
      <c r="AA1056" s="1489"/>
      <c r="AB1056" s="1489"/>
      <c r="AC1056" s="1489"/>
      <c r="AD1056" s="1489"/>
      <c r="AE1056" s="1489"/>
      <c r="AF1056" s="1489"/>
      <c r="AG1056" s="1489"/>
      <c r="AH1056" s="1489"/>
      <c r="AI1056" s="1489"/>
      <c r="AJ1056" s="1489"/>
      <c r="AK1056" s="1489"/>
      <c r="AL1056" s="1489"/>
      <c r="AM1056" s="1489"/>
      <c r="AN1056" s="1489"/>
      <c r="AO1056" s="1489"/>
      <c r="AP1056" s="1489"/>
      <c r="AQ1056" s="1489"/>
      <c r="AR1056" s="1488"/>
      <c r="AS1056" s="1488"/>
      <c r="AT1056" s="1488"/>
      <c r="AU1056" s="1488"/>
      <c r="AV1056" s="1488"/>
      <c r="AW1056" s="1488"/>
      <c r="AX1056" s="1488"/>
      <c r="AY1056" s="1488"/>
    </row>
    <row r="1057" spans="3:51" s="1502" customFormat="1">
      <c r="C1057" s="1498"/>
      <c r="D1057" s="1501"/>
      <c r="E1057" s="1500"/>
      <c r="F1057" s="814"/>
      <c r="G1057" s="1494"/>
      <c r="H1057" s="1493"/>
      <c r="I1057" s="1493"/>
      <c r="J1057" s="813"/>
      <c r="K1057" s="814"/>
      <c r="L1057" s="1499"/>
      <c r="M1057" s="1488"/>
      <c r="N1057" s="1488"/>
      <c r="O1057" s="1488"/>
      <c r="P1057" s="1488"/>
      <c r="Q1057" s="1489"/>
      <c r="R1057" s="1489"/>
      <c r="S1057" s="1489"/>
      <c r="T1057" s="1489"/>
      <c r="U1057" s="1489"/>
      <c r="V1057" s="1489"/>
      <c r="W1057" s="1489"/>
      <c r="X1057" s="1489"/>
      <c r="Y1057" s="1489"/>
      <c r="Z1057" s="1489"/>
      <c r="AA1057" s="1489"/>
      <c r="AB1057" s="1489"/>
      <c r="AC1057" s="1489"/>
      <c r="AD1057" s="1489"/>
      <c r="AE1057" s="1489"/>
      <c r="AF1057" s="1489"/>
      <c r="AG1057" s="1489"/>
      <c r="AH1057" s="1489"/>
      <c r="AI1057" s="1489"/>
      <c r="AJ1057" s="1489"/>
      <c r="AK1057" s="1489"/>
      <c r="AL1057" s="1489"/>
      <c r="AM1057" s="1489"/>
      <c r="AN1057" s="1489"/>
      <c r="AO1057" s="1489"/>
      <c r="AP1057" s="1489"/>
      <c r="AQ1057" s="1489"/>
      <c r="AR1057" s="1488"/>
      <c r="AS1057" s="1488"/>
      <c r="AT1057" s="1488"/>
      <c r="AU1057" s="1488"/>
      <c r="AV1057" s="1488"/>
      <c r="AW1057" s="1488"/>
      <c r="AX1057" s="1488"/>
      <c r="AY1057" s="1488"/>
    </row>
    <row r="1058" spans="3:51" s="1502" customFormat="1">
      <c r="C1058" s="1498"/>
      <c r="D1058" s="1501"/>
      <c r="E1058" s="1500"/>
      <c r="F1058" s="814"/>
      <c r="G1058" s="1494"/>
      <c r="H1058" s="1493"/>
      <c r="I1058" s="1493"/>
      <c r="J1058" s="813"/>
      <c r="K1058" s="814"/>
      <c r="L1058" s="1499"/>
      <c r="M1058" s="1488"/>
      <c r="N1058" s="1488"/>
      <c r="O1058" s="1488"/>
      <c r="P1058" s="1488"/>
      <c r="Q1058" s="1489"/>
      <c r="R1058" s="1489"/>
      <c r="S1058" s="1489"/>
      <c r="T1058" s="1489"/>
      <c r="U1058" s="1489"/>
      <c r="V1058" s="1489"/>
      <c r="W1058" s="1489"/>
      <c r="X1058" s="1489"/>
      <c r="Y1058" s="1489"/>
      <c r="Z1058" s="1489"/>
      <c r="AA1058" s="1489"/>
      <c r="AB1058" s="1489"/>
      <c r="AC1058" s="1489"/>
      <c r="AD1058" s="1489"/>
      <c r="AE1058" s="1489"/>
      <c r="AF1058" s="1489"/>
      <c r="AG1058" s="1489"/>
      <c r="AH1058" s="1489"/>
      <c r="AI1058" s="1489"/>
      <c r="AJ1058" s="1489"/>
      <c r="AK1058" s="1489"/>
      <c r="AL1058" s="1489"/>
      <c r="AM1058" s="1489"/>
      <c r="AN1058" s="1489"/>
      <c r="AO1058" s="1489"/>
      <c r="AP1058" s="1489"/>
      <c r="AQ1058" s="1489"/>
      <c r="AR1058" s="1488"/>
      <c r="AS1058" s="1488"/>
      <c r="AT1058" s="1488"/>
      <c r="AU1058" s="1488"/>
      <c r="AV1058" s="1488"/>
      <c r="AW1058" s="1488"/>
      <c r="AX1058" s="1488"/>
      <c r="AY1058" s="1488"/>
    </row>
    <row r="1059" spans="3:51" s="1502" customFormat="1">
      <c r="C1059" s="1498"/>
      <c r="D1059" s="1501"/>
      <c r="E1059" s="1500"/>
      <c r="F1059" s="814"/>
      <c r="G1059" s="1494"/>
      <c r="H1059" s="1493"/>
      <c r="I1059" s="1493"/>
      <c r="J1059" s="813"/>
      <c r="K1059" s="814"/>
      <c r="L1059" s="1499"/>
      <c r="M1059" s="1488"/>
      <c r="N1059" s="1488"/>
      <c r="O1059" s="1488"/>
      <c r="P1059" s="1488"/>
      <c r="Q1059" s="1489"/>
      <c r="R1059" s="1489"/>
      <c r="S1059" s="1489"/>
      <c r="T1059" s="1489"/>
      <c r="U1059" s="1489"/>
      <c r="V1059" s="1489"/>
      <c r="W1059" s="1489"/>
      <c r="X1059" s="1489"/>
      <c r="Y1059" s="1489"/>
      <c r="Z1059" s="1489"/>
      <c r="AA1059" s="1489"/>
      <c r="AB1059" s="1489"/>
      <c r="AC1059" s="1489"/>
      <c r="AD1059" s="1489"/>
      <c r="AE1059" s="1489"/>
      <c r="AF1059" s="1489"/>
      <c r="AG1059" s="1489"/>
      <c r="AH1059" s="1489"/>
      <c r="AI1059" s="1489"/>
      <c r="AJ1059" s="1489"/>
      <c r="AK1059" s="1489"/>
      <c r="AL1059" s="1489"/>
      <c r="AM1059" s="1489"/>
      <c r="AN1059" s="1489"/>
      <c r="AO1059" s="1489"/>
      <c r="AP1059" s="1489"/>
      <c r="AQ1059" s="1489"/>
      <c r="AR1059" s="1488"/>
      <c r="AS1059" s="1488"/>
      <c r="AT1059" s="1488"/>
      <c r="AU1059" s="1488"/>
      <c r="AV1059" s="1488"/>
      <c r="AW1059" s="1488"/>
      <c r="AX1059" s="1488"/>
      <c r="AY1059" s="1488"/>
    </row>
    <row r="1060" spans="3:51" s="1502" customFormat="1">
      <c r="C1060" s="1498"/>
      <c r="D1060" s="1501"/>
      <c r="E1060" s="1500"/>
      <c r="F1060" s="814"/>
      <c r="G1060" s="1494"/>
      <c r="H1060" s="1493"/>
      <c r="I1060" s="1493"/>
      <c r="J1060" s="813"/>
      <c r="K1060" s="814"/>
      <c r="L1060" s="1499"/>
      <c r="M1060" s="1488"/>
      <c r="N1060" s="1488"/>
      <c r="O1060" s="1488"/>
      <c r="P1060" s="1488"/>
      <c r="Q1060" s="1489"/>
      <c r="R1060" s="1489"/>
      <c r="S1060" s="1489"/>
      <c r="T1060" s="1489"/>
      <c r="U1060" s="1489"/>
      <c r="V1060" s="1489"/>
      <c r="W1060" s="1489"/>
      <c r="X1060" s="1489"/>
      <c r="Y1060" s="1489"/>
      <c r="Z1060" s="1489"/>
      <c r="AA1060" s="1489"/>
      <c r="AB1060" s="1489"/>
      <c r="AC1060" s="1489"/>
      <c r="AD1060" s="1489"/>
      <c r="AE1060" s="1489"/>
      <c r="AF1060" s="1489"/>
      <c r="AG1060" s="1489"/>
      <c r="AH1060" s="1489"/>
      <c r="AI1060" s="1489"/>
      <c r="AJ1060" s="1489"/>
      <c r="AK1060" s="1489"/>
      <c r="AL1060" s="1489"/>
      <c r="AM1060" s="1489"/>
      <c r="AN1060" s="1489"/>
      <c r="AO1060" s="1489"/>
      <c r="AP1060" s="1489"/>
      <c r="AQ1060" s="1489"/>
      <c r="AR1060" s="1488"/>
      <c r="AS1060" s="1488"/>
      <c r="AT1060" s="1488"/>
      <c r="AU1060" s="1488"/>
      <c r="AV1060" s="1488"/>
      <c r="AW1060" s="1488"/>
      <c r="AX1060" s="1488"/>
      <c r="AY1060" s="1488"/>
    </row>
    <row r="1061" spans="3:51" s="1502" customFormat="1">
      <c r="C1061" s="1498"/>
      <c r="D1061" s="1501"/>
      <c r="E1061" s="1500"/>
      <c r="F1061" s="814"/>
      <c r="G1061" s="1494"/>
      <c r="H1061" s="1493"/>
      <c r="I1061" s="1493"/>
      <c r="J1061" s="813"/>
      <c r="K1061" s="814"/>
      <c r="L1061" s="1499"/>
      <c r="M1061" s="1488"/>
      <c r="N1061" s="1488"/>
      <c r="O1061" s="1488"/>
      <c r="P1061" s="1488"/>
      <c r="Q1061" s="1489"/>
      <c r="R1061" s="1489"/>
      <c r="S1061" s="1489"/>
      <c r="T1061" s="1489"/>
      <c r="U1061" s="1489"/>
      <c r="V1061" s="1489"/>
      <c r="W1061" s="1489"/>
      <c r="X1061" s="1489"/>
      <c r="Y1061" s="1489"/>
      <c r="Z1061" s="1489"/>
      <c r="AA1061" s="1489"/>
      <c r="AB1061" s="1489"/>
      <c r="AC1061" s="1489"/>
      <c r="AD1061" s="1489"/>
      <c r="AE1061" s="1489"/>
      <c r="AF1061" s="1489"/>
      <c r="AG1061" s="1489"/>
      <c r="AH1061" s="1489"/>
      <c r="AI1061" s="1489"/>
      <c r="AJ1061" s="1489"/>
      <c r="AK1061" s="1489"/>
      <c r="AL1061" s="1489"/>
      <c r="AM1061" s="1489"/>
      <c r="AN1061" s="1489"/>
      <c r="AO1061" s="1489"/>
      <c r="AP1061" s="1489"/>
      <c r="AQ1061" s="1489"/>
      <c r="AR1061" s="1488"/>
      <c r="AS1061" s="1488"/>
      <c r="AT1061" s="1488"/>
      <c r="AU1061" s="1488"/>
      <c r="AV1061" s="1488"/>
      <c r="AW1061" s="1488"/>
      <c r="AX1061" s="1488"/>
      <c r="AY1061" s="1488"/>
    </row>
    <row r="1062" spans="3:51" s="1502" customFormat="1">
      <c r="C1062" s="1498"/>
      <c r="D1062" s="1501"/>
      <c r="E1062" s="1500"/>
      <c r="F1062" s="814"/>
      <c r="G1062" s="1494"/>
      <c r="H1062" s="1493"/>
      <c r="I1062" s="1493"/>
      <c r="J1062" s="813"/>
      <c r="K1062" s="814"/>
      <c r="L1062" s="1499"/>
      <c r="M1062" s="1488"/>
      <c r="N1062" s="1488"/>
      <c r="O1062" s="1488"/>
      <c r="P1062" s="1488"/>
      <c r="Q1062" s="1489"/>
      <c r="R1062" s="1489"/>
      <c r="S1062" s="1489"/>
      <c r="T1062" s="1489"/>
      <c r="U1062" s="1489"/>
      <c r="V1062" s="1489"/>
      <c r="W1062" s="1489"/>
      <c r="X1062" s="1489"/>
      <c r="Y1062" s="1489"/>
      <c r="Z1062" s="1489"/>
      <c r="AA1062" s="1489"/>
      <c r="AB1062" s="1489"/>
      <c r="AC1062" s="1489"/>
      <c r="AD1062" s="1489"/>
      <c r="AE1062" s="1489"/>
      <c r="AF1062" s="1489"/>
      <c r="AG1062" s="1489"/>
      <c r="AH1062" s="1489"/>
      <c r="AI1062" s="1489"/>
      <c r="AJ1062" s="1489"/>
      <c r="AK1062" s="1489"/>
      <c r="AL1062" s="1489"/>
      <c r="AM1062" s="1489"/>
      <c r="AN1062" s="1489"/>
      <c r="AO1062" s="1489"/>
      <c r="AP1062" s="1489"/>
      <c r="AQ1062" s="1489"/>
      <c r="AR1062" s="1488"/>
      <c r="AS1062" s="1488"/>
      <c r="AT1062" s="1488"/>
      <c r="AU1062" s="1488"/>
      <c r="AV1062" s="1488"/>
      <c r="AW1062" s="1488"/>
      <c r="AX1062" s="1488"/>
      <c r="AY1062" s="1488"/>
    </row>
    <row r="1063" spans="3:51" s="1502" customFormat="1">
      <c r="C1063" s="1498"/>
      <c r="D1063" s="1501"/>
      <c r="E1063" s="1500"/>
      <c r="F1063" s="814"/>
      <c r="G1063" s="1494"/>
      <c r="H1063" s="1493"/>
      <c r="I1063" s="1493"/>
      <c r="J1063" s="813"/>
      <c r="K1063" s="814"/>
      <c r="L1063" s="1499"/>
      <c r="M1063" s="1488"/>
      <c r="N1063" s="1488"/>
      <c r="O1063" s="1488"/>
      <c r="P1063" s="1488"/>
      <c r="Q1063" s="1489"/>
      <c r="R1063" s="1489"/>
      <c r="S1063" s="1489"/>
      <c r="T1063" s="1489"/>
      <c r="U1063" s="1489"/>
      <c r="V1063" s="1489"/>
      <c r="W1063" s="1489"/>
      <c r="X1063" s="1489"/>
      <c r="Y1063" s="1489"/>
      <c r="Z1063" s="1489"/>
      <c r="AA1063" s="1489"/>
      <c r="AB1063" s="1489"/>
      <c r="AC1063" s="1489"/>
      <c r="AD1063" s="1489"/>
      <c r="AE1063" s="1489"/>
      <c r="AF1063" s="1489"/>
      <c r="AG1063" s="1489"/>
      <c r="AH1063" s="1489"/>
      <c r="AI1063" s="1489"/>
      <c r="AJ1063" s="1489"/>
      <c r="AK1063" s="1489"/>
      <c r="AL1063" s="1489"/>
      <c r="AM1063" s="1489"/>
      <c r="AN1063" s="1489"/>
      <c r="AO1063" s="1489"/>
      <c r="AP1063" s="1489"/>
      <c r="AQ1063" s="1489"/>
      <c r="AR1063" s="1488"/>
      <c r="AS1063" s="1488"/>
      <c r="AT1063" s="1488"/>
      <c r="AU1063" s="1488"/>
      <c r="AV1063" s="1488"/>
      <c r="AW1063" s="1488"/>
      <c r="AX1063" s="1488"/>
      <c r="AY1063" s="1488"/>
    </row>
    <row r="1064" spans="3:51" s="1502" customFormat="1">
      <c r="C1064" s="1498"/>
      <c r="D1064" s="1501"/>
      <c r="E1064" s="1500"/>
      <c r="F1064" s="814"/>
      <c r="G1064" s="1494"/>
      <c r="H1064" s="1493"/>
      <c r="I1064" s="1493"/>
      <c r="J1064" s="813"/>
      <c r="K1064" s="814"/>
      <c r="L1064" s="1499"/>
      <c r="M1064" s="1488"/>
      <c r="N1064" s="1488"/>
      <c r="O1064" s="1488"/>
      <c r="P1064" s="1488"/>
      <c r="Q1064" s="1489"/>
      <c r="R1064" s="1489"/>
      <c r="S1064" s="1489"/>
      <c r="T1064" s="1489"/>
      <c r="U1064" s="1489"/>
      <c r="V1064" s="1489"/>
      <c r="W1064" s="1489"/>
      <c r="X1064" s="1489"/>
      <c r="Y1064" s="1489"/>
      <c r="Z1064" s="1489"/>
      <c r="AA1064" s="1489"/>
      <c r="AB1064" s="1489"/>
      <c r="AC1064" s="1489"/>
      <c r="AD1064" s="1489"/>
      <c r="AE1064" s="1489"/>
      <c r="AF1064" s="1489"/>
      <c r="AG1064" s="1489"/>
      <c r="AH1064" s="1489"/>
      <c r="AI1064" s="1489"/>
      <c r="AJ1064" s="1489"/>
      <c r="AK1064" s="1489"/>
      <c r="AL1064" s="1489"/>
      <c r="AM1064" s="1489"/>
      <c r="AN1064" s="1489"/>
      <c r="AO1064" s="1489"/>
      <c r="AP1064" s="1489"/>
      <c r="AQ1064" s="1489"/>
      <c r="AR1064" s="1488"/>
      <c r="AS1064" s="1488"/>
      <c r="AT1064" s="1488"/>
      <c r="AU1064" s="1488"/>
      <c r="AV1064" s="1488"/>
      <c r="AW1064" s="1488"/>
      <c r="AX1064" s="1488"/>
      <c r="AY1064" s="1488"/>
    </row>
    <row r="1065" spans="3:51" s="1502" customFormat="1">
      <c r="C1065" s="1498"/>
      <c r="D1065" s="1501"/>
      <c r="E1065" s="1500"/>
      <c r="F1065" s="814"/>
      <c r="G1065" s="1494"/>
      <c r="H1065" s="1493"/>
      <c r="I1065" s="1493"/>
      <c r="J1065" s="813"/>
      <c r="K1065" s="814"/>
      <c r="L1065" s="1499"/>
      <c r="M1065" s="1488"/>
      <c r="N1065" s="1488"/>
      <c r="O1065" s="1488"/>
      <c r="P1065" s="1488"/>
      <c r="Q1065" s="1489"/>
      <c r="R1065" s="1489"/>
      <c r="S1065" s="1489"/>
      <c r="T1065" s="1489"/>
      <c r="U1065" s="1489"/>
      <c r="V1065" s="1489"/>
      <c r="W1065" s="1489"/>
      <c r="X1065" s="1489"/>
      <c r="Y1065" s="1489"/>
      <c r="Z1065" s="1489"/>
      <c r="AA1065" s="1489"/>
      <c r="AB1065" s="1489"/>
      <c r="AC1065" s="1489"/>
      <c r="AD1065" s="1489"/>
      <c r="AE1065" s="1489"/>
      <c r="AF1065" s="1489"/>
      <c r="AG1065" s="1489"/>
      <c r="AH1065" s="1489"/>
      <c r="AI1065" s="1489"/>
      <c r="AJ1065" s="1489"/>
      <c r="AK1065" s="1489"/>
      <c r="AL1065" s="1489"/>
      <c r="AM1065" s="1489"/>
      <c r="AN1065" s="1489"/>
      <c r="AO1065" s="1489"/>
      <c r="AP1065" s="1489"/>
      <c r="AQ1065" s="1489"/>
      <c r="AR1065" s="1488"/>
      <c r="AS1065" s="1488"/>
      <c r="AT1065" s="1488"/>
      <c r="AU1065" s="1488"/>
      <c r="AV1065" s="1488"/>
      <c r="AW1065" s="1488"/>
      <c r="AX1065" s="1488"/>
      <c r="AY1065" s="1488"/>
    </row>
    <row r="1066" spans="3:51" s="1502" customFormat="1">
      <c r="C1066" s="1498"/>
      <c r="D1066" s="1501"/>
      <c r="E1066" s="1500"/>
      <c r="F1066" s="814"/>
      <c r="G1066" s="1494"/>
      <c r="H1066" s="1493"/>
      <c r="I1066" s="1493"/>
      <c r="J1066" s="813"/>
      <c r="K1066" s="814"/>
      <c r="L1066" s="1499"/>
      <c r="M1066" s="1488"/>
      <c r="N1066" s="1488"/>
      <c r="O1066" s="1488"/>
      <c r="P1066" s="1488"/>
      <c r="Q1066" s="1489"/>
      <c r="R1066" s="1489"/>
      <c r="S1066" s="1489"/>
      <c r="T1066" s="1489"/>
      <c r="U1066" s="1489"/>
      <c r="V1066" s="1489"/>
      <c r="W1066" s="1489"/>
      <c r="X1066" s="1489"/>
      <c r="Y1066" s="1489"/>
      <c r="Z1066" s="1489"/>
      <c r="AA1066" s="1489"/>
      <c r="AB1066" s="1489"/>
      <c r="AC1066" s="1489"/>
      <c r="AD1066" s="1489"/>
      <c r="AE1066" s="1489"/>
      <c r="AF1066" s="1489"/>
      <c r="AG1066" s="1489"/>
      <c r="AH1066" s="1489"/>
      <c r="AI1066" s="1489"/>
      <c r="AJ1066" s="1489"/>
      <c r="AK1066" s="1489"/>
      <c r="AL1066" s="1489"/>
      <c r="AM1066" s="1489"/>
      <c r="AN1066" s="1489"/>
      <c r="AO1066" s="1489"/>
      <c r="AP1066" s="1489"/>
      <c r="AQ1066" s="1489"/>
      <c r="AR1066" s="1488"/>
      <c r="AS1066" s="1488"/>
      <c r="AT1066" s="1488"/>
      <c r="AU1066" s="1488"/>
      <c r="AV1066" s="1488"/>
      <c r="AW1066" s="1488"/>
      <c r="AX1066" s="1488"/>
      <c r="AY1066" s="1488"/>
    </row>
    <row r="1067" spans="3:51" s="1502" customFormat="1">
      <c r="C1067" s="1498"/>
      <c r="D1067" s="1501"/>
      <c r="E1067" s="1500"/>
      <c r="F1067" s="814"/>
      <c r="G1067" s="1494"/>
      <c r="H1067" s="1493"/>
      <c r="I1067" s="1493"/>
      <c r="J1067" s="813"/>
      <c r="K1067" s="814"/>
      <c r="L1067" s="1499"/>
      <c r="M1067" s="1488"/>
      <c r="N1067" s="1488"/>
      <c r="O1067" s="1488"/>
      <c r="P1067" s="1488"/>
      <c r="Q1067" s="1489"/>
      <c r="R1067" s="1489"/>
      <c r="S1067" s="1489"/>
      <c r="T1067" s="1489"/>
      <c r="U1067" s="1489"/>
      <c r="V1067" s="1489"/>
      <c r="W1067" s="1489"/>
      <c r="X1067" s="1489"/>
      <c r="Y1067" s="1489"/>
      <c r="Z1067" s="1489"/>
      <c r="AA1067" s="1489"/>
      <c r="AB1067" s="1489"/>
      <c r="AC1067" s="1489"/>
      <c r="AD1067" s="1489"/>
      <c r="AE1067" s="1489"/>
      <c r="AF1067" s="1489"/>
      <c r="AG1067" s="1489"/>
      <c r="AH1067" s="1489"/>
      <c r="AI1067" s="1489"/>
      <c r="AJ1067" s="1489"/>
      <c r="AK1067" s="1489"/>
      <c r="AL1067" s="1489"/>
      <c r="AM1067" s="1489"/>
      <c r="AN1067" s="1489"/>
      <c r="AO1067" s="1489"/>
      <c r="AP1067" s="1489"/>
      <c r="AQ1067" s="1489"/>
      <c r="AR1067" s="1488"/>
      <c r="AS1067" s="1488"/>
      <c r="AT1067" s="1488"/>
      <c r="AU1067" s="1488"/>
      <c r="AV1067" s="1488"/>
      <c r="AW1067" s="1488"/>
      <c r="AX1067" s="1488"/>
      <c r="AY1067" s="1488"/>
    </row>
    <row r="1068" spans="3:51" s="1502" customFormat="1">
      <c r="C1068" s="1498"/>
      <c r="D1068" s="1501"/>
      <c r="E1068" s="1500"/>
      <c r="F1068" s="814"/>
      <c r="G1068" s="1494"/>
      <c r="H1068" s="1493"/>
      <c r="I1068" s="1493"/>
      <c r="J1068" s="813"/>
      <c r="K1068" s="814"/>
      <c r="L1068" s="1499"/>
      <c r="M1068" s="1488"/>
      <c r="N1068" s="1488"/>
      <c r="O1068" s="1488"/>
      <c r="P1068" s="1488"/>
      <c r="Q1068" s="1489"/>
      <c r="R1068" s="1489"/>
      <c r="S1068" s="1489"/>
      <c r="T1068" s="1489"/>
      <c r="U1068" s="1489"/>
      <c r="V1068" s="1489"/>
      <c r="W1068" s="1489"/>
      <c r="X1068" s="1489"/>
      <c r="Y1068" s="1489"/>
      <c r="Z1068" s="1489"/>
      <c r="AA1068" s="1489"/>
      <c r="AB1068" s="1489"/>
      <c r="AC1068" s="1489"/>
      <c r="AD1068" s="1489"/>
      <c r="AE1068" s="1489"/>
      <c r="AF1068" s="1489"/>
      <c r="AG1068" s="1489"/>
      <c r="AH1068" s="1489"/>
      <c r="AI1068" s="1489"/>
      <c r="AJ1068" s="1489"/>
      <c r="AK1068" s="1489"/>
      <c r="AL1068" s="1489"/>
      <c r="AM1068" s="1489"/>
      <c r="AN1068" s="1489"/>
      <c r="AO1068" s="1489"/>
      <c r="AP1068" s="1489"/>
      <c r="AQ1068" s="1489"/>
      <c r="AR1068" s="1488"/>
      <c r="AS1068" s="1488"/>
      <c r="AT1068" s="1488"/>
      <c r="AU1068" s="1488"/>
      <c r="AV1068" s="1488"/>
      <c r="AW1068" s="1488"/>
      <c r="AX1068" s="1488"/>
      <c r="AY1068" s="1488"/>
    </row>
    <row r="1069" spans="3:51" s="1502" customFormat="1">
      <c r="C1069" s="1498"/>
      <c r="D1069" s="1501"/>
      <c r="E1069" s="1500"/>
      <c r="F1069" s="814"/>
      <c r="G1069" s="1494"/>
      <c r="H1069" s="1493"/>
      <c r="I1069" s="1493"/>
      <c r="J1069" s="813"/>
      <c r="K1069" s="814"/>
      <c r="L1069" s="1499"/>
      <c r="M1069" s="1488"/>
      <c r="N1069" s="1488"/>
      <c r="O1069" s="1488"/>
      <c r="P1069" s="1488"/>
      <c r="Q1069" s="1489"/>
      <c r="R1069" s="1489"/>
      <c r="S1069" s="1489"/>
      <c r="T1069" s="1489"/>
      <c r="U1069" s="1489"/>
      <c r="V1069" s="1489"/>
      <c r="W1069" s="1489"/>
      <c r="X1069" s="1489"/>
      <c r="Y1069" s="1489"/>
      <c r="Z1069" s="1489"/>
      <c r="AA1069" s="1489"/>
      <c r="AB1069" s="1489"/>
      <c r="AC1069" s="1489"/>
      <c r="AD1069" s="1489"/>
      <c r="AE1069" s="1489"/>
      <c r="AF1069" s="1489"/>
      <c r="AG1069" s="1489"/>
      <c r="AH1069" s="1489"/>
      <c r="AI1069" s="1489"/>
      <c r="AJ1069" s="1489"/>
      <c r="AK1069" s="1489"/>
      <c r="AL1069" s="1489"/>
      <c r="AM1069" s="1489"/>
      <c r="AN1069" s="1489"/>
      <c r="AO1069" s="1489"/>
      <c r="AP1069" s="1489"/>
      <c r="AQ1069" s="1489"/>
      <c r="AR1069" s="1488"/>
      <c r="AS1069" s="1488"/>
      <c r="AT1069" s="1488"/>
      <c r="AU1069" s="1488"/>
      <c r="AV1069" s="1488"/>
      <c r="AW1069" s="1488"/>
      <c r="AX1069" s="1488"/>
      <c r="AY1069" s="1488"/>
    </row>
    <row r="1070" spans="3:51" s="1502" customFormat="1">
      <c r="C1070" s="1498"/>
      <c r="D1070" s="1501"/>
      <c r="E1070" s="1500"/>
      <c r="F1070" s="814"/>
      <c r="G1070" s="1494"/>
      <c r="H1070" s="1493"/>
      <c r="I1070" s="1493"/>
      <c r="J1070" s="813"/>
      <c r="K1070" s="814"/>
      <c r="L1070" s="1499"/>
      <c r="M1070" s="1488"/>
      <c r="N1070" s="1488"/>
      <c r="O1070" s="1488"/>
      <c r="P1070" s="1488"/>
      <c r="Q1070" s="1489"/>
      <c r="R1070" s="1489"/>
      <c r="S1070" s="1489"/>
      <c r="T1070" s="1489"/>
      <c r="U1070" s="1489"/>
      <c r="V1070" s="1489"/>
      <c r="W1070" s="1489"/>
      <c r="X1070" s="1489"/>
      <c r="Y1070" s="1489"/>
      <c r="Z1070" s="1489"/>
      <c r="AA1070" s="1489"/>
      <c r="AB1070" s="1489"/>
      <c r="AC1070" s="1489"/>
      <c r="AD1070" s="1489"/>
      <c r="AE1070" s="1489"/>
      <c r="AF1070" s="1489"/>
      <c r="AG1070" s="1489"/>
      <c r="AH1070" s="1489"/>
      <c r="AI1070" s="1489"/>
      <c r="AJ1070" s="1489"/>
      <c r="AK1070" s="1489"/>
      <c r="AL1070" s="1489"/>
      <c r="AM1070" s="1489"/>
      <c r="AN1070" s="1489"/>
      <c r="AO1070" s="1489"/>
      <c r="AP1070" s="1489"/>
      <c r="AQ1070" s="1489"/>
      <c r="AR1070" s="1488"/>
      <c r="AS1070" s="1488"/>
      <c r="AT1070" s="1488"/>
      <c r="AU1070" s="1488"/>
      <c r="AV1070" s="1488"/>
      <c r="AW1070" s="1488"/>
      <c r="AX1070" s="1488"/>
      <c r="AY1070" s="1488"/>
    </row>
    <row r="1071" spans="3:51" s="1502" customFormat="1">
      <c r="C1071" s="1498"/>
      <c r="D1071" s="1501"/>
      <c r="E1071" s="1500"/>
      <c r="F1071" s="814"/>
      <c r="G1071" s="1494"/>
      <c r="H1071" s="1493"/>
      <c r="I1071" s="1493"/>
      <c r="J1071" s="813"/>
      <c r="K1071" s="814"/>
      <c r="L1071" s="1499"/>
      <c r="M1071" s="1488"/>
      <c r="N1071" s="1488"/>
      <c r="O1071" s="1488"/>
      <c r="P1071" s="1488"/>
      <c r="Q1071" s="1489"/>
      <c r="R1071" s="1489"/>
      <c r="S1071" s="1489"/>
      <c r="T1071" s="1489"/>
      <c r="U1071" s="1489"/>
      <c r="V1071" s="1489"/>
      <c r="W1071" s="1489"/>
      <c r="X1071" s="1489"/>
      <c r="Y1071" s="1489"/>
      <c r="Z1071" s="1489"/>
      <c r="AA1071" s="1489"/>
      <c r="AB1071" s="1489"/>
      <c r="AC1071" s="1489"/>
      <c r="AD1071" s="1489"/>
      <c r="AE1071" s="1489"/>
      <c r="AF1071" s="1489"/>
      <c r="AG1071" s="1489"/>
      <c r="AH1071" s="1489"/>
      <c r="AI1071" s="1489"/>
      <c r="AJ1071" s="1489"/>
      <c r="AK1071" s="1489"/>
      <c r="AL1071" s="1489"/>
      <c r="AM1071" s="1489"/>
      <c r="AN1071" s="1489"/>
      <c r="AO1071" s="1489"/>
      <c r="AP1071" s="1489"/>
      <c r="AQ1071" s="1489"/>
      <c r="AR1071" s="1488"/>
      <c r="AS1071" s="1488"/>
      <c r="AT1071" s="1488"/>
      <c r="AU1071" s="1488"/>
      <c r="AV1071" s="1488"/>
      <c r="AW1071" s="1488"/>
      <c r="AX1071" s="1488"/>
      <c r="AY1071" s="1488"/>
    </row>
    <row r="1072" spans="3:51" s="1502" customFormat="1">
      <c r="C1072" s="1498"/>
      <c r="D1072" s="1501"/>
      <c r="E1072" s="1500"/>
      <c r="F1072" s="814"/>
      <c r="G1072" s="1494"/>
      <c r="H1072" s="1493"/>
      <c r="I1072" s="1493"/>
      <c r="J1072" s="813"/>
      <c r="K1072" s="814"/>
      <c r="L1072" s="1499"/>
      <c r="M1072" s="1488"/>
      <c r="N1072" s="1488"/>
      <c r="O1072" s="1488"/>
      <c r="P1072" s="1488"/>
      <c r="Q1072" s="1489"/>
      <c r="R1072" s="1489"/>
      <c r="S1072" s="1489"/>
      <c r="T1072" s="1489"/>
      <c r="U1072" s="1489"/>
      <c r="V1072" s="1489"/>
      <c r="W1072" s="1489"/>
      <c r="X1072" s="1489"/>
      <c r="Y1072" s="1489"/>
      <c r="Z1072" s="1489"/>
      <c r="AA1072" s="1489"/>
      <c r="AB1072" s="1489"/>
      <c r="AC1072" s="1489"/>
      <c r="AD1072" s="1489"/>
      <c r="AE1072" s="1489"/>
      <c r="AF1072" s="1489"/>
      <c r="AG1072" s="1489"/>
      <c r="AH1072" s="1489"/>
      <c r="AI1072" s="1489"/>
      <c r="AJ1072" s="1489"/>
      <c r="AK1072" s="1489"/>
      <c r="AL1072" s="1489"/>
      <c r="AM1072" s="1489"/>
      <c r="AN1072" s="1489"/>
      <c r="AO1072" s="1489"/>
      <c r="AP1072" s="1489"/>
      <c r="AQ1072" s="1489"/>
      <c r="AR1072" s="1488"/>
      <c r="AS1072" s="1488"/>
      <c r="AT1072" s="1488"/>
      <c r="AU1072" s="1488"/>
      <c r="AV1072" s="1488"/>
      <c r="AW1072" s="1488"/>
      <c r="AX1072" s="1488"/>
      <c r="AY1072" s="1488"/>
    </row>
    <row r="1073" spans="3:51" s="1502" customFormat="1">
      <c r="C1073" s="1498"/>
      <c r="D1073" s="1501"/>
      <c r="E1073" s="1500"/>
      <c r="F1073" s="814"/>
      <c r="G1073" s="1494"/>
      <c r="H1073" s="1493"/>
      <c r="I1073" s="1493"/>
      <c r="J1073" s="813"/>
      <c r="K1073" s="814"/>
      <c r="L1073" s="1499"/>
      <c r="M1073" s="1488"/>
      <c r="N1073" s="1488"/>
      <c r="O1073" s="1488"/>
      <c r="P1073" s="1488"/>
      <c r="Q1073" s="1489"/>
      <c r="R1073" s="1489"/>
      <c r="S1073" s="1489"/>
      <c r="T1073" s="1489"/>
      <c r="U1073" s="1489"/>
      <c r="V1073" s="1489"/>
      <c r="W1073" s="1489"/>
      <c r="X1073" s="1489"/>
      <c r="Y1073" s="1489"/>
      <c r="Z1073" s="1489"/>
      <c r="AA1073" s="1489"/>
      <c r="AB1073" s="1489"/>
      <c r="AC1073" s="1489"/>
      <c r="AD1073" s="1489"/>
      <c r="AE1073" s="1489"/>
      <c r="AF1073" s="1489"/>
      <c r="AG1073" s="1489"/>
      <c r="AH1073" s="1489"/>
      <c r="AI1073" s="1489"/>
      <c r="AJ1073" s="1489"/>
      <c r="AK1073" s="1489"/>
      <c r="AL1073" s="1489"/>
      <c r="AM1073" s="1489"/>
      <c r="AN1073" s="1489"/>
      <c r="AO1073" s="1489"/>
      <c r="AP1073" s="1489"/>
      <c r="AQ1073" s="1489"/>
      <c r="AR1073" s="1488"/>
      <c r="AS1073" s="1488"/>
      <c r="AT1073" s="1488"/>
      <c r="AU1073" s="1488"/>
      <c r="AV1073" s="1488"/>
      <c r="AW1073" s="1488"/>
      <c r="AX1073" s="1488"/>
      <c r="AY1073" s="1488"/>
    </row>
    <row r="1074" spans="3:51" s="1502" customFormat="1">
      <c r="C1074" s="1498"/>
      <c r="D1074" s="1501"/>
      <c r="E1074" s="1500"/>
      <c r="F1074" s="814"/>
      <c r="G1074" s="1494"/>
      <c r="H1074" s="1493"/>
      <c r="I1074" s="1493"/>
      <c r="J1074" s="813"/>
      <c r="K1074" s="814"/>
      <c r="L1074" s="1499"/>
      <c r="M1074" s="1488"/>
      <c r="N1074" s="1488"/>
      <c r="O1074" s="1488"/>
      <c r="P1074" s="1488"/>
      <c r="Q1074" s="1489"/>
      <c r="R1074" s="1489"/>
      <c r="S1074" s="1489"/>
      <c r="T1074" s="1489"/>
      <c r="U1074" s="1489"/>
      <c r="V1074" s="1489"/>
      <c r="W1074" s="1489"/>
      <c r="X1074" s="1489"/>
      <c r="Y1074" s="1489"/>
      <c r="Z1074" s="1489"/>
      <c r="AA1074" s="1489"/>
      <c r="AB1074" s="1489"/>
      <c r="AC1074" s="1489"/>
      <c r="AD1074" s="1489"/>
      <c r="AE1074" s="1489"/>
      <c r="AF1074" s="1489"/>
      <c r="AG1074" s="1489"/>
      <c r="AH1074" s="1489"/>
      <c r="AI1074" s="1489"/>
      <c r="AJ1074" s="1489"/>
      <c r="AK1074" s="1489"/>
      <c r="AL1074" s="1489"/>
      <c r="AM1074" s="1489"/>
      <c r="AN1074" s="1489"/>
      <c r="AO1074" s="1489"/>
      <c r="AP1074" s="1489"/>
      <c r="AQ1074" s="1489"/>
      <c r="AR1074" s="1488"/>
      <c r="AS1074" s="1488"/>
      <c r="AT1074" s="1488"/>
      <c r="AU1074" s="1488"/>
      <c r="AV1074" s="1488"/>
      <c r="AW1074" s="1488"/>
      <c r="AX1074" s="1488"/>
      <c r="AY1074" s="1488"/>
    </row>
    <row r="1075" spans="3:51" s="1502" customFormat="1">
      <c r="C1075" s="1498"/>
      <c r="D1075" s="1501"/>
      <c r="E1075" s="1500"/>
      <c r="F1075" s="814"/>
      <c r="G1075" s="1494"/>
      <c r="H1075" s="1493"/>
      <c r="I1075" s="1493"/>
      <c r="J1075" s="813"/>
      <c r="K1075" s="814"/>
      <c r="L1075" s="1499"/>
      <c r="M1075" s="1488"/>
      <c r="N1075" s="1488"/>
      <c r="O1075" s="1488"/>
      <c r="P1075" s="1488"/>
      <c r="Q1075" s="1489"/>
      <c r="R1075" s="1489"/>
      <c r="S1075" s="1489"/>
      <c r="T1075" s="1489"/>
      <c r="U1075" s="1489"/>
      <c r="V1075" s="1489"/>
      <c r="W1075" s="1489"/>
      <c r="X1075" s="1489"/>
      <c r="Y1075" s="1489"/>
      <c r="Z1075" s="1489"/>
      <c r="AA1075" s="1489"/>
      <c r="AB1075" s="1489"/>
      <c r="AC1075" s="1489"/>
      <c r="AD1075" s="1489"/>
      <c r="AE1075" s="1489"/>
      <c r="AF1075" s="1489"/>
      <c r="AG1075" s="1489"/>
      <c r="AH1075" s="1489"/>
      <c r="AI1075" s="1489"/>
      <c r="AJ1075" s="1489"/>
      <c r="AK1075" s="1489"/>
      <c r="AL1075" s="1489"/>
      <c r="AM1075" s="1489"/>
      <c r="AN1075" s="1489"/>
      <c r="AO1075" s="1489"/>
      <c r="AP1075" s="1489"/>
      <c r="AQ1075" s="1489"/>
      <c r="AR1075" s="1488"/>
      <c r="AS1075" s="1488"/>
      <c r="AT1075" s="1488"/>
      <c r="AU1075" s="1488"/>
      <c r="AV1075" s="1488"/>
      <c r="AW1075" s="1488"/>
      <c r="AX1075" s="1488"/>
      <c r="AY1075" s="1488"/>
    </row>
    <row r="1076" spans="3:51" s="1502" customFormat="1">
      <c r="C1076" s="1498"/>
      <c r="D1076" s="1501"/>
      <c r="E1076" s="1500"/>
      <c r="F1076" s="814"/>
      <c r="G1076" s="1494"/>
      <c r="H1076" s="1493"/>
      <c r="I1076" s="1493"/>
      <c r="J1076" s="813"/>
      <c r="K1076" s="814"/>
      <c r="L1076" s="1499"/>
      <c r="M1076" s="1488"/>
      <c r="N1076" s="1488"/>
      <c r="O1076" s="1488"/>
      <c r="P1076" s="1488"/>
      <c r="Q1076" s="1489"/>
      <c r="R1076" s="1489"/>
      <c r="S1076" s="1489"/>
      <c r="T1076" s="1489"/>
      <c r="U1076" s="1489"/>
      <c r="V1076" s="1489"/>
      <c r="W1076" s="1489"/>
      <c r="X1076" s="1489"/>
      <c r="Y1076" s="1489"/>
      <c r="Z1076" s="1489"/>
      <c r="AA1076" s="1489"/>
      <c r="AB1076" s="1489"/>
      <c r="AC1076" s="1489"/>
      <c r="AD1076" s="1489"/>
      <c r="AE1076" s="1489"/>
      <c r="AF1076" s="1489"/>
      <c r="AG1076" s="1489"/>
      <c r="AH1076" s="1489"/>
      <c r="AI1076" s="1489"/>
      <c r="AJ1076" s="1489"/>
      <c r="AK1076" s="1489"/>
      <c r="AL1076" s="1489"/>
      <c r="AM1076" s="1489"/>
      <c r="AN1076" s="1489"/>
      <c r="AO1076" s="1489"/>
      <c r="AP1076" s="1489"/>
      <c r="AQ1076" s="1489"/>
      <c r="AR1076" s="1488"/>
      <c r="AS1076" s="1488"/>
      <c r="AT1076" s="1488"/>
      <c r="AU1076" s="1488"/>
      <c r="AV1076" s="1488"/>
      <c r="AW1076" s="1488"/>
      <c r="AX1076" s="1488"/>
      <c r="AY1076" s="1488"/>
    </row>
    <row r="1077" spans="3:51" s="1502" customFormat="1">
      <c r="C1077" s="1498"/>
      <c r="D1077" s="1501"/>
      <c r="E1077" s="1500"/>
      <c r="F1077" s="814"/>
      <c r="G1077" s="1494"/>
      <c r="H1077" s="1493"/>
      <c r="I1077" s="1493"/>
      <c r="J1077" s="813"/>
      <c r="K1077" s="814"/>
      <c r="L1077" s="1499"/>
      <c r="M1077" s="1488"/>
      <c r="N1077" s="1488"/>
      <c r="O1077" s="1488"/>
      <c r="P1077" s="1488"/>
      <c r="Q1077" s="1489"/>
      <c r="R1077" s="1489"/>
      <c r="S1077" s="1489"/>
      <c r="T1077" s="1489"/>
      <c r="U1077" s="1489"/>
      <c r="V1077" s="1489"/>
      <c r="W1077" s="1489"/>
      <c r="X1077" s="1489"/>
      <c r="Y1077" s="1489"/>
      <c r="Z1077" s="1489"/>
      <c r="AA1077" s="1489"/>
      <c r="AB1077" s="1489"/>
      <c r="AC1077" s="1489"/>
      <c r="AD1077" s="1489"/>
      <c r="AE1077" s="1489"/>
      <c r="AF1077" s="1489"/>
      <c r="AG1077" s="1489"/>
      <c r="AH1077" s="1489"/>
      <c r="AI1077" s="1489"/>
      <c r="AJ1077" s="1489"/>
      <c r="AK1077" s="1489"/>
      <c r="AL1077" s="1489"/>
      <c r="AM1077" s="1489"/>
      <c r="AN1077" s="1489"/>
      <c r="AO1077" s="1489"/>
      <c r="AP1077" s="1489"/>
      <c r="AQ1077" s="1489"/>
      <c r="AR1077" s="1488"/>
      <c r="AS1077" s="1488"/>
      <c r="AT1077" s="1488"/>
      <c r="AU1077" s="1488"/>
      <c r="AV1077" s="1488"/>
      <c r="AW1077" s="1488"/>
      <c r="AX1077" s="1488"/>
      <c r="AY1077" s="1488"/>
    </row>
    <row r="1078" spans="3:51" s="1502" customFormat="1">
      <c r="C1078" s="1498"/>
      <c r="D1078" s="1501"/>
      <c r="E1078" s="1500"/>
      <c r="F1078" s="814"/>
      <c r="G1078" s="1494"/>
      <c r="H1078" s="1493"/>
      <c r="I1078" s="1493"/>
      <c r="J1078" s="813"/>
      <c r="K1078" s="814"/>
      <c r="L1078" s="1499"/>
      <c r="M1078" s="1488"/>
      <c r="N1078" s="1488"/>
      <c r="O1078" s="1488"/>
      <c r="P1078" s="1488"/>
      <c r="Q1078" s="1489"/>
      <c r="R1078" s="1489"/>
      <c r="S1078" s="1489"/>
      <c r="T1078" s="1489"/>
      <c r="U1078" s="1489"/>
      <c r="V1078" s="1489"/>
      <c r="W1078" s="1489"/>
      <c r="X1078" s="1489"/>
      <c r="Y1078" s="1489"/>
      <c r="Z1078" s="1489"/>
      <c r="AA1078" s="1489"/>
      <c r="AB1078" s="1489"/>
      <c r="AC1078" s="1489"/>
      <c r="AD1078" s="1489"/>
      <c r="AE1078" s="1489"/>
      <c r="AF1078" s="1489"/>
      <c r="AG1078" s="1489"/>
      <c r="AH1078" s="1489"/>
      <c r="AI1078" s="1489"/>
      <c r="AJ1078" s="1489"/>
      <c r="AK1078" s="1489"/>
      <c r="AL1078" s="1489"/>
      <c r="AM1078" s="1489"/>
      <c r="AN1078" s="1489"/>
      <c r="AO1078" s="1489"/>
      <c r="AP1078" s="1489"/>
      <c r="AQ1078" s="1489"/>
      <c r="AR1078" s="1488"/>
      <c r="AS1078" s="1488"/>
      <c r="AT1078" s="1488"/>
      <c r="AU1078" s="1488"/>
      <c r="AV1078" s="1488"/>
      <c r="AW1078" s="1488"/>
      <c r="AX1078" s="1488"/>
      <c r="AY1078" s="1488"/>
    </row>
    <row r="1079" spans="3:51" s="1502" customFormat="1">
      <c r="C1079" s="1498"/>
      <c r="D1079" s="1501"/>
      <c r="E1079" s="1500"/>
      <c r="F1079" s="814"/>
      <c r="G1079" s="1494"/>
      <c r="H1079" s="1493"/>
      <c r="I1079" s="1493"/>
      <c r="J1079" s="813"/>
      <c r="K1079" s="814"/>
      <c r="L1079" s="1499"/>
      <c r="M1079" s="1488"/>
      <c r="N1079" s="1488"/>
      <c r="O1079" s="1488"/>
      <c r="P1079" s="1488"/>
      <c r="Q1079" s="1489"/>
      <c r="R1079" s="1489"/>
      <c r="S1079" s="1489"/>
      <c r="T1079" s="1489"/>
      <c r="U1079" s="1489"/>
      <c r="V1079" s="1489"/>
      <c r="W1079" s="1489"/>
      <c r="X1079" s="1489"/>
      <c r="Y1079" s="1489"/>
      <c r="Z1079" s="1489"/>
      <c r="AA1079" s="1489"/>
      <c r="AB1079" s="1489"/>
      <c r="AC1079" s="1489"/>
      <c r="AD1079" s="1489"/>
      <c r="AE1079" s="1489"/>
      <c r="AF1079" s="1489"/>
      <c r="AG1079" s="1489"/>
      <c r="AH1079" s="1489"/>
      <c r="AI1079" s="1489"/>
      <c r="AJ1079" s="1489"/>
      <c r="AK1079" s="1489"/>
      <c r="AL1079" s="1489"/>
      <c r="AM1079" s="1489"/>
      <c r="AN1079" s="1489"/>
      <c r="AO1079" s="1489"/>
      <c r="AP1079" s="1489"/>
      <c r="AQ1079" s="1489"/>
      <c r="AR1079" s="1488"/>
      <c r="AS1079" s="1488"/>
      <c r="AT1079" s="1488"/>
      <c r="AU1079" s="1488"/>
      <c r="AV1079" s="1488"/>
      <c r="AW1079" s="1488"/>
      <c r="AX1079" s="1488"/>
      <c r="AY1079" s="1488"/>
    </row>
    <row r="1080" spans="3:51" s="1502" customFormat="1">
      <c r="C1080" s="1498"/>
      <c r="D1080" s="1501"/>
      <c r="E1080" s="1500"/>
      <c r="F1080" s="814"/>
      <c r="G1080" s="1494"/>
      <c r="H1080" s="1493"/>
      <c r="I1080" s="1493"/>
      <c r="J1080" s="813"/>
      <c r="K1080" s="814"/>
      <c r="L1080" s="1499"/>
      <c r="M1080" s="1488"/>
      <c r="N1080" s="1488"/>
      <c r="O1080" s="1488"/>
      <c r="P1080" s="1488"/>
      <c r="Q1080" s="1489"/>
      <c r="R1080" s="1489"/>
      <c r="S1080" s="1489"/>
      <c r="T1080" s="1489"/>
      <c r="U1080" s="1489"/>
      <c r="V1080" s="1489"/>
      <c r="W1080" s="1489"/>
      <c r="X1080" s="1489"/>
      <c r="Y1080" s="1489"/>
      <c r="Z1080" s="1489"/>
      <c r="AA1080" s="1489"/>
      <c r="AB1080" s="1489"/>
      <c r="AC1080" s="1489"/>
      <c r="AD1080" s="1489"/>
      <c r="AE1080" s="1489"/>
      <c r="AF1080" s="1489"/>
      <c r="AG1080" s="1489"/>
      <c r="AH1080" s="1489"/>
      <c r="AI1080" s="1489"/>
      <c r="AJ1080" s="1489"/>
      <c r="AK1080" s="1489"/>
      <c r="AL1080" s="1489"/>
      <c r="AM1080" s="1489"/>
      <c r="AN1080" s="1489"/>
      <c r="AO1080" s="1489"/>
      <c r="AP1080" s="1489"/>
      <c r="AQ1080" s="1489"/>
      <c r="AR1080" s="1488"/>
      <c r="AS1080" s="1488"/>
      <c r="AT1080" s="1488"/>
      <c r="AU1080" s="1488"/>
      <c r="AV1080" s="1488"/>
      <c r="AW1080" s="1488"/>
      <c r="AX1080" s="1488"/>
      <c r="AY1080" s="1488"/>
    </row>
    <row r="1081" spans="3:51" s="1502" customFormat="1">
      <c r="C1081" s="1498"/>
      <c r="D1081" s="1501"/>
      <c r="E1081" s="1500"/>
      <c r="F1081" s="814"/>
      <c r="G1081" s="1494"/>
      <c r="H1081" s="1493"/>
      <c r="I1081" s="1493"/>
      <c r="J1081" s="813"/>
      <c r="K1081" s="814"/>
      <c r="L1081" s="1499"/>
      <c r="M1081" s="1488"/>
      <c r="N1081" s="1488"/>
      <c r="O1081" s="1488"/>
      <c r="P1081" s="1488"/>
      <c r="Q1081" s="1489"/>
      <c r="R1081" s="1489"/>
      <c r="S1081" s="1489"/>
      <c r="T1081" s="1489"/>
      <c r="U1081" s="1489"/>
      <c r="V1081" s="1489"/>
      <c r="W1081" s="1489"/>
      <c r="X1081" s="1489"/>
      <c r="Y1081" s="1489"/>
      <c r="Z1081" s="1489"/>
      <c r="AA1081" s="1489"/>
      <c r="AB1081" s="1489"/>
      <c r="AC1081" s="1489"/>
      <c r="AD1081" s="1489"/>
      <c r="AE1081" s="1489"/>
      <c r="AF1081" s="1489"/>
      <c r="AG1081" s="1489"/>
      <c r="AH1081" s="1489"/>
      <c r="AI1081" s="1489"/>
      <c r="AJ1081" s="1489"/>
      <c r="AK1081" s="1489"/>
      <c r="AL1081" s="1489"/>
      <c r="AM1081" s="1489"/>
      <c r="AN1081" s="1489"/>
      <c r="AO1081" s="1489"/>
      <c r="AP1081" s="1489"/>
      <c r="AQ1081" s="1489"/>
      <c r="AR1081" s="1488"/>
      <c r="AS1081" s="1488"/>
      <c r="AT1081" s="1488"/>
      <c r="AU1081" s="1488"/>
      <c r="AV1081" s="1488"/>
      <c r="AW1081" s="1488"/>
      <c r="AX1081" s="1488"/>
      <c r="AY1081" s="1488"/>
    </row>
    <row r="1082" spans="3:51" s="1502" customFormat="1">
      <c r="C1082" s="1498"/>
      <c r="D1082" s="1501"/>
      <c r="E1082" s="1500"/>
      <c r="F1082" s="814"/>
      <c r="G1082" s="1494"/>
      <c r="H1082" s="1493"/>
      <c r="I1082" s="1493"/>
      <c r="J1082" s="813"/>
      <c r="K1082" s="814"/>
      <c r="L1082" s="1499"/>
      <c r="M1082" s="1488"/>
      <c r="N1082" s="1488"/>
      <c r="O1082" s="1488"/>
      <c r="P1082" s="1488"/>
      <c r="Q1082" s="1489"/>
      <c r="R1082" s="1489"/>
      <c r="S1082" s="1489"/>
      <c r="T1082" s="1489"/>
      <c r="U1082" s="1489"/>
      <c r="V1082" s="1489"/>
      <c r="W1082" s="1489"/>
      <c r="X1082" s="1489"/>
      <c r="Y1082" s="1489"/>
      <c r="Z1082" s="1489"/>
      <c r="AA1082" s="1489"/>
      <c r="AB1082" s="1489"/>
      <c r="AC1082" s="1489"/>
      <c r="AD1082" s="1489"/>
      <c r="AE1082" s="1489"/>
      <c r="AF1082" s="1489"/>
      <c r="AG1082" s="1489"/>
      <c r="AH1082" s="1489"/>
      <c r="AI1082" s="1489"/>
      <c r="AJ1082" s="1489"/>
      <c r="AK1082" s="1489"/>
      <c r="AL1082" s="1489"/>
      <c r="AM1082" s="1489"/>
      <c r="AN1082" s="1489"/>
      <c r="AO1082" s="1489"/>
      <c r="AP1082" s="1489"/>
      <c r="AQ1082" s="1489"/>
      <c r="AR1082" s="1488"/>
      <c r="AS1082" s="1488"/>
      <c r="AT1082" s="1488"/>
      <c r="AU1082" s="1488"/>
      <c r="AV1082" s="1488"/>
      <c r="AW1082" s="1488"/>
      <c r="AX1082" s="1488"/>
      <c r="AY1082" s="1488"/>
    </row>
    <row r="1083" spans="3:51" s="1502" customFormat="1">
      <c r="C1083" s="1498"/>
      <c r="D1083" s="1501"/>
      <c r="E1083" s="1500"/>
      <c r="F1083" s="814"/>
      <c r="G1083" s="1494"/>
      <c r="H1083" s="1493"/>
      <c r="I1083" s="1493"/>
      <c r="J1083" s="813"/>
      <c r="K1083" s="814"/>
      <c r="L1083" s="1499"/>
      <c r="M1083" s="1488"/>
      <c r="N1083" s="1488"/>
      <c r="O1083" s="1488"/>
      <c r="P1083" s="1488"/>
      <c r="Q1083" s="1489"/>
      <c r="R1083" s="1489"/>
      <c r="S1083" s="1489"/>
      <c r="T1083" s="1489"/>
      <c r="U1083" s="1489"/>
      <c r="V1083" s="1489"/>
      <c r="W1083" s="1489"/>
      <c r="X1083" s="1489"/>
      <c r="Y1083" s="1489"/>
      <c r="Z1083" s="1489"/>
      <c r="AA1083" s="1489"/>
      <c r="AB1083" s="1489"/>
      <c r="AC1083" s="1489"/>
      <c r="AD1083" s="1489"/>
      <c r="AE1083" s="1489"/>
      <c r="AF1083" s="1489"/>
      <c r="AG1083" s="1489"/>
      <c r="AH1083" s="1489"/>
      <c r="AI1083" s="1489"/>
      <c r="AJ1083" s="1489"/>
      <c r="AK1083" s="1489"/>
      <c r="AL1083" s="1489"/>
      <c r="AM1083" s="1489"/>
      <c r="AN1083" s="1489"/>
      <c r="AO1083" s="1489"/>
      <c r="AP1083" s="1489"/>
      <c r="AQ1083" s="1489"/>
      <c r="AR1083" s="1488"/>
      <c r="AS1083" s="1488"/>
      <c r="AT1083" s="1488"/>
      <c r="AU1083" s="1488"/>
      <c r="AV1083" s="1488"/>
      <c r="AW1083" s="1488"/>
      <c r="AX1083" s="1488"/>
      <c r="AY1083" s="1488"/>
    </row>
    <row r="1084" spans="3:51" s="1502" customFormat="1">
      <c r="C1084" s="1498"/>
      <c r="D1084" s="1501"/>
      <c r="E1084" s="1500"/>
      <c r="F1084" s="814"/>
      <c r="G1084" s="1494"/>
      <c r="H1084" s="1493"/>
      <c r="I1084" s="1493"/>
      <c r="J1084" s="813"/>
      <c r="K1084" s="814"/>
      <c r="L1084" s="1499"/>
      <c r="M1084" s="1488"/>
      <c r="N1084" s="1488"/>
      <c r="O1084" s="1488"/>
      <c r="P1084" s="1488"/>
      <c r="Q1084" s="1489"/>
      <c r="R1084" s="1489"/>
      <c r="S1084" s="1489"/>
      <c r="T1084" s="1489"/>
      <c r="U1084" s="1489"/>
      <c r="V1084" s="1489"/>
      <c r="W1084" s="1489"/>
      <c r="X1084" s="1489"/>
      <c r="Y1084" s="1489"/>
      <c r="Z1084" s="1489"/>
      <c r="AA1084" s="1489"/>
      <c r="AB1084" s="1489"/>
      <c r="AC1084" s="1489"/>
      <c r="AD1084" s="1489"/>
      <c r="AE1084" s="1489"/>
      <c r="AF1084" s="1489"/>
      <c r="AG1084" s="1489"/>
      <c r="AH1084" s="1489"/>
      <c r="AI1084" s="1489"/>
      <c r="AJ1084" s="1489"/>
      <c r="AK1084" s="1489"/>
      <c r="AL1084" s="1489"/>
      <c r="AM1084" s="1489"/>
      <c r="AN1084" s="1489"/>
      <c r="AO1084" s="1489"/>
      <c r="AP1084" s="1489"/>
      <c r="AQ1084" s="1489"/>
      <c r="AR1084" s="1488"/>
      <c r="AS1084" s="1488"/>
      <c r="AT1084" s="1488"/>
      <c r="AU1084" s="1488"/>
      <c r="AV1084" s="1488"/>
      <c r="AW1084" s="1488"/>
      <c r="AX1084" s="1488"/>
      <c r="AY1084" s="1488"/>
    </row>
    <row r="1085" spans="3:51" s="1502" customFormat="1">
      <c r="C1085" s="1498"/>
      <c r="D1085" s="1501"/>
      <c r="E1085" s="1500"/>
      <c r="F1085" s="814"/>
      <c r="G1085" s="1494"/>
      <c r="H1085" s="1493"/>
      <c r="I1085" s="1493"/>
      <c r="J1085" s="813"/>
      <c r="K1085" s="814"/>
      <c r="L1085" s="1499"/>
      <c r="M1085" s="1488"/>
      <c r="N1085" s="1488"/>
      <c r="O1085" s="1488"/>
      <c r="P1085" s="1488"/>
      <c r="Q1085" s="1489"/>
      <c r="R1085" s="1489"/>
      <c r="S1085" s="1489"/>
      <c r="T1085" s="1489"/>
      <c r="U1085" s="1489"/>
      <c r="V1085" s="1489"/>
      <c r="W1085" s="1489"/>
      <c r="X1085" s="1489"/>
      <c r="Y1085" s="1489"/>
      <c r="Z1085" s="1489"/>
      <c r="AA1085" s="1489"/>
      <c r="AB1085" s="1489"/>
      <c r="AC1085" s="1489"/>
      <c r="AD1085" s="1489"/>
      <c r="AE1085" s="1489"/>
      <c r="AF1085" s="1489"/>
      <c r="AG1085" s="1489"/>
      <c r="AH1085" s="1489"/>
      <c r="AI1085" s="1489"/>
      <c r="AJ1085" s="1489"/>
      <c r="AK1085" s="1489"/>
      <c r="AL1085" s="1489"/>
      <c r="AM1085" s="1489"/>
      <c r="AN1085" s="1489"/>
      <c r="AO1085" s="1489"/>
      <c r="AP1085" s="1489"/>
      <c r="AQ1085" s="1489"/>
      <c r="AR1085" s="1488"/>
      <c r="AS1085" s="1488"/>
      <c r="AT1085" s="1488"/>
      <c r="AU1085" s="1488"/>
      <c r="AV1085" s="1488"/>
      <c r="AW1085" s="1488"/>
      <c r="AX1085" s="1488"/>
      <c r="AY1085" s="1488"/>
    </row>
    <row r="1086" spans="3:51" s="1502" customFormat="1">
      <c r="C1086" s="1498"/>
      <c r="D1086" s="1501"/>
      <c r="E1086" s="1500"/>
      <c r="F1086" s="814"/>
      <c r="G1086" s="1494"/>
      <c r="H1086" s="1493"/>
      <c r="I1086" s="1493"/>
      <c r="J1086" s="813"/>
      <c r="K1086" s="814"/>
      <c r="L1086" s="1499"/>
      <c r="M1086" s="1488"/>
      <c r="N1086" s="1488"/>
      <c r="O1086" s="1488"/>
      <c r="P1086" s="1488"/>
      <c r="Q1086" s="1489"/>
      <c r="R1086" s="1489"/>
      <c r="S1086" s="1489"/>
      <c r="T1086" s="1489"/>
      <c r="U1086" s="1489"/>
      <c r="V1086" s="1489"/>
      <c r="W1086" s="1489"/>
      <c r="X1086" s="1489"/>
      <c r="Y1086" s="1489"/>
      <c r="Z1086" s="1489"/>
      <c r="AA1086" s="1489"/>
      <c r="AB1086" s="1489"/>
      <c r="AC1086" s="1489"/>
      <c r="AD1086" s="1489"/>
      <c r="AE1086" s="1489"/>
      <c r="AF1086" s="1489"/>
      <c r="AG1086" s="1489"/>
      <c r="AH1086" s="1489"/>
      <c r="AI1086" s="1489"/>
      <c r="AJ1086" s="1489"/>
      <c r="AK1086" s="1489"/>
      <c r="AL1086" s="1489"/>
      <c r="AM1086" s="1489"/>
      <c r="AN1086" s="1489"/>
      <c r="AO1086" s="1489"/>
      <c r="AP1086" s="1489"/>
      <c r="AQ1086" s="1489"/>
      <c r="AR1086" s="1488"/>
      <c r="AS1086" s="1488"/>
      <c r="AT1086" s="1488"/>
      <c r="AU1086" s="1488"/>
      <c r="AV1086" s="1488"/>
      <c r="AW1086" s="1488"/>
      <c r="AX1086" s="1488"/>
      <c r="AY1086" s="1488"/>
    </row>
    <row r="1087" spans="3:51" s="1502" customFormat="1">
      <c r="C1087" s="1498"/>
      <c r="D1087" s="1501"/>
      <c r="E1087" s="1500"/>
      <c r="F1087" s="814"/>
      <c r="G1087" s="1494"/>
      <c r="H1087" s="1493"/>
      <c r="I1087" s="1493"/>
      <c r="J1087" s="813"/>
      <c r="K1087" s="814"/>
      <c r="L1087" s="1499"/>
      <c r="M1087" s="1488"/>
      <c r="N1087" s="1488"/>
      <c r="O1087" s="1488"/>
      <c r="P1087" s="1488"/>
      <c r="Q1087" s="1489"/>
      <c r="R1087" s="1489"/>
      <c r="S1087" s="1489"/>
      <c r="T1087" s="1489"/>
      <c r="U1087" s="1489"/>
      <c r="V1087" s="1489"/>
      <c r="W1087" s="1489"/>
      <c r="X1087" s="1489"/>
      <c r="Y1087" s="1489"/>
      <c r="Z1087" s="1489"/>
      <c r="AA1087" s="1489"/>
      <c r="AB1087" s="1489"/>
      <c r="AC1087" s="1489"/>
      <c r="AD1087" s="1489"/>
      <c r="AE1087" s="1489"/>
      <c r="AF1087" s="1489"/>
      <c r="AG1087" s="1489"/>
      <c r="AH1087" s="1489"/>
      <c r="AI1087" s="1489"/>
      <c r="AJ1087" s="1489"/>
      <c r="AK1087" s="1489"/>
      <c r="AL1087" s="1489"/>
      <c r="AM1087" s="1489"/>
      <c r="AN1087" s="1489"/>
      <c r="AO1087" s="1489"/>
      <c r="AP1087" s="1489"/>
      <c r="AQ1087" s="1489"/>
      <c r="AR1087" s="1488"/>
      <c r="AS1087" s="1488"/>
      <c r="AT1087" s="1488"/>
      <c r="AU1087" s="1488"/>
      <c r="AV1087" s="1488"/>
      <c r="AW1087" s="1488"/>
      <c r="AX1087" s="1488"/>
      <c r="AY1087" s="1488"/>
    </row>
    <row r="1088" spans="3:51" s="1502" customFormat="1">
      <c r="C1088" s="1498"/>
      <c r="D1088" s="1501"/>
      <c r="E1088" s="1500"/>
      <c r="F1088" s="814"/>
      <c r="G1088" s="1494"/>
      <c r="H1088" s="1493"/>
      <c r="I1088" s="1493"/>
      <c r="J1088" s="813"/>
      <c r="K1088" s="814"/>
      <c r="L1088" s="1499"/>
      <c r="M1088" s="1488"/>
      <c r="N1088" s="1488"/>
      <c r="O1088" s="1488"/>
      <c r="P1088" s="1488"/>
      <c r="Q1088" s="1489"/>
      <c r="R1088" s="1489"/>
      <c r="S1088" s="1489"/>
      <c r="T1088" s="1489"/>
      <c r="U1088" s="1489"/>
      <c r="V1088" s="1489"/>
      <c r="W1088" s="1489"/>
      <c r="X1088" s="1489"/>
      <c r="Y1088" s="1489"/>
      <c r="Z1088" s="1489"/>
      <c r="AA1088" s="1489"/>
      <c r="AB1088" s="1489"/>
      <c r="AC1088" s="1489"/>
      <c r="AD1088" s="1489"/>
      <c r="AE1088" s="1489"/>
      <c r="AF1088" s="1489"/>
      <c r="AG1088" s="1489"/>
      <c r="AH1088" s="1489"/>
      <c r="AI1088" s="1489"/>
      <c r="AJ1088" s="1489"/>
      <c r="AK1088" s="1489"/>
      <c r="AL1088" s="1489"/>
      <c r="AM1088" s="1489"/>
      <c r="AN1088" s="1489"/>
      <c r="AO1088" s="1489"/>
      <c r="AP1088" s="1489"/>
      <c r="AQ1088" s="1489"/>
      <c r="AR1088" s="1488"/>
      <c r="AS1088" s="1488"/>
      <c r="AT1088" s="1488"/>
      <c r="AU1088" s="1488"/>
      <c r="AV1088" s="1488"/>
      <c r="AW1088" s="1488"/>
      <c r="AX1088" s="1488"/>
      <c r="AY1088" s="1488"/>
    </row>
    <row r="1089" spans="3:51" s="1502" customFormat="1">
      <c r="C1089" s="1498"/>
      <c r="D1089" s="1501"/>
      <c r="E1089" s="1500"/>
      <c r="F1089" s="814"/>
      <c r="G1089" s="1494"/>
      <c r="H1089" s="1493"/>
      <c r="I1089" s="1493"/>
      <c r="J1089" s="813"/>
      <c r="K1089" s="814"/>
      <c r="L1089" s="1499"/>
      <c r="M1089" s="1488"/>
      <c r="N1089" s="1488"/>
      <c r="O1089" s="1488"/>
      <c r="P1089" s="1488"/>
      <c r="Q1089" s="1489"/>
      <c r="R1089" s="1489"/>
      <c r="S1089" s="1489"/>
      <c r="T1089" s="1489"/>
      <c r="U1089" s="1489"/>
      <c r="V1089" s="1489"/>
      <c r="W1089" s="1489"/>
      <c r="X1089" s="1489"/>
      <c r="Y1089" s="1489"/>
      <c r="Z1089" s="1489"/>
      <c r="AA1089" s="1489"/>
      <c r="AB1089" s="1489"/>
      <c r="AC1089" s="1489"/>
      <c r="AD1089" s="1489"/>
      <c r="AE1089" s="1489"/>
      <c r="AF1089" s="1489"/>
      <c r="AG1089" s="1489"/>
      <c r="AH1089" s="1489"/>
      <c r="AI1089" s="1489"/>
      <c r="AJ1089" s="1489"/>
      <c r="AK1089" s="1489"/>
      <c r="AL1089" s="1489"/>
      <c r="AM1089" s="1489"/>
      <c r="AN1089" s="1489"/>
      <c r="AO1089" s="1489"/>
      <c r="AP1089" s="1489"/>
      <c r="AQ1089" s="1489"/>
      <c r="AR1089" s="1488"/>
      <c r="AS1089" s="1488"/>
      <c r="AT1089" s="1488"/>
      <c r="AU1089" s="1488"/>
      <c r="AV1089" s="1488"/>
      <c r="AW1089" s="1488"/>
      <c r="AX1089" s="1488"/>
      <c r="AY1089" s="1488"/>
    </row>
    <row r="1090" spans="3:51" s="1502" customFormat="1">
      <c r="C1090" s="1498"/>
      <c r="D1090" s="1501"/>
      <c r="E1090" s="1500"/>
      <c r="F1090" s="814"/>
      <c r="G1090" s="1494"/>
      <c r="H1090" s="1493"/>
      <c r="I1090" s="1493"/>
      <c r="J1090" s="813"/>
      <c r="K1090" s="814"/>
      <c r="L1090" s="1499"/>
      <c r="M1090" s="1488"/>
      <c r="N1090" s="1488"/>
      <c r="O1090" s="1488"/>
      <c r="P1090" s="1488"/>
      <c r="Q1090" s="1489"/>
      <c r="R1090" s="1489"/>
      <c r="S1090" s="1489"/>
      <c r="T1090" s="1489"/>
      <c r="U1090" s="1489"/>
      <c r="V1090" s="1489"/>
      <c r="W1090" s="1489"/>
      <c r="X1090" s="1489"/>
      <c r="Y1090" s="1489"/>
      <c r="Z1090" s="1489"/>
      <c r="AA1090" s="1489"/>
      <c r="AB1090" s="1489"/>
      <c r="AC1090" s="1489"/>
      <c r="AD1090" s="1489"/>
      <c r="AE1090" s="1489"/>
      <c r="AF1090" s="1489"/>
      <c r="AG1090" s="1489"/>
      <c r="AH1090" s="1489"/>
      <c r="AI1090" s="1489"/>
      <c r="AJ1090" s="1489"/>
      <c r="AK1090" s="1489"/>
      <c r="AL1090" s="1489"/>
      <c r="AM1090" s="1489"/>
      <c r="AN1090" s="1489"/>
      <c r="AO1090" s="1489"/>
      <c r="AP1090" s="1489"/>
      <c r="AQ1090" s="1489"/>
      <c r="AR1090" s="1488"/>
      <c r="AS1090" s="1488"/>
      <c r="AT1090" s="1488"/>
      <c r="AU1090" s="1488"/>
      <c r="AV1090" s="1488"/>
      <c r="AW1090" s="1488"/>
      <c r="AX1090" s="1488"/>
      <c r="AY1090" s="1488"/>
    </row>
    <row r="1091" spans="3:51" s="1502" customFormat="1">
      <c r="C1091" s="1498"/>
      <c r="D1091" s="1501"/>
      <c r="E1091" s="1500"/>
      <c r="F1091" s="814"/>
      <c r="G1091" s="1494"/>
      <c r="H1091" s="1493"/>
      <c r="I1091" s="1493"/>
      <c r="J1091" s="813"/>
      <c r="K1091" s="814"/>
      <c r="L1091" s="1499"/>
      <c r="M1091" s="1488"/>
      <c r="N1091" s="1488"/>
      <c r="O1091" s="1488"/>
      <c r="P1091" s="1488"/>
      <c r="Q1091" s="1489"/>
      <c r="R1091" s="1489"/>
      <c r="S1091" s="1489"/>
      <c r="T1091" s="1489"/>
      <c r="U1091" s="1489"/>
      <c r="V1091" s="1489"/>
      <c r="W1091" s="1489"/>
      <c r="X1091" s="1489"/>
      <c r="Y1091" s="1489"/>
      <c r="Z1091" s="1489"/>
      <c r="AA1091" s="1489"/>
      <c r="AB1091" s="1489"/>
      <c r="AC1091" s="1489"/>
      <c r="AD1091" s="1489"/>
      <c r="AE1091" s="1489"/>
      <c r="AF1091" s="1489"/>
      <c r="AG1091" s="1489"/>
      <c r="AH1091" s="1489"/>
      <c r="AI1091" s="1489"/>
      <c r="AJ1091" s="1489"/>
      <c r="AK1091" s="1489"/>
      <c r="AL1091" s="1489"/>
      <c r="AM1091" s="1489"/>
      <c r="AN1091" s="1489"/>
      <c r="AO1091" s="1489"/>
      <c r="AP1091" s="1489"/>
      <c r="AQ1091" s="1489"/>
      <c r="AR1091" s="1488"/>
      <c r="AS1091" s="1488"/>
      <c r="AT1091" s="1488"/>
      <c r="AU1091" s="1488"/>
      <c r="AV1091" s="1488"/>
      <c r="AW1091" s="1488"/>
      <c r="AX1091" s="1488"/>
      <c r="AY1091" s="1488"/>
    </row>
    <row r="1092" spans="3:51" s="1502" customFormat="1">
      <c r="C1092" s="1498"/>
      <c r="D1092" s="1501"/>
      <c r="E1092" s="1500"/>
      <c r="F1092" s="814"/>
      <c r="G1092" s="1494"/>
      <c r="H1092" s="1493"/>
      <c r="I1092" s="1493"/>
      <c r="J1092" s="813"/>
      <c r="K1092" s="814"/>
      <c r="L1092" s="1499"/>
      <c r="M1092" s="1488"/>
      <c r="N1092" s="1488"/>
      <c r="O1092" s="1488"/>
      <c r="P1092" s="1488"/>
      <c r="Q1092" s="1489"/>
      <c r="R1092" s="1489"/>
      <c r="S1092" s="1489"/>
      <c r="T1092" s="1489"/>
      <c r="U1092" s="1489"/>
      <c r="V1092" s="1489"/>
      <c r="W1092" s="1489"/>
      <c r="X1092" s="1489"/>
      <c r="Y1092" s="1489"/>
      <c r="Z1092" s="1489"/>
      <c r="AA1092" s="1489"/>
      <c r="AB1092" s="1489"/>
      <c r="AC1092" s="1489"/>
      <c r="AD1092" s="1489"/>
      <c r="AE1092" s="1489"/>
      <c r="AF1092" s="1489"/>
      <c r="AG1092" s="1489"/>
      <c r="AH1092" s="1489"/>
      <c r="AI1092" s="1489"/>
      <c r="AJ1092" s="1489"/>
      <c r="AK1092" s="1489"/>
      <c r="AL1092" s="1489"/>
      <c r="AM1092" s="1489"/>
      <c r="AN1092" s="1489"/>
      <c r="AO1092" s="1489"/>
      <c r="AP1092" s="1489"/>
      <c r="AQ1092" s="1489"/>
      <c r="AR1092" s="1488"/>
      <c r="AS1092" s="1488"/>
      <c r="AT1092" s="1488"/>
      <c r="AU1092" s="1488"/>
      <c r="AV1092" s="1488"/>
      <c r="AW1092" s="1488"/>
      <c r="AX1092" s="1488"/>
      <c r="AY1092" s="1488"/>
    </row>
    <row r="1093" spans="3:51" s="1502" customFormat="1">
      <c r="C1093" s="1498"/>
      <c r="D1093" s="1501"/>
      <c r="E1093" s="1500"/>
      <c r="F1093" s="814"/>
      <c r="G1093" s="1494"/>
      <c r="H1093" s="1493"/>
      <c r="I1093" s="1493"/>
      <c r="J1093" s="813"/>
      <c r="K1093" s="814"/>
      <c r="L1093" s="1499"/>
      <c r="M1093" s="1488"/>
      <c r="N1093" s="1488"/>
      <c r="O1093" s="1488"/>
      <c r="P1093" s="1488"/>
      <c r="Q1093" s="1489"/>
      <c r="R1093" s="1489"/>
      <c r="S1093" s="1489"/>
      <c r="T1093" s="1489"/>
      <c r="U1093" s="1489"/>
      <c r="V1093" s="1489"/>
      <c r="W1093" s="1489"/>
      <c r="X1093" s="1489"/>
      <c r="Y1093" s="1489"/>
      <c r="Z1093" s="1489"/>
      <c r="AA1093" s="1489"/>
      <c r="AB1093" s="1489"/>
      <c r="AC1093" s="1489"/>
      <c r="AD1093" s="1489"/>
      <c r="AE1093" s="1489"/>
      <c r="AF1093" s="1489"/>
      <c r="AG1093" s="1489"/>
      <c r="AH1093" s="1489"/>
      <c r="AI1093" s="1489"/>
      <c r="AJ1093" s="1489"/>
      <c r="AK1093" s="1489"/>
      <c r="AL1093" s="1489"/>
      <c r="AM1093" s="1489"/>
      <c r="AN1093" s="1489"/>
      <c r="AO1093" s="1489"/>
      <c r="AP1093" s="1489"/>
      <c r="AQ1093" s="1489"/>
      <c r="AR1093" s="1488"/>
      <c r="AS1093" s="1488"/>
      <c r="AT1093" s="1488"/>
      <c r="AU1093" s="1488"/>
      <c r="AV1093" s="1488"/>
      <c r="AW1093" s="1488"/>
      <c r="AX1093" s="1488"/>
      <c r="AY1093" s="1488"/>
    </row>
    <row r="1094" spans="3:51" s="1502" customFormat="1">
      <c r="C1094" s="1498"/>
      <c r="D1094" s="1501"/>
      <c r="E1094" s="1500"/>
      <c r="F1094" s="814"/>
      <c r="G1094" s="1494"/>
      <c r="H1094" s="1493"/>
      <c r="I1094" s="1493"/>
      <c r="J1094" s="813"/>
      <c r="K1094" s="814"/>
      <c r="L1094" s="1499"/>
      <c r="M1094" s="1488"/>
      <c r="N1094" s="1488"/>
      <c r="O1094" s="1488"/>
      <c r="P1094" s="1488"/>
      <c r="Q1094" s="1489"/>
      <c r="R1094" s="1489"/>
      <c r="S1094" s="1489"/>
      <c r="T1094" s="1489"/>
      <c r="U1094" s="1489"/>
      <c r="V1094" s="1489"/>
      <c r="W1094" s="1489"/>
      <c r="X1094" s="1489"/>
      <c r="Y1094" s="1489"/>
      <c r="Z1094" s="1489"/>
      <c r="AA1094" s="1489"/>
      <c r="AB1094" s="1489"/>
      <c r="AC1094" s="1489"/>
      <c r="AD1094" s="1489"/>
      <c r="AE1094" s="1489"/>
      <c r="AF1094" s="1489"/>
      <c r="AG1094" s="1489"/>
      <c r="AH1094" s="1489"/>
      <c r="AI1094" s="1489"/>
      <c r="AJ1094" s="1489"/>
      <c r="AK1094" s="1489"/>
      <c r="AL1094" s="1489"/>
      <c r="AM1094" s="1489"/>
      <c r="AN1094" s="1489"/>
      <c r="AO1094" s="1489"/>
      <c r="AP1094" s="1489"/>
      <c r="AQ1094" s="1489"/>
      <c r="AR1094" s="1488"/>
      <c r="AS1094" s="1488"/>
      <c r="AT1094" s="1488"/>
      <c r="AU1094" s="1488"/>
      <c r="AV1094" s="1488"/>
      <c r="AW1094" s="1488"/>
      <c r="AX1094" s="1488"/>
      <c r="AY1094" s="1488"/>
    </row>
    <row r="1095" spans="3:51" s="1502" customFormat="1">
      <c r="C1095" s="1498"/>
      <c r="D1095" s="1501"/>
      <c r="E1095" s="1500"/>
      <c r="F1095" s="814"/>
      <c r="G1095" s="1494"/>
      <c r="H1095" s="1493"/>
      <c r="I1095" s="1493"/>
      <c r="J1095" s="813"/>
      <c r="K1095" s="814"/>
      <c r="L1095" s="1499"/>
      <c r="M1095" s="1488"/>
      <c r="N1095" s="1488"/>
      <c r="O1095" s="1488"/>
      <c r="P1095" s="1488"/>
      <c r="Q1095" s="1489"/>
      <c r="R1095" s="1489"/>
      <c r="S1095" s="1489"/>
      <c r="T1095" s="1489"/>
      <c r="U1095" s="1489"/>
      <c r="V1095" s="1489"/>
      <c r="W1095" s="1489"/>
      <c r="X1095" s="1489"/>
      <c r="Y1095" s="1489"/>
      <c r="Z1095" s="1489"/>
      <c r="AA1095" s="1489"/>
      <c r="AB1095" s="1489"/>
      <c r="AC1095" s="1489"/>
      <c r="AD1095" s="1489"/>
      <c r="AE1095" s="1489"/>
      <c r="AF1095" s="1489"/>
      <c r="AG1095" s="1489"/>
      <c r="AH1095" s="1489"/>
      <c r="AI1095" s="1489"/>
      <c r="AJ1095" s="1489"/>
      <c r="AK1095" s="1489"/>
      <c r="AL1095" s="1489"/>
      <c r="AM1095" s="1489"/>
      <c r="AN1095" s="1489"/>
      <c r="AO1095" s="1489"/>
      <c r="AP1095" s="1489"/>
      <c r="AQ1095" s="1489"/>
      <c r="AR1095" s="1488"/>
      <c r="AS1095" s="1488"/>
      <c r="AT1095" s="1488"/>
      <c r="AU1095" s="1488"/>
      <c r="AV1095" s="1488"/>
      <c r="AW1095" s="1488"/>
      <c r="AX1095" s="1488"/>
      <c r="AY1095" s="1488"/>
    </row>
    <row r="1096" spans="3:51" s="1502" customFormat="1">
      <c r="C1096" s="1498"/>
      <c r="D1096" s="1501"/>
      <c r="E1096" s="1500"/>
      <c r="F1096" s="814"/>
      <c r="G1096" s="1494"/>
      <c r="H1096" s="1493"/>
      <c r="I1096" s="1493"/>
      <c r="J1096" s="813"/>
      <c r="K1096" s="814"/>
      <c r="L1096" s="1499"/>
      <c r="M1096" s="1488"/>
      <c r="N1096" s="1488"/>
      <c r="O1096" s="1488"/>
      <c r="P1096" s="1488"/>
      <c r="Q1096" s="1489"/>
      <c r="R1096" s="1489"/>
      <c r="S1096" s="1489"/>
      <c r="T1096" s="1489"/>
      <c r="U1096" s="1489"/>
      <c r="V1096" s="1489"/>
      <c r="W1096" s="1489"/>
      <c r="X1096" s="1489"/>
      <c r="Y1096" s="1489"/>
      <c r="Z1096" s="1489"/>
      <c r="AA1096" s="1489"/>
      <c r="AB1096" s="1489"/>
      <c r="AC1096" s="1489"/>
      <c r="AD1096" s="1489"/>
      <c r="AE1096" s="1489"/>
      <c r="AF1096" s="1489"/>
      <c r="AG1096" s="1489"/>
      <c r="AH1096" s="1489"/>
      <c r="AI1096" s="1489"/>
      <c r="AJ1096" s="1489"/>
      <c r="AK1096" s="1489"/>
      <c r="AL1096" s="1489"/>
      <c r="AM1096" s="1489"/>
      <c r="AN1096" s="1489"/>
      <c r="AO1096" s="1489"/>
      <c r="AP1096" s="1489"/>
      <c r="AQ1096" s="1489"/>
      <c r="AR1096" s="1488"/>
      <c r="AS1096" s="1488"/>
      <c r="AT1096" s="1488"/>
      <c r="AU1096" s="1488"/>
      <c r="AV1096" s="1488"/>
      <c r="AW1096" s="1488"/>
      <c r="AX1096" s="1488"/>
      <c r="AY1096" s="1488"/>
    </row>
    <row r="1097" spans="3:51" s="1502" customFormat="1">
      <c r="C1097" s="1498"/>
      <c r="D1097" s="1501"/>
      <c r="E1097" s="1500"/>
      <c r="F1097" s="814"/>
      <c r="G1097" s="1494"/>
      <c r="H1097" s="1493"/>
      <c r="I1097" s="1493"/>
      <c r="J1097" s="813"/>
      <c r="K1097" s="814"/>
      <c r="L1097" s="1499"/>
      <c r="M1097" s="1488"/>
      <c r="N1097" s="1488"/>
      <c r="O1097" s="1488"/>
      <c r="P1097" s="1488"/>
      <c r="Q1097" s="1489"/>
      <c r="R1097" s="1489"/>
      <c r="S1097" s="1489"/>
      <c r="T1097" s="1489"/>
      <c r="U1097" s="1489"/>
      <c r="V1097" s="1489"/>
      <c r="W1097" s="1489"/>
      <c r="X1097" s="1489"/>
      <c r="Y1097" s="1489"/>
      <c r="Z1097" s="1489"/>
      <c r="AA1097" s="1489"/>
      <c r="AB1097" s="1489"/>
      <c r="AC1097" s="1489"/>
      <c r="AD1097" s="1489"/>
      <c r="AE1097" s="1489"/>
      <c r="AF1097" s="1489"/>
      <c r="AG1097" s="1489"/>
      <c r="AH1097" s="1489"/>
      <c r="AI1097" s="1489"/>
      <c r="AJ1097" s="1489"/>
      <c r="AK1097" s="1489"/>
      <c r="AL1097" s="1489"/>
      <c r="AM1097" s="1489"/>
      <c r="AN1097" s="1489"/>
      <c r="AO1097" s="1489"/>
      <c r="AP1097" s="1489"/>
      <c r="AQ1097" s="1489"/>
      <c r="AR1097" s="1488"/>
      <c r="AS1097" s="1488"/>
      <c r="AT1097" s="1488"/>
      <c r="AU1097" s="1488"/>
      <c r="AV1097" s="1488"/>
      <c r="AW1097" s="1488"/>
      <c r="AX1097" s="1488"/>
      <c r="AY1097" s="1488"/>
    </row>
    <row r="1098" spans="3:51" s="1502" customFormat="1">
      <c r="C1098" s="1498"/>
      <c r="D1098" s="1501"/>
      <c r="E1098" s="1500"/>
      <c r="F1098" s="814"/>
      <c r="G1098" s="1494"/>
      <c r="H1098" s="1493"/>
      <c r="I1098" s="1493"/>
      <c r="J1098" s="813"/>
      <c r="K1098" s="814"/>
      <c r="L1098" s="1499"/>
      <c r="M1098" s="1488"/>
      <c r="N1098" s="1488"/>
      <c r="O1098" s="1488"/>
      <c r="P1098" s="1488"/>
      <c r="Q1098" s="1489"/>
      <c r="R1098" s="1489"/>
      <c r="S1098" s="1489"/>
      <c r="T1098" s="1489"/>
      <c r="U1098" s="1489"/>
      <c r="V1098" s="1489"/>
      <c r="W1098" s="1489"/>
      <c r="X1098" s="1489"/>
      <c r="Y1098" s="1489"/>
      <c r="Z1098" s="1489"/>
      <c r="AA1098" s="1489"/>
      <c r="AB1098" s="1489"/>
      <c r="AC1098" s="1489"/>
      <c r="AD1098" s="1489"/>
      <c r="AE1098" s="1489"/>
      <c r="AF1098" s="1489"/>
      <c r="AG1098" s="1489"/>
      <c r="AH1098" s="1489"/>
      <c r="AI1098" s="1489"/>
      <c r="AJ1098" s="1489"/>
      <c r="AK1098" s="1489"/>
      <c r="AL1098" s="1489"/>
      <c r="AM1098" s="1489"/>
      <c r="AN1098" s="1489"/>
      <c r="AO1098" s="1489"/>
      <c r="AP1098" s="1489"/>
      <c r="AQ1098" s="1489"/>
      <c r="AR1098" s="1488"/>
      <c r="AS1098" s="1488"/>
      <c r="AT1098" s="1488"/>
      <c r="AU1098" s="1488"/>
      <c r="AV1098" s="1488"/>
      <c r="AW1098" s="1488"/>
      <c r="AX1098" s="1488"/>
      <c r="AY1098" s="1488"/>
    </row>
    <row r="1099" spans="3:51" s="1502" customFormat="1">
      <c r="C1099" s="1498"/>
      <c r="D1099" s="1501"/>
      <c r="E1099" s="1500"/>
      <c r="F1099" s="814"/>
      <c r="G1099" s="1494"/>
      <c r="H1099" s="1493"/>
      <c r="I1099" s="1493"/>
      <c r="J1099" s="813"/>
      <c r="K1099" s="814"/>
      <c r="L1099" s="1499"/>
      <c r="M1099" s="1488"/>
      <c r="N1099" s="1488"/>
      <c r="O1099" s="1488"/>
      <c r="P1099" s="1488"/>
      <c r="Q1099" s="1489"/>
      <c r="R1099" s="1489"/>
      <c r="S1099" s="1489"/>
      <c r="T1099" s="1489"/>
      <c r="U1099" s="1489"/>
      <c r="V1099" s="1489"/>
      <c r="W1099" s="1489"/>
      <c r="X1099" s="1489"/>
      <c r="Y1099" s="1489"/>
      <c r="Z1099" s="1489"/>
      <c r="AA1099" s="1489"/>
      <c r="AB1099" s="1489"/>
      <c r="AC1099" s="1489"/>
      <c r="AD1099" s="1489"/>
      <c r="AE1099" s="1489"/>
      <c r="AF1099" s="1489"/>
      <c r="AG1099" s="1489"/>
      <c r="AH1099" s="1489"/>
      <c r="AI1099" s="1489"/>
      <c r="AJ1099" s="1489"/>
      <c r="AK1099" s="1489"/>
      <c r="AL1099" s="1489"/>
      <c r="AM1099" s="1489"/>
      <c r="AN1099" s="1489"/>
      <c r="AO1099" s="1489"/>
      <c r="AP1099" s="1489"/>
      <c r="AQ1099" s="1489"/>
      <c r="AR1099" s="1488"/>
      <c r="AS1099" s="1488"/>
      <c r="AT1099" s="1488"/>
      <c r="AU1099" s="1488"/>
      <c r="AV1099" s="1488"/>
      <c r="AW1099" s="1488"/>
      <c r="AX1099" s="1488"/>
      <c r="AY1099" s="1488"/>
    </row>
    <row r="1100" spans="3:51" s="1502" customFormat="1">
      <c r="C1100" s="1498"/>
      <c r="D1100" s="1501"/>
      <c r="E1100" s="1500"/>
      <c r="F1100" s="814"/>
      <c r="G1100" s="1494"/>
      <c r="H1100" s="1493"/>
      <c r="I1100" s="1493"/>
      <c r="J1100" s="813"/>
      <c r="K1100" s="814"/>
      <c r="L1100" s="1499"/>
      <c r="M1100" s="1488"/>
      <c r="N1100" s="1488"/>
      <c r="O1100" s="1488"/>
      <c r="P1100" s="1488"/>
      <c r="Q1100" s="1489"/>
      <c r="R1100" s="1489"/>
      <c r="S1100" s="1489"/>
      <c r="T1100" s="1489"/>
      <c r="U1100" s="1489"/>
      <c r="V1100" s="1489"/>
      <c r="W1100" s="1489"/>
      <c r="X1100" s="1489"/>
      <c r="Y1100" s="1489"/>
      <c r="Z1100" s="1489"/>
      <c r="AA1100" s="1489"/>
      <c r="AB1100" s="1489"/>
      <c r="AC1100" s="1489"/>
      <c r="AD1100" s="1489"/>
      <c r="AE1100" s="1489"/>
      <c r="AF1100" s="1489"/>
      <c r="AG1100" s="1489"/>
      <c r="AH1100" s="1489"/>
      <c r="AI1100" s="1489"/>
      <c r="AJ1100" s="1489"/>
      <c r="AK1100" s="1489"/>
      <c r="AL1100" s="1489"/>
      <c r="AM1100" s="1489"/>
      <c r="AN1100" s="1489"/>
      <c r="AO1100" s="1489"/>
      <c r="AP1100" s="1489"/>
      <c r="AQ1100" s="1489"/>
      <c r="AR1100" s="1488"/>
      <c r="AS1100" s="1488"/>
      <c r="AT1100" s="1488"/>
      <c r="AU1100" s="1488"/>
      <c r="AV1100" s="1488"/>
      <c r="AW1100" s="1488"/>
      <c r="AX1100" s="1488"/>
      <c r="AY1100" s="1488"/>
    </row>
    <row r="1101" spans="3:51" s="1502" customFormat="1">
      <c r="C1101" s="1498"/>
      <c r="D1101" s="1501"/>
      <c r="E1101" s="1500"/>
      <c r="F1101" s="814"/>
      <c r="G1101" s="1494"/>
      <c r="H1101" s="1493"/>
      <c r="I1101" s="1493"/>
      <c r="J1101" s="813"/>
      <c r="K1101" s="814"/>
      <c r="L1101" s="1499"/>
      <c r="M1101" s="1488"/>
      <c r="N1101" s="1488"/>
      <c r="O1101" s="1488"/>
      <c r="P1101" s="1488"/>
      <c r="Q1101" s="1489"/>
      <c r="R1101" s="1489"/>
      <c r="S1101" s="1489"/>
      <c r="T1101" s="1489"/>
      <c r="U1101" s="1489"/>
      <c r="V1101" s="1489"/>
      <c r="W1101" s="1489"/>
      <c r="X1101" s="1489"/>
      <c r="Y1101" s="1489"/>
      <c r="Z1101" s="1489"/>
      <c r="AA1101" s="1489"/>
      <c r="AB1101" s="1489"/>
      <c r="AC1101" s="1489"/>
      <c r="AD1101" s="1489"/>
      <c r="AE1101" s="1489"/>
      <c r="AF1101" s="1489"/>
      <c r="AG1101" s="1489"/>
      <c r="AH1101" s="1489"/>
      <c r="AI1101" s="1489"/>
      <c r="AJ1101" s="1489"/>
      <c r="AK1101" s="1489"/>
      <c r="AL1101" s="1489"/>
      <c r="AM1101" s="1489"/>
      <c r="AN1101" s="1489"/>
      <c r="AO1101" s="1489"/>
      <c r="AP1101" s="1489"/>
      <c r="AQ1101" s="1489"/>
      <c r="AR1101" s="1488"/>
      <c r="AS1101" s="1488"/>
      <c r="AT1101" s="1488"/>
      <c r="AU1101" s="1488"/>
      <c r="AV1101" s="1488"/>
      <c r="AW1101" s="1488"/>
      <c r="AX1101" s="1488"/>
      <c r="AY1101" s="1488"/>
    </row>
    <row r="1102" spans="3:51" s="1502" customFormat="1">
      <c r="C1102" s="1498"/>
      <c r="D1102" s="1501"/>
      <c r="E1102" s="1500"/>
      <c r="F1102" s="814"/>
      <c r="G1102" s="1494"/>
      <c r="H1102" s="1493"/>
      <c r="I1102" s="1493"/>
      <c r="J1102" s="813"/>
      <c r="K1102" s="814"/>
      <c r="L1102" s="1499"/>
      <c r="M1102" s="1488"/>
      <c r="N1102" s="1488"/>
      <c r="O1102" s="1488"/>
      <c r="P1102" s="1488"/>
      <c r="Q1102" s="1489"/>
      <c r="R1102" s="1489"/>
      <c r="S1102" s="1489"/>
      <c r="T1102" s="1489"/>
      <c r="U1102" s="1489"/>
      <c r="V1102" s="1489"/>
      <c r="W1102" s="1489"/>
      <c r="X1102" s="1489"/>
      <c r="Y1102" s="1489"/>
      <c r="Z1102" s="1489"/>
      <c r="AA1102" s="1489"/>
      <c r="AB1102" s="1489"/>
      <c r="AC1102" s="1489"/>
      <c r="AD1102" s="1489"/>
      <c r="AE1102" s="1489"/>
      <c r="AF1102" s="1489"/>
      <c r="AG1102" s="1489"/>
      <c r="AH1102" s="1489"/>
      <c r="AI1102" s="1489"/>
      <c r="AJ1102" s="1489"/>
      <c r="AK1102" s="1489"/>
      <c r="AL1102" s="1489"/>
      <c r="AM1102" s="1489"/>
      <c r="AN1102" s="1489"/>
      <c r="AO1102" s="1489"/>
      <c r="AP1102" s="1489"/>
      <c r="AQ1102" s="1489"/>
      <c r="AR1102" s="1488"/>
      <c r="AS1102" s="1488"/>
      <c r="AT1102" s="1488"/>
      <c r="AU1102" s="1488"/>
      <c r="AV1102" s="1488"/>
      <c r="AW1102" s="1488"/>
      <c r="AX1102" s="1488"/>
      <c r="AY1102" s="1488"/>
    </row>
    <row r="1103" spans="3:51" s="1502" customFormat="1">
      <c r="C1103" s="1498"/>
      <c r="D1103" s="1501"/>
      <c r="E1103" s="1500"/>
      <c r="F1103" s="814"/>
      <c r="G1103" s="1494"/>
      <c r="H1103" s="1493"/>
      <c r="I1103" s="1493"/>
      <c r="J1103" s="813"/>
      <c r="K1103" s="814"/>
      <c r="L1103" s="1499"/>
      <c r="M1103" s="1488"/>
      <c r="N1103" s="1488"/>
      <c r="O1103" s="1488"/>
      <c r="P1103" s="1488"/>
      <c r="Q1103" s="1489"/>
      <c r="R1103" s="1489"/>
      <c r="S1103" s="1489"/>
      <c r="T1103" s="1489"/>
      <c r="U1103" s="1489"/>
      <c r="V1103" s="1489"/>
      <c r="W1103" s="1489"/>
      <c r="X1103" s="1489"/>
      <c r="Y1103" s="1489"/>
      <c r="Z1103" s="1489"/>
      <c r="AA1103" s="1489"/>
      <c r="AB1103" s="1489"/>
      <c r="AC1103" s="1489"/>
      <c r="AD1103" s="1489"/>
      <c r="AE1103" s="1489"/>
      <c r="AF1103" s="1489"/>
      <c r="AG1103" s="1489"/>
      <c r="AH1103" s="1489"/>
      <c r="AI1103" s="1489"/>
      <c r="AJ1103" s="1489"/>
      <c r="AK1103" s="1489"/>
      <c r="AL1103" s="1489"/>
      <c r="AM1103" s="1489"/>
      <c r="AN1103" s="1489"/>
      <c r="AO1103" s="1489"/>
      <c r="AP1103" s="1489"/>
      <c r="AQ1103" s="1489"/>
      <c r="AR1103" s="1488"/>
      <c r="AS1103" s="1488"/>
      <c r="AT1103" s="1488"/>
      <c r="AU1103" s="1488"/>
      <c r="AV1103" s="1488"/>
      <c r="AW1103" s="1488"/>
      <c r="AX1103" s="1488"/>
      <c r="AY1103" s="1488"/>
    </row>
    <row r="1104" spans="3:51" s="1502" customFormat="1">
      <c r="C1104" s="1498"/>
      <c r="D1104" s="1501"/>
      <c r="E1104" s="1500"/>
      <c r="F1104" s="814"/>
      <c r="G1104" s="1494"/>
      <c r="H1104" s="1493"/>
      <c r="I1104" s="1493"/>
      <c r="J1104" s="813"/>
      <c r="K1104" s="814"/>
      <c r="L1104" s="1499"/>
      <c r="M1104" s="1488"/>
      <c r="N1104" s="1488"/>
      <c r="O1104" s="1488"/>
      <c r="P1104" s="1488"/>
      <c r="Q1104" s="1489"/>
      <c r="R1104" s="1489"/>
      <c r="S1104" s="1489"/>
      <c r="T1104" s="1489"/>
      <c r="U1104" s="1489"/>
      <c r="V1104" s="1489"/>
      <c r="W1104" s="1489"/>
      <c r="X1104" s="1489"/>
      <c r="Y1104" s="1489"/>
      <c r="Z1104" s="1489"/>
      <c r="AA1104" s="1489"/>
      <c r="AB1104" s="1489"/>
      <c r="AC1104" s="1489"/>
      <c r="AD1104" s="1489"/>
      <c r="AE1104" s="1489"/>
      <c r="AF1104" s="1489"/>
      <c r="AG1104" s="1489"/>
      <c r="AH1104" s="1489"/>
      <c r="AI1104" s="1489"/>
      <c r="AJ1104" s="1489"/>
      <c r="AK1104" s="1489"/>
      <c r="AL1104" s="1489"/>
      <c r="AM1104" s="1489"/>
      <c r="AN1104" s="1489"/>
      <c r="AO1104" s="1489"/>
      <c r="AP1104" s="1489"/>
      <c r="AQ1104" s="1489"/>
      <c r="AR1104" s="1488"/>
      <c r="AS1104" s="1488"/>
      <c r="AT1104" s="1488"/>
      <c r="AU1104" s="1488"/>
      <c r="AV1104" s="1488"/>
      <c r="AW1104" s="1488"/>
      <c r="AX1104" s="1488"/>
      <c r="AY1104" s="1488"/>
    </row>
    <row r="1105" spans="3:51" s="1502" customFormat="1">
      <c r="C1105" s="1498"/>
      <c r="D1105" s="1501"/>
      <c r="E1105" s="1500"/>
      <c r="F1105" s="814"/>
      <c r="G1105" s="1494"/>
      <c r="H1105" s="1493"/>
      <c r="I1105" s="1493"/>
      <c r="J1105" s="813"/>
      <c r="K1105" s="814"/>
      <c r="L1105" s="1499"/>
      <c r="M1105" s="1488"/>
      <c r="N1105" s="1488"/>
      <c r="O1105" s="1488"/>
      <c r="P1105" s="1488"/>
      <c r="Q1105" s="1489"/>
      <c r="R1105" s="1489"/>
      <c r="S1105" s="1489"/>
      <c r="T1105" s="1489"/>
      <c r="U1105" s="1489"/>
      <c r="V1105" s="1489"/>
      <c r="W1105" s="1489"/>
      <c r="X1105" s="1489"/>
      <c r="Y1105" s="1489"/>
      <c r="Z1105" s="1489"/>
      <c r="AA1105" s="1489"/>
      <c r="AB1105" s="1489"/>
      <c r="AC1105" s="1489"/>
      <c r="AD1105" s="1489"/>
      <c r="AE1105" s="1489"/>
      <c r="AF1105" s="1489"/>
      <c r="AG1105" s="1489"/>
      <c r="AH1105" s="1489"/>
      <c r="AI1105" s="1489"/>
      <c r="AJ1105" s="1489"/>
      <c r="AK1105" s="1489"/>
      <c r="AL1105" s="1489"/>
      <c r="AM1105" s="1489"/>
      <c r="AN1105" s="1489"/>
      <c r="AO1105" s="1489"/>
      <c r="AP1105" s="1489"/>
      <c r="AQ1105" s="1489"/>
      <c r="AR1105" s="1488"/>
      <c r="AS1105" s="1488"/>
      <c r="AT1105" s="1488"/>
      <c r="AU1105" s="1488"/>
      <c r="AV1105" s="1488"/>
      <c r="AW1105" s="1488"/>
      <c r="AX1105" s="1488"/>
      <c r="AY1105" s="1488"/>
    </row>
    <row r="1106" spans="3:51" s="1502" customFormat="1">
      <c r="C1106" s="1498"/>
      <c r="D1106" s="1501"/>
      <c r="E1106" s="1500"/>
      <c r="F1106" s="814"/>
      <c r="G1106" s="1494"/>
      <c r="H1106" s="1493"/>
      <c r="I1106" s="1493"/>
      <c r="J1106" s="813"/>
      <c r="K1106" s="814"/>
      <c r="L1106" s="1499"/>
      <c r="M1106" s="1488"/>
      <c r="N1106" s="1488"/>
      <c r="O1106" s="1488"/>
      <c r="P1106" s="1488"/>
      <c r="Q1106" s="1489"/>
      <c r="R1106" s="1489"/>
      <c r="S1106" s="1489"/>
      <c r="T1106" s="1489"/>
      <c r="U1106" s="1489"/>
      <c r="V1106" s="1489"/>
      <c r="W1106" s="1489"/>
      <c r="X1106" s="1489"/>
      <c r="Y1106" s="1489"/>
      <c r="Z1106" s="1489"/>
      <c r="AA1106" s="1489"/>
      <c r="AB1106" s="1489"/>
      <c r="AC1106" s="1489"/>
      <c r="AD1106" s="1489"/>
      <c r="AE1106" s="1489"/>
      <c r="AF1106" s="1489"/>
      <c r="AG1106" s="1489"/>
      <c r="AH1106" s="1489"/>
      <c r="AI1106" s="1489"/>
      <c r="AJ1106" s="1489"/>
      <c r="AK1106" s="1489"/>
      <c r="AL1106" s="1489"/>
      <c r="AM1106" s="1489"/>
      <c r="AN1106" s="1489"/>
      <c r="AO1106" s="1489"/>
      <c r="AP1106" s="1489"/>
      <c r="AQ1106" s="1489"/>
      <c r="AR1106" s="1488"/>
      <c r="AS1106" s="1488"/>
      <c r="AT1106" s="1488"/>
      <c r="AU1106" s="1488"/>
      <c r="AV1106" s="1488"/>
      <c r="AW1106" s="1488"/>
      <c r="AX1106" s="1488"/>
      <c r="AY1106" s="1488"/>
    </row>
    <row r="1107" spans="3:51" s="1502" customFormat="1">
      <c r="C1107" s="1498"/>
      <c r="D1107" s="1501"/>
      <c r="E1107" s="1500"/>
      <c r="F1107" s="814"/>
      <c r="G1107" s="1494"/>
      <c r="H1107" s="1493"/>
      <c r="I1107" s="1493"/>
      <c r="J1107" s="813"/>
      <c r="K1107" s="814"/>
      <c r="L1107" s="1499"/>
      <c r="M1107" s="1488"/>
      <c r="N1107" s="1488"/>
      <c r="O1107" s="1488"/>
      <c r="P1107" s="1488"/>
      <c r="Q1107" s="1489"/>
      <c r="R1107" s="1489"/>
      <c r="S1107" s="1489"/>
      <c r="T1107" s="1489"/>
      <c r="U1107" s="1489"/>
      <c r="V1107" s="1489"/>
      <c r="W1107" s="1489"/>
      <c r="X1107" s="1489"/>
      <c r="Y1107" s="1489"/>
      <c r="Z1107" s="1489"/>
      <c r="AA1107" s="1489"/>
      <c r="AB1107" s="1489"/>
      <c r="AC1107" s="1489"/>
      <c r="AD1107" s="1489"/>
      <c r="AE1107" s="1489"/>
      <c r="AF1107" s="1489"/>
      <c r="AG1107" s="1489"/>
      <c r="AH1107" s="1489"/>
      <c r="AI1107" s="1489"/>
      <c r="AJ1107" s="1489"/>
      <c r="AK1107" s="1489"/>
      <c r="AL1107" s="1489"/>
      <c r="AM1107" s="1489"/>
      <c r="AN1107" s="1489"/>
      <c r="AO1107" s="1489"/>
      <c r="AP1107" s="1489"/>
      <c r="AQ1107" s="1489"/>
      <c r="AR1107" s="1488"/>
      <c r="AS1107" s="1488"/>
      <c r="AT1107" s="1488"/>
      <c r="AU1107" s="1488"/>
      <c r="AV1107" s="1488"/>
      <c r="AW1107" s="1488"/>
      <c r="AX1107" s="1488"/>
      <c r="AY1107" s="1488"/>
    </row>
    <row r="1108" spans="3:51" s="1502" customFormat="1">
      <c r="C1108" s="1498"/>
      <c r="D1108" s="1501"/>
      <c r="E1108" s="1500"/>
      <c r="F1108" s="814"/>
      <c r="G1108" s="1494"/>
      <c r="H1108" s="1493"/>
      <c r="I1108" s="1493"/>
      <c r="J1108" s="813"/>
      <c r="K1108" s="814"/>
      <c r="L1108" s="1499"/>
      <c r="M1108" s="1488"/>
      <c r="N1108" s="1488"/>
      <c r="O1108" s="1488"/>
      <c r="P1108" s="1488"/>
      <c r="Q1108" s="1489"/>
      <c r="R1108" s="1489"/>
      <c r="S1108" s="1489"/>
      <c r="T1108" s="1489"/>
      <c r="U1108" s="1489"/>
      <c r="V1108" s="1489"/>
      <c r="W1108" s="1489"/>
      <c r="X1108" s="1489"/>
      <c r="Y1108" s="1489"/>
      <c r="Z1108" s="1489"/>
      <c r="AA1108" s="1489"/>
      <c r="AB1108" s="1489"/>
      <c r="AC1108" s="1489"/>
      <c r="AD1108" s="1489"/>
      <c r="AE1108" s="1489"/>
      <c r="AF1108" s="1489"/>
      <c r="AG1108" s="1489"/>
      <c r="AH1108" s="1489"/>
      <c r="AI1108" s="1489"/>
      <c r="AJ1108" s="1489"/>
      <c r="AK1108" s="1489"/>
      <c r="AL1108" s="1489"/>
      <c r="AM1108" s="1489"/>
      <c r="AN1108" s="1489"/>
      <c r="AO1108" s="1489"/>
      <c r="AP1108" s="1489"/>
      <c r="AQ1108" s="1489"/>
      <c r="AR1108" s="1488"/>
      <c r="AS1108" s="1488"/>
      <c r="AT1108" s="1488"/>
      <c r="AU1108" s="1488"/>
      <c r="AV1108" s="1488"/>
      <c r="AW1108" s="1488"/>
      <c r="AX1108" s="1488"/>
      <c r="AY1108" s="1488"/>
    </row>
    <row r="1109" spans="3:51" s="1502" customFormat="1">
      <c r="C1109" s="1498"/>
      <c r="D1109" s="1501"/>
      <c r="E1109" s="1500"/>
      <c r="F1109" s="814"/>
      <c r="G1109" s="1494"/>
      <c r="H1109" s="1493"/>
      <c r="I1109" s="1493"/>
      <c r="J1109" s="813"/>
      <c r="K1109" s="814"/>
      <c r="L1109" s="1499"/>
      <c r="M1109" s="1488"/>
      <c r="N1109" s="1488"/>
      <c r="O1109" s="1488"/>
      <c r="P1109" s="1488"/>
      <c r="Q1109" s="1489"/>
      <c r="R1109" s="1489"/>
      <c r="S1109" s="1489"/>
      <c r="T1109" s="1489"/>
      <c r="U1109" s="1489"/>
      <c r="V1109" s="1489"/>
      <c r="W1109" s="1489"/>
      <c r="X1109" s="1489"/>
      <c r="Y1109" s="1489"/>
      <c r="Z1109" s="1489"/>
      <c r="AA1109" s="1489"/>
      <c r="AB1109" s="1489"/>
      <c r="AC1109" s="1489"/>
      <c r="AD1109" s="1489"/>
      <c r="AE1109" s="1489"/>
      <c r="AF1109" s="1489"/>
      <c r="AG1109" s="1489"/>
      <c r="AH1109" s="1489"/>
      <c r="AI1109" s="1489"/>
      <c r="AJ1109" s="1489"/>
      <c r="AK1109" s="1489"/>
      <c r="AL1109" s="1489"/>
      <c r="AM1109" s="1489"/>
      <c r="AN1109" s="1489"/>
      <c r="AO1109" s="1489"/>
      <c r="AP1109" s="1489"/>
      <c r="AQ1109" s="1489"/>
      <c r="AR1109" s="1488"/>
      <c r="AS1109" s="1488"/>
      <c r="AT1109" s="1488"/>
      <c r="AU1109" s="1488"/>
      <c r="AV1109" s="1488"/>
      <c r="AW1109" s="1488"/>
      <c r="AX1109" s="1488"/>
      <c r="AY1109" s="1488"/>
    </row>
    <row r="1110" spans="3:51" s="1502" customFormat="1">
      <c r="C1110" s="1498"/>
      <c r="D1110" s="1501"/>
      <c r="E1110" s="1500"/>
      <c r="F1110" s="814"/>
      <c r="G1110" s="1494"/>
      <c r="H1110" s="1493"/>
      <c r="I1110" s="1493"/>
      <c r="J1110" s="813"/>
      <c r="K1110" s="814"/>
      <c r="L1110" s="1499"/>
      <c r="M1110" s="1488"/>
      <c r="N1110" s="1488"/>
      <c r="O1110" s="1488"/>
      <c r="P1110" s="1488"/>
      <c r="Q1110" s="1489"/>
      <c r="R1110" s="1489"/>
      <c r="S1110" s="1489"/>
      <c r="T1110" s="1489"/>
      <c r="U1110" s="1489"/>
      <c r="V1110" s="1489"/>
      <c r="W1110" s="1489"/>
      <c r="X1110" s="1489"/>
      <c r="Y1110" s="1489"/>
      <c r="Z1110" s="1489"/>
      <c r="AA1110" s="1489"/>
      <c r="AB1110" s="1489"/>
      <c r="AC1110" s="1489"/>
      <c r="AD1110" s="1489"/>
      <c r="AE1110" s="1489"/>
      <c r="AF1110" s="1489"/>
      <c r="AG1110" s="1489"/>
      <c r="AH1110" s="1489"/>
      <c r="AI1110" s="1489"/>
      <c r="AJ1110" s="1489"/>
      <c r="AK1110" s="1489"/>
      <c r="AL1110" s="1489"/>
      <c r="AM1110" s="1489"/>
      <c r="AN1110" s="1489"/>
      <c r="AO1110" s="1489"/>
      <c r="AP1110" s="1489"/>
      <c r="AQ1110" s="1489"/>
      <c r="AR1110" s="1488"/>
      <c r="AS1110" s="1488"/>
      <c r="AT1110" s="1488"/>
      <c r="AU1110" s="1488"/>
      <c r="AV1110" s="1488"/>
      <c r="AW1110" s="1488"/>
      <c r="AX1110" s="1488"/>
      <c r="AY1110" s="1488"/>
    </row>
    <row r="1111" spans="3:51" s="1502" customFormat="1">
      <c r="C1111" s="1498"/>
      <c r="D1111" s="1501"/>
      <c r="E1111" s="1500"/>
      <c r="F1111" s="814"/>
      <c r="G1111" s="1494"/>
      <c r="H1111" s="1493"/>
      <c r="I1111" s="1493"/>
      <c r="J1111" s="813"/>
      <c r="K1111" s="814"/>
      <c r="L1111" s="1499"/>
      <c r="M1111" s="1488"/>
      <c r="N1111" s="1488"/>
      <c r="O1111" s="1488"/>
      <c r="P1111" s="1488"/>
      <c r="Q1111" s="1489"/>
      <c r="R1111" s="1489"/>
      <c r="S1111" s="1489"/>
      <c r="T1111" s="1489"/>
      <c r="U1111" s="1489"/>
      <c r="V1111" s="1489"/>
      <c r="W1111" s="1489"/>
      <c r="X1111" s="1489"/>
      <c r="Y1111" s="1489"/>
      <c r="Z1111" s="1489"/>
      <c r="AA1111" s="1489"/>
      <c r="AB1111" s="1489"/>
      <c r="AC1111" s="1489"/>
      <c r="AD1111" s="1489"/>
      <c r="AE1111" s="1489"/>
      <c r="AF1111" s="1489"/>
      <c r="AG1111" s="1489"/>
      <c r="AH1111" s="1489"/>
      <c r="AI1111" s="1489"/>
      <c r="AJ1111" s="1489"/>
      <c r="AK1111" s="1489"/>
      <c r="AL1111" s="1489"/>
      <c r="AM1111" s="1489"/>
      <c r="AN1111" s="1489"/>
      <c r="AO1111" s="1489"/>
      <c r="AP1111" s="1489"/>
      <c r="AQ1111" s="1489"/>
      <c r="AR1111" s="1488"/>
      <c r="AS1111" s="1488"/>
      <c r="AT1111" s="1488"/>
      <c r="AU1111" s="1488"/>
      <c r="AV1111" s="1488"/>
      <c r="AW1111" s="1488"/>
      <c r="AX1111" s="1488"/>
      <c r="AY1111" s="1488"/>
    </row>
    <row r="1112" spans="3:51" s="1502" customFormat="1">
      <c r="C1112" s="1498"/>
      <c r="D1112" s="1501"/>
      <c r="E1112" s="1500"/>
      <c r="F1112" s="814"/>
      <c r="G1112" s="1494"/>
      <c r="H1112" s="1493"/>
      <c r="I1112" s="1493"/>
      <c r="J1112" s="813"/>
      <c r="K1112" s="814"/>
      <c r="L1112" s="1499"/>
      <c r="M1112" s="1488"/>
      <c r="N1112" s="1488"/>
      <c r="O1112" s="1488"/>
      <c r="P1112" s="1488"/>
      <c r="Q1112" s="1489"/>
      <c r="R1112" s="1489"/>
      <c r="S1112" s="1489"/>
      <c r="T1112" s="1489"/>
      <c r="U1112" s="1489"/>
      <c r="V1112" s="1489"/>
      <c r="W1112" s="1489"/>
      <c r="X1112" s="1489"/>
      <c r="Y1112" s="1489"/>
      <c r="Z1112" s="1489"/>
      <c r="AA1112" s="1489"/>
      <c r="AB1112" s="1489"/>
      <c r="AC1112" s="1489"/>
      <c r="AD1112" s="1489"/>
      <c r="AE1112" s="1489"/>
      <c r="AF1112" s="1489"/>
      <c r="AG1112" s="1489"/>
      <c r="AH1112" s="1489"/>
      <c r="AI1112" s="1489"/>
      <c r="AJ1112" s="1489"/>
      <c r="AK1112" s="1489"/>
      <c r="AL1112" s="1489"/>
      <c r="AM1112" s="1489"/>
      <c r="AN1112" s="1489"/>
      <c r="AO1112" s="1489"/>
      <c r="AP1112" s="1489"/>
      <c r="AQ1112" s="1489"/>
      <c r="AR1112" s="1488"/>
      <c r="AS1112" s="1488"/>
      <c r="AT1112" s="1488"/>
      <c r="AU1112" s="1488"/>
      <c r="AV1112" s="1488"/>
      <c r="AW1112" s="1488"/>
      <c r="AX1112" s="1488"/>
      <c r="AY1112" s="1488"/>
    </row>
    <row r="1113" spans="3:51" s="1502" customFormat="1">
      <c r="C1113" s="1498"/>
      <c r="D1113" s="1501"/>
      <c r="E1113" s="1500"/>
      <c r="F1113" s="814"/>
      <c r="G1113" s="1494"/>
      <c r="H1113" s="1493"/>
      <c r="I1113" s="1493"/>
      <c r="J1113" s="813"/>
      <c r="K1113" s="814"/>
      <c r="L1113" s="1499"/>
      <c r="M1113" s="1488"/>
      <c r="N1113" s="1488"/>
      <c r="O1113" s="1488"/>
      <c r="P1113" s="1488"/>
      <c r="Q1113" s="1489"/>
      <c r="R1113" s="1489"/>
      <c r="S1113" s="1489"/>
      <c r="T1113" s="1489"/>
      <c r="U1113" s="1489"/>
      <c r="V1113" s="1489"/>
      <c r="W1113" s="1489"/>
      <c r="X1113" s="1489"/>
      <c r="Y1113" s="1489"/>
      <c r="Z1113" s="1489"/>
      <c r="AA1113" s="1489"/>
      <c r="AB1113" s="1489"/>
      <c r="AC1113" s="1489"/>
      <c r="AD1113" s="1489"/>
      <c r="AE1113" s="1489"/>
      <c r="AF1113" s="1489"/>
      <c r="AG1113" s="1489"/>
      <c r="AH1113" s="1489"/>
      <c r="AI1113" s="1489"/>
      <c r="AJ1113" s="1489"/>
      <c r="AK1113" s="1489"/>
      <c r="AL1113" s="1489"/>
      <c r="AM1113" s="1489"/>
      <c r="AN1113" s="1489"/>
      <c r="AO1113" s="1489"/>
      <c r="AP1113" s="1489"/>
      <c r="AQ1113" s="1489"/>
      <c r="AR1113" s="1488"/>
      <c r="AS1113" s="1488"/>
      <c r="AT1113" s="1488"/>
      <c r="AU1113" s="1488"/>
      <c r="AV1113" s="1488"/>
      <c r="AW1113" s="1488"/>
      <c r="AX1113" s="1488"/>
      <c r="AY1113" s="1488"/>
    </row>
    <row r="1114" spans="3:51" s="1502" customFormat="1">
      <c r="C1114" s="1498"/>
      <c r="D1114" s="1501"/>
      <c r="E1114" s="1500"/>
      <c r="F1114" s="814"/>
      <c r="G1114" s="1494"/>
      <c r="H1114" s="1493"/>
      <c r="I1114" s="1493"/>
      <c r="J1114" s="813"/>
      <c r="K1114" s="814"/>
      <c r="L1114" s="1499"/>
      <c r="M1114" s="1488"/>
      <c r="N1114" s="1488"/>
      <c r="O1114" s="1488"/>
      <c r="P1114" s="1488"/>
      <c r="Q1114" s="1489"/>
      <c r="R1114" s="1489"/>
      <c r="S1114" s="1489"/>
      <c r="T1114" s="1489"/>
      <c r="U1114" s="1489"/>
      <c r="V1114" s="1489"/>
      <c r="W1114" s="1489"/>
      <c r="X1114" s="1489"/>
      <c r="Y1114" s="1489"/>
      <c r="Z1114" s="1489"/>
      <c r="AA1114" s="1489"/>
      <c r="AB1114" s="1489"/>
      <c r="AC1114" s="1489"/>
      <c r="AD1114" s="1489"/>
      <c r="AE1114" s="1489"/>
      <c r="AF1114" s="1489"/>
      <c r="AG1114" s="1489"/>
      <c r="AH1114" s="1489"/>
      <c r="AI1114" s="1489"/>
      <c r="AJ1114" s="1489"/>
      <c r="AK1114" s="1489"/>
      <c r="AL1114" s="1489"/>
      <c r="AM1114" s="1489"/>
      <c r="AN1114" s="1489"/>
      <c r="AO1114" s="1489"/>
      <c r="AP1114" s="1489"/>
      <c r="AQ1114" s="1489"/>
      <c r="AR1114" s="1488"/>
      <c r="AS1114" s="1488"/>
      <c r="AT1114" s="1488"/>
      <c r="AU1114" s="1488"/>
      <c r="AV1114" s="1488"/>
      <c r="AW1114" s="1488"/>
      <c r="AX1114" s="1488"/>
      <c r="AY1114" s="1488"/>
    </row>
    <row r="1115" spans="3:51" s="1502" customFormat="1">
      <c r="C1115" s="1498"/>
      <c r="D1115" s="1501"/>
      <c r="E1115" s="1500"/>
      <c r="F1115" s="814"/>
      <c r="G1115" s="1494"/>
      <c r="H1115" s="1493"/>
      <c r="I1115" s="1493"/>
      <c r="J1115" s="813"/>
      <c r="K1115" s="814"/>
      <c r="L1115" s="1499"/>
      <c r="M1115" s="1488"/>
      <c r="N1115" s="1488"/>
      <c r="O1115" s="1488"/>
      <c r="P1115" s="1488"/>
      <c r="Q1115" s="1489"/>
      <c r="R1115" s="1489"/>
      <c r="S1115" s="1489"/>
      <c r="T1115" s="1489"/>
      <c r="U1115" s="1489"/>
      <c r="V1115" s="1489"/>
      <c r="W1115" s="1489"/>
      <c r="X1115" s="1489"/>
      <c r="Y1115" s="1489"/>
      <c r="Z1115" s="1489"/>
      <c r="AA1115" s="1489"/>
      <c r="AB1115" s="1489"/>
      <c r="AC1115" s="1489"/>
      <c r="AD1115" s="1489"/>
      <c r="AE1115" s="1489"/>
      <c r="AF1115" s="1489"/>
      <c r="AG1115" s="1489"/>
      <c r="AH1115" s="1489"/>
      <c r="AI1115" s="1489"/>
      <c r="AJ1115" s="1489"/>
      <c r="AK1115" s="1489"/>
      <c r="AL1115" s="1489"/>
      <c r="AM1115" s="1489"/>
      <c r="AN1115" s="1489"/>
      <c r="AO1115" s="1489"/>
      <c r="AP1115" s="1489"/>
      <c r="AQ1115" s="1489"/>
      <c r="AR1115" s="1488"/>
      <c r="AS1115" s="1488"/>
      <c r="AT1115" s="1488"/>
      <c r="AU1115" s="1488"/>
      <c r="AV1115" s="1488"/>
      <c r="AW1115" s="1488"/>
      <c r="AX1115" s="1488"/>
      <c r="AY1115" s="1488"/>
    </row>
    <row r="1116" spans="3:51" s="1502" customFormat="1">
      <c r="C1116" s="1498"/>
      <c r="D1116" s="1501"/>
      <c r="E1116" s="1500"/>
      <c r="F1116" s="814"/>
      <c r="G1116" s="1494"/>
      <c r="H1116" s="1493"/>
      <c r="I1116" s="1493"/>
      <c r="J1116" s="813"/>
      <c r="K1116" s="814"/>
      <c r="L1116" s="1499"/>
      <c r="M1116" s="1488"/>
      <c r="N1116" s="1488"/>
      <c r="O1116" s="1488"/>
      <c r="P1116" s="1488"/>
      <c r="Q1116" s="1489"/>
      <c r="R1116" s="1489"/>
      <c r="S1116" s="1489"/>
      <c r="T1116" s="1489"/>
      <c r="U1116" s="1489"/>
      <c r="V1116" s="1489"/>
      <c r="W1116" s="1489"/>
      <c r="X1116" s="1489"/>
      <c r="Y1116" s="1489"/>
      <c r="Z1116" s="1489"/>
      <c r="AA1116" s="1489"/>
      <c r="AB1116" s="1489"/>
      <c r="AC1116" s="1489"/>
      <c r="AD1116" s="1489"/>
      <c r="AE1116" s="1489"/>
      <c r="AF1116" s="1489"/>
      <c r="AG1116" s="1489"/>
      <c r="AH1116" s="1489"/>
      <c r="AI1116" s="1489"/>
      <c r="AJ1116" s="1489"/>
      <c r="AK1116" s="1489"/>
      <c r="AL1116" s="1489"/>
      <c r="AM1116" s="1489"/>
      <c r="AN1116" s="1489"/>
      <c r="AO1116" s="1489"/>
      <c r="AP1116" s="1489"/>
      <c r="AQ1116" s="1489"/>
      <c r="AR1116" s="1488"/>
      <c r="AS1116" s="1488"/>
      <c r="AT1116" s="1488"/>
      <c r="AU1116" s="1488"/>
      <c r="AV1116" s="1488"/>
      <c r="AW1116" s="1488"/>
      <c r="AX1116" s="1488"/>
      <c r="AY1116" s="1488"/>
    </row>
    <row r="1117" spans="3:51" s="1502" customFormat="1">
      <c r="C1117" s="1498"/>
      <c r="D1117" s="1501"/>
      <c r="E1117" s="1500"/>
      <c r="F1117" s="814"/>
      <c r="G1117" s="1494"/>
      <c r="H1117" s="1493"/>
      <c r="I1117" s="1493"/>
      <c r="J1117" s="813"/>
      <c r="K1117" s="814"/>
      <c r="L1117" s="1499"/>
      <c r="M1117" s="1488"/>
      <c r="N1117" s="1488"/>
      <c r="O1117" s="1488"/>
      <c r="P1117" s="1488"/>
      <c r="Q1117" s="1489"/>
      <c r="R1117" s="1489"/>
      <c r="S1117" s="1489"/>
      <c r="T1117" s="1489"/>
      <c r="U1117" s="1489"/>
      <c r="V1117" s="1489"/>
      <c r="W1117" s="1489"/>
      <c r="X1117" s="1489"/>
      <c r="Y1117" s="1489"/>
      <c r="Z1117" s="1489"/>
      <c r="AA1117" s="1489"/>
      <c r="AB1117" s="1489"/>
      <c r="AC1117" s="1489"/>
      <c r="AD1117" s="1489"/>
      <c r="AE1117" s="1489"/>
      <c r="AF1117" s="1489"/>
      <c r="AG1117" s="1489"/>
      <c r="AH1117" s="1489"/>
      <c r="AI1117" s="1489"/>
      <c r="AJ1117" s="1489"/>
      <c r="AK1117" s="1489"/>
      <c r="AL1117" s="1489"/>
      <c r="AM1117" s="1489"/>
      <c r="AN1117" s="1489"/>
      <c r="AO1117" s="1489"/>
      <c r="AP1117" s="1489"/>
      <c r="AQ1117" s="1489"/>
      <c r="AR1117" s="1488"/>
      <c r="AS1117" s="1488"/>
      <c r="AT1117" s="1488"/>
      <c r="AU1117" s="1488"/>
      <c r="AV1117" s="1488"/>
      <c r="AW1117" s="1488"/>
      <c r="AX1117" s="1488"/>
      <c r="AY1117" s="1488"/>
    </row>
    <row r="1118" spans="3:51" s="1502" customFormat="1">
      <c r="C1118" s="1498"/>
      <c r="D1118" s="1501"/>
      <c r="E1118" s="1500"/>
      <c r="F1118" s="814"/>
      <c r="G1118" s="1494"/>
      <c r="H1118" s="1493"/>
      <c r="I1118" s="1493"/>
      <c r="J1118" s="813"/>
      <c r="K1118" s="814"/>
      <c r="L1118" s="1499"/>
      <c r="M1118" s="1488"/>
      <c r="N1118" s="1488"/>
      <c r="O1118" s="1488"/>
      <c r="P1118" s="1488"/>
      <c r="Q1118" s="1489"/>
      <c r="R1118" s="1489"/>
      <c r="S1118" s="1489"/>
      <c r="T1118" s="1489"/>
      <c r="U1118" s="1489"/>
      <c r="V1118" s="1489"/>
      <c r="W1118" s="1489"/>
      <c r="X1118" s="1489"/>
      <c r="Y1118" s="1489"/>
      <c r="Z1118" s="1489"/>
      <c r="AA1118" s="1489"/>
      <c r="AB1118" s="1489"/>
      <c r="AC1118" s="1489"/>
      <c r="AD1118" s="1489"/>
      <c r="AE1118" s="1489"/>
      <c r="AF1118" s="1489"/>
      <c r="AG1118" s="1489"/>
      <c r="AH1118" s="1489"/>
      <c r="AI1118" s="1489"/>
      <c r="AJ1118" s="1489"/>
      <c r="AK1118" s="1489"/>
      <c r="AL1118" s="1489"/>
      <c r="AM1118" s="1489"/>
      <c r="AN1118" s="1489"/>
      <c r="AO1118" s="1489"/>
      <c r="AP1118" s="1489"/>
      <c r="AQ1118" s="1489"/>
      <c r="AR1118" s="1488"/>
      <c r="AS1118" s="1488"/>
      <c r="AT1118" s="1488"/>
      <c r="AU1118" s="1488"/>
      <c r="AV1118" s="1488"/>
      <c r="AW1118" s="1488"/>
      <c r="AX1118" s="1488"/>
      <c r="AY1118" s="1488"/>
    </row>
    <row r="1119" spans="3:51" s="1502" customFormat="1">
      <c r="C1119" s="1498"/>
      <c r="D1119" s="1501"/>
      <c r="E1119" s="1500"/>
      <c r="F1119" s="814"/>
      <c r="G1119" s="1494"/>
      <c r="H1119" s="1493"/>
      <c r="I1119" s="1493"/>
      <c r="J1119" s="813"/>
      <c r="K1119" s="814"/>
      <c r="L1119" s="1499"/>
      <c r="M1119" s="1488"/>
      <c r="N1119" s="1488"/>
      <c r="O1119" s="1488"/>
      <c r="P1119" s="1488"/>
      <c r="Q1119" s="1489"/>
      <c r="R1119" s="1489"/>
      <c r="S1119" s="1489"/>
      <c r="T1119" s="1489"/>
      <c r="U1119" s="1489"/>
      <c r="V1119" s="1489"/>
      <c r="W1119" s="1489"/>
      <c r="X1119" s="1489"/>
      <c r="Y1119" s="1489"/>
      <c r="Z1119" s="1489"/>
      <c r="AA1119" s="1489"/>
      <c r="AB1119" s="1489"/>
      <c r="AC1119" s="1489"/>
      <c r="AD1119" s="1489"/>
      <c r="AE1119" s="1489"/>
      <c r="AF1119" s="1489"/>
      <c r="AG1119" s="1489"/>
      <c r="AH1119" s="1489"/>
      <c r="AI1119" s="1489"/>
      <c r="AJ1119" s="1489"/>
      <c r="AK1119" s="1489"/>
      <c r="AL1119" s="1489"/>
      <c r="AM1119" s="1489"/>
      <c r="AN1119" s="1489"/>
      <c r="AO1119" s="1489"/>
      <c r="AP1119" s="1489"/>
      <c r="AQ1119" s="1489"/>
      <c r="AR1119" s="1488"/>
      <c r="AS1119" s="1488"/>
      <c r="AT1119" s="1488"/>
      <c r="AU1119" s="1488"/>
      <c r="AV1119" s="1488"/>
      <c r="AW1119" s="1488"/>
      <c r="AX1119" s="1488"/>
      <c r="AY1119" s="1488"/>
    </row>
    <row r="1120" spans="3:51" s="1502" customFormat="1">
      <c r="C1120" s="1498"/>
      <c r="D1120" s="1501"/>
      <c r="E1120" s="1500"/>
      <c r="F1120" s="814"/>
      <c r="G1120" s="1494"/>
      <c r="H1120" s="1493"/>
      <c r="I1120" s="1493"/>
      <c r="J1120" s="813"/>
      <c r="K1120" s="814"/>
      <c r="L1120" s="1499"/>
      <c r="M1120" s="1488"/>
      <c r="N1120" s="1488"/>
      <c r="O1120" s="1488"/>
      <c r="P1120" s="1488"/>
      <c r="Q1120" s="1489"/>
      <c r="R1120" s="1489"/>
      <c r="S1120" s="1489"/>
      <c r="T1120" s="1489"/>
      <c r="U1120" s="1489"/>
      <c r="V1120" s="1489"/>
      <c r="W1120" s="1489"/>
      <c r="X1120" s="1489"/>
      <c r="Y1120" s="1489"/>
      <c r="Z1120" s="1489"/>
      <c r="AA1120" s="1489"/>
      <c r="AB1120" s="1489"/>
      <c r="AC1120" s="1489"/>
      <c r="AD1120" s="1489"/>
      <c r="AE1120" s="1489"/>
      <c r="AF1120" s="1489"/>
      <c r="AG1120" s="1489"/>
      <c r="AH1120" s="1489"/>
      <c r="AI1120" s="1489"/>
      <c r="AJ1120" s="1489"/>
      <c r="AK1120" s="1489"/>
      <c r="AL1120" s="1489"/>
      <c r="AM1120" s="1489"/>
      <c r="AN1120" s="1489"/>
      <c r="AO1120" s="1489"/>
      <c r="AP1120" s="1489"/>
      <c r="AQ1120" s="1489"/>
      <c r="AR1120" s="1488"/>
      <c r="AS1120" s="1488"/>
      <c r="AT1120" s="1488"/>
      <c r="AU1120" s="1488"/>
      <c r="AV1120" s="1488"/>
      <c r="AW1120" s="1488"/>
      <c r="AX1120" s="1488"/>
      <c r="AY1120" s="1488"/>
    </row>
    <row r="1121" spans="3:51" s="1502" customFormat="1">
      <c r="C1121" s="1498"/>
      <c r="D1121" s="1501"/>
      <c r="E1121" s="1500"/>
      <c r="F1121" s="814"/>
      <c r="G1121" s="1494"/>
      <c r="H1121" s="1493"/>
      <c r="I1121" s="1493"/>
      <c r="J1121" s="813"/>
      <c r="K1121" s="814"/>
      <c r="L1121" s="1499"/>
      <c r="M1121" s="1488"/>
      <c r="N1121" s="1488"/>
      <c r="O1121" s="1488"/>
      <c r="P1121" s="1488"/>
      <c r="Q1121" s="1489"/>
      <c r="R1121" s="1489"/>
      <c r="S1121" s="1489"/>
      <c r="T1121" s="1489"/>
      <c r="U1121" s="1489"/>
      <c r="V1121" s="1489"/>
      <c r="W1121" s="1489"/>
      <c r="X1121" s="1489"/>
      <c r="Y1121" s="1489"/>
      <c r="Z1121" s="1489"/>
      <c r="AA1121" s="1489"/>
      <c r="AB1121" s="1489"/>
      <c r="AC1121" s="1489"/>
      <c r="AD1121" s="1489"/>
      <c r="AE1121" s="1489"/>
      <c r="AF1121" s="1489"/>
      <c r="AG1121" s="1489"/>
      <c r="AH1121" s="1489"/>
      <c r="AI1121" s="1489"/>
      <c r="AJ1121" s="1489"/>
      <c r="AK1121" s="1489"/>
      <c r="AL1121" s="1489"/>
      <c r="AM1121" s="1489"/>
      <c r="AN1121" s="1489"/>
      <c r="AO1121" s="1489"/>
      <c r="AP1121" s="1489"/>
      <c r="AQ1121" s="1489"/>
      <c r="AR1121" s="1488"/>
      <c r="AS1121" s="1488"/>
      <c r="AT1121" s="1488"/>
      <c r="AU1121" s="1488"/>
      <c r="AV1121" s="1488"/>
      <c r="AW1121" s="1488"/>
      <c r="AX1121" s="1488"/>
      <c r="AY1121" s="1488"/>
    </row>
    <row r="1122" spans="3:51" s="1502" customFormat="1">
      <c r="C1122" s="1498"/>
      <c r="D1122" s="1501"/>
      <c r="E1122" s="1500"/>
      <c r="F1122" s="814"/>
      <c r="G1122" s="1494"/>
      <c r="H1122" s="1493"/>
      <c r="I1122" s="1493"/>
      <c r="J1122" s="813"/>
      <c r="K1122" s="814"/>
      <c r="L1122" s="1499"/>
      <c r="M1122" s="1488"/>
      <c r="N1122" s="1488"/>
      <c r="O1122" s="1488"/>
      <c r="P1122" s="1488"/>
      <c r="Q1122" s="1489"/>
      <c r="R1122" s="1489"/>
      <c r="S1122" s="1489"/>
      <c r="T1122" s="1489"/>
      <c r="U1122" s="1489"/>
      <c r="V1122" s="1489"/>
      <c r="W1122" s="1489"/>
      <c r="X1122" s="1489"/>
      <c r="Y1122" s="1489"/>
      <c r="Z1122" s="1489"/>
      <c r="AA1122" s="1489"/>
      <c r="AB1122" s="1489"/>
      <c r="AC1122" s="1489"/>
      <c r="AD1122" s="1489"/>
      <c r="AE1122" s="1489"/>
      <c r="AF1122" s="1489"/>
      <c r="AG1122" s="1489"/>
      <c r="AH1122" s="1489"/>
      <c r="AI1122" s="1489"/>
      <c r="AJ1122" s="1489"/>
      <c r="AK1122" s="1489"/>
      <c r="AL1122" s="1489"/>
      <c r="AM1122" s="1489"/>
      <c r="AN1122" s="1489"/>
      <c r="AO1122" s="1489"/>
      <c r="AP1122" s="1489"/>
      <c r="AQ1122" s="1489"/>
      <c r="AR1122" s="1488"/>
      <c r="AS1122" s="1488"/>
      <c r="AT1122" s="1488"/>
      <c r="AU1122" s="1488"/>
      <c r="AV1122" s="1488"/>
      <c r="AW1122" s="1488"/>
      <c r="AX1122" s="1488"/>
      <c r="AY1122" s="1488"/>
    </row>
    <row r="1123" spans="3:51" s="1502" customFormat="1">
      <c r="C1123" s="1498"/>
      <c r="D1123" s="1501"/>
      <c r="E1123" s="1500"/>
      <c r="F1123" s="814"/>
      <c r="G1123" s="1494"/>
      <c r="H1123" s="1493"/>
      <c r="I1123" s="1493"/>
      <c r="J1123" s="813"/>
      <c r="K1123" s="814"/>
      <c r="L1123" s="1499"/>
      <c r="M1123" s="1488"/>
      <c r="N1123" s="1488"/>
      <c r="O1123" s="1488"/>
      <c r="P1123" s="1488"/>
      <c r="Q1123" s="1489"/>
      <c r="R1123" s="1489"/>
      <c r="S1123" s="1489"/>
      <c r="T1123" s="1489"/>
      <c r="U1123" s="1489"/>
      <c r="V1123" s="1489"/>
      <c r="W1123" s="1489"/>
      <c r="X1123" s="1489"/>
      <c r="Y1123" s="1489"/>
      <c r="Z1123" s="1489"/>
      <c r="AA1123" s="1489"/>
      <c r="AB1123" s="1489"/>
      <c r="AC1123" s="1489"/>
      <c r="AD1123" s="1489"/>
      <c r="AE1123" s="1489"/>
      <c r="AF1123" s="1489"/>
      <c r="AG1123" s="1489"/>
      <c r="AH1123" s="1489"/>
      <c r="AI1123" s="1489"/>
      <c r="AJ1123" s="1489"/>
      <c r="AK1123" s="1489"/>
      <c r="AL1123" s="1489"/>
      <c r="AM1123" s="1489"/>
      <c r="AN1123" s="1489"/>
      <c r="AO1123" s="1489"/>
      <c r="AP1123" s="1489"/>
      <c r="AQ1123" s="1489"/>
      <c r="AR1123" s="1488"/>
      <c r="AS1123" s="1488"/>
      <c r="AT1123" s="1488"/>
      <c r="AU1123" s="1488"/>
      <c r="AV1123" s="1488"/>
      <c r="AW1123" s="1488"/>
      <c r="AX1123" s="1488"/>
      <c r="AY1123" s="1488"/>
    </row>
    <row r="1124" spans="3:51" s="1502" customFormat="1">
      <c r="C1124" s="1498"/>
      <c r="D1124" s="1501"/>
      <c r="E1124" s="1500"/>
      <c r="F1124" s="814"/>
      <c r="G1124" s="1494"/>
      <c r="H1124" s="1493"/>
      <c r="I1124" s="1493"/>
      <c r="J1124" s="813"/>
      <c r="K1124" s="814"/>
      <c r="L1124" s="1499"/>
      <c r="M1124" s="1488"/>
      <c r="N1124" s="1488"/>
      <c r="O1124" s="1488"/>
      <c r="P1124" s="1488"/>
      <c r="Q1124" s="1489"/>
      <c r="R1124" s="1489"/>
      <c r="S1124" s="1489"/>
      <c r="T1124" s="1489"/>
      <c r="U1124" s="1489"/>
      <c r="V1124" s="1489"/>
      <c r="W1124" s="1489"/>
      <c r="X1124" s="1489"/>
      <c r="Y1124" s="1489"/>
      <c r="Z1124" s="1489"/>
      <c r="AA1124" s="1489"/>
      <c r="AB1124" s="1489"/>
      <c r="AC1124" s="1489"/>
      <c r="AD1124" s="1489"/>
      <c r="AE1124" s="1489"/>
      <c r="AF1124" s="1489"/>
      <c r="AG1124" s="1489"/>
      <c r="AH1124" s="1489"/>
      <c r="AI1124" s="1489"/>
      <c r="AJ1124" s="1489"/>
      <c r="AK1124" s="1489"/>
      <c r="AL1124" s="1489"/>
      <c r="AM1124" s="1489"/>
      <c r="AN1124" s="1489"/>
      <c r="AO1124" s="1489"/>
      <c r="AP1124" s="1489"/>
      <c r="AQ1124" s="1489"/>
      <c r="AR1124" s="1488"/>
      <c r="AS1124" s="1488"/>
      <c r="AT1124" s="1488"/>
      <c r="AU1124" s="1488"/>
      <c r="AV1124" s="1488"/>
      <c r="AW1124" s="1488"/>
      <c r="AX1124" s="1488"/>
      <c r="AY1124" s="1488"/>
    </row>
    <row r="1125" spans="3:51" s="1502" customFormat="1">
      <c r="C1125" s="1498"/>
      <c r="D1125" s="1501"/>
      <c r="E1125" s="1500"/>
      <c r="F1125" s="814"/>
      <c r="G1125" s="1494"/>
      <c r="H1125" s="1493"/>
      <c r="I1125" s="1493"/>
      <c r="J1125" s="813"/>
      <c r="K1125" s="814"/>
      <c r="L1125" s="1499"/>
      <c r="M1125" s="1488"/>
      <c r="N1125" s="1488"/>
      <c r="O1125" s="1488"/>
      <c r="P1125" s="1488"/>
      <c r="Q1125" s="1489"/>
      <c r="R1125" s="1489"/>
      <c r="S1125" s="1489"/>
      <c r="T1125" s="1489"/>
      <c r="U1125" s="1489"/>
      <c r="V1125" s="1489"/>
      <c r="W1125" s="1489"/>
      <c r="X1125" s="1489"/>
      <c r="Y1125" s="1489"/>
      <c r="Z1125" s="1489"/>
      <c r="AA1125" s="1489"/>
      <c r="AB1125" s="1489"/>
      <c r="AC1125" s="1489"/>
      <c r="AD1125" s="1489"/>
      <c r="AE1125" s="1489"/>
      <c r="AF1125" s="1489"/>
      <c r="AG1125" s="1489"/>
      <c r="AH1125" s="1489"/>
      <c r="AI1125" s="1489"/>
      <c r="AJ1125" s="1489"/>
      <c r="AK1125" s="1489"/>
      <c r="AL1125" s="1489"/>
      <c r="AM1125" s="1489"/>
      <c r="AN1125" s="1489"/>
      <c r="AO1125" s="1489"/>
      <c r="AP1125" s="1489"/>
      <c r="AQ1125" s="1489"/>
      <c r="AR1125" s="1488"/>
      <c r="AS1125" s="1488"/>
      <c r="AT1125" s="1488"/>
      <c r="AU1125" s="1488"/>
      <c r="AV1125" s="1488"/>
      <c r="AW1125" s="1488"/>
      <c r="AX1125" s="1488"/>
      <c r="AY1125" s="1488"/>
    </row>
    <row r="1126" spans="3:51" s="1502" customFormat="1">
      <c r="C1126" s="1498"/>
      <c r="D1126" s="1501"/>
      <c r="E1126" s="1500"/>
      <c r="F1126" s="814"/>
      <c r="G1126" s="1494"/>
      <c r="H1126" s="1493"/>
      <c r="I1126" s="1493"/>
      <c r="J1126" s="813"/>
      <c r="K1126" s="814"/>
      <c r="L1126" s="1499"/>
      <c r="M1126" s="1488"/>
      <c r="N1126" s="1488"/>
      <c r="O1126" s="1488"/>
      <c r="P1126" s="1488"/>
      <c r="Q1126" s="1489"/>
      <c r="R1126" s="1489"/>
      <c r="S1126" s="1489"/>
      <c r="T1126" s="1489"/>
      <c r="U1126" s="1489"/>
      <c r="V1126" s="1489"/>
      <c r="W1126" s="1489"/>
      <c r="X1126" s="1489"/>
      <c r="Y1126" s="1489"/>
      <c r="Z1126" s="1489"/>
      <c r="AA1126" s="1489"/>
      <c r="AB1126" s="1489"/>
      <c r="AC1126" s="1489"/>
      <c r="AD1126" s="1489"/>
      <c r="AE1126" s="1489"/>
      <c r="AF1126" s="1489"/>
      <c r="AG1126" s="1489"/>
      <c r="AH1126" s="1489"/>
      <c r="AI1126" s="1489"/>
      <c r="AJ1126" s="1489"/>
      <c r="AK1126" s="1489"/>
      <c r="AL1126" s="1489"/>
      <c r="AM1126" s="1489"/>
      <c r="AN1126" s="1489"/>
      <c r="AO1126" s="1489"/>
      <c r="AP1126" s="1489"/>
      <c r="AQ1126" s="1489"/>
      <c r="AR1126" s="1488"/>
      <c r="AS1126" s="1488"/>
      <c r="AT1126" s="1488"/>
      <c r="AU1126" s="1488"/>
      <c r="AV1126" s="1488"/>
      <c r="AW1126" s="1488"/>
      <c r="AX1126" s="1488"/>
      <c r="AY1126" s="1488"/>
    </row>
    <row r="1127" spans="3:51" s="1502" customFormat="1">
      <c r="C1127" s="1498"/>
      <c r="D1127" s="1501"/>
      <c r="E1127" s="1500"/>
      <c r="F1127" s="814"/>
      <c r="G1127" s="1494"/>
      <c r="H1127" s="1493"/>
      <c r="I1127" s="1493"/>
      <c r="J1127" s="813"/>
      <c r="K1127" s="814"/>
      <c r="L1127" s="1499"/>
      <c r="M1127" s="1488"/>
      <c r="N1127" s="1488"/>
      <c r="O1127" s="1488"/>
      <c r="P1127" s="1488"/>
      <c r="Q1127" s="1489"/>
      <c r="R1127" s="1489"/>
      <c r="S1127" s="1489"/>
      <c r="T1127" s="1489"/>
      <c r="U1127" s="1489"/>
      <c r="V1127" s="1489"/>
      <c r="W1127" s="1489"/>
      <c r="X1127" s="1489"/>
      <c r="Y1127" s="1489"/>
      <c r="Z1127" s="1489"/>
      <c r="AA1127" s="1489"/>
      <c r="AB1127" s="1489"/>
      <c r="AC1127" s="1489"/>
      <c r="AD1127" s="1489"/>
      <c r="AE1127" s="1489"/>
      <c r="AF1127" s="1489"/>
      <c r="AG1127" s="1489"/>
      <c r="AH1127" s="1489"/>
      <c r="AI1127" s="1489"/>
      <c r="AJ1127" s="1489"/>
      <c r="AK1127" s="1489"/>
      <c r="AL1127" s="1489"/>
      <c r="AM1127" s="1489"/>
      <c r="AN1127" s="1489"/>
      <c r="AO1127" s="1489"/>
      <c r="AP1127" s="1489"/>
      <c r="AQ1127" s="1489"/>
      <c r="AR1127" s="1488"/>
      <c r="AS1127" s="1488"/>
      <c r="AT1127" s="1488"/>
      <c r="AU1127" s="1488"/>
      <c r="AV1127" s="1488"/>
      <c r="AW1127" s="1488"/>
      <c r="AX1127" s="1488"/>
      <c r="AY1127" s="1488"/>
    </row>
    <row r="1128" spans="3:51" s="1502" customFormat="1">
      <c r="C1128" s="1498"/>
      <c r="D1128" s="1501"/>
      <c r="E1128" s="1500"/>
      <c r="F1128" s="814"/>
      <c r="G1128" s="1494"/>
      <c r="H1128" s="1493"/>
      <c r="I1128" s="1493"/>
      <c r="J1128" s="813"/>
      <c r="K1128" s="814"/>
      <c r="L1128" s="1499"/>
      <c r="M1128" s="1488"/>
      <c r="N1128" s="1488"/>
      <c r="O1128" s="1488"/>
      <c r="P1128" s="1488"/>
      <c r="Q1128" s="1489"/>
      <c r="R1128" s="1489"/>
      <c r="S1128" s="1489"/>
      <c r="T1128" s="1489"/>
      <c r="U1128" s="1489"/>
      <c r="V1128" s="1489"/>
      <c r="W1128" s="1489"/>
      <c r="X1128" s="1489"/>
      <c r="Y1128" s="1489"/>
      <c r="Z1128" s="1489"/>
      <c r="AA1128" s="1489"/>
      <c r="AB1128" s="1489"/>
      <c r="AC1128" s="1489"/>
      <c r="AD1128" s="1489"/>
      <c r="AE1128" s="1489"/>
      <c r="AF1128" s="1489"/>
      <c r="AG1128" s="1489"/>
      <c r="AH1128" s="1489"/>
      <c r="AI1128" s="1489"/>
      <c r="AJ1128" s="1489"/>
      <c r="AK1128" s="1489"/>
      <c r="AL1128" s="1489"/>
      <c r="AM1128" s="1489"/>
      <c r="AN1128" s="1489"/>
      <c r="AO1128" s="1489"/>
      <c r="AP1128" s="1489"/>
      <c r="AQ1128" s="1489"/>
      <c r="AR1128" s="1488"/>
      <c r="AS1128" s="1488"/>
      <c r="AT1128" s="1488"/>
      <c r="AU1128" s="1488"/>
      <c r="AV1128" s="1488"/>
      <c r="AW1128" s="1488"/>
      <c r="AX1128" s="1488"/>
      <c r="AY1128" s="1488"/>
    </row>
    <row r="1129" spans="3:51" s="1502" customFormat="1">
      <c r="C1129" s="1498"/>
      <c r="D1129" s="1501"/>
      <c r="E1129" s="1500"/>
      <c r="F1129" s="814"/>
      <c r="G1129" s="1494"/>
      <c r="H1129" s="1493"/>
      <c r="I1129" s="1493"/>
      <c r="J1129" s="813"/>
      <c r="K1129" s="814"/>
      <c r="L1129" s="1499"/>
      <c r="M1129" s="1488"/>
      <c r="N1129" s="1488"/>
      <c r="O1129" s="1488"/>
      <c r="P1129" s="1488"/>
      <c r="Q1129" s="1489"/>
      <c r="R1129" s="1489"/>
      <c r="S1129" s="1489"/>
      <c r="T1129" s="1489"/>
      <c r="U1129" s="1489"/>
      <c r="V1129" s="1489"/>
      <c r="W1129" s="1489"/>
      <c r="X1129" s="1489"/>
      <c r="Y1129" s="1489"/>
      <c r="Z1129" s="1489"/>
      <c r="AA1129" s="1489"/>
      <c r="AB1129" s="1489"/>
      <c r="AC1129" s="1489"/>
      <c r="AD1129" s="1489"/>
      <c r="AE1129" s="1489"/>
      <c r="AF1129" s="1489"/>
      <c r="AG1129" s="1489"/>
      <c r="AH1129" s="1489"/>
      <c r="AI1129" s="1489"/>
      <c r="AJ1129" s="1489"/>
      <c r="AK1129" s="1489"/>
      <c r="AL1129" s="1489"/>
      <c r="AM1129" s="1489"/>
      <c r="AN1129" s="1489"/>
      <c r="AO1129" s="1489"/>
      <c r="AP1129" s="1489"/>
      <c r="AQ1129" s="1489"/>
      <c r="AR1129" s="1488"/>
      <c r="AS1129" s="1488"/>
      <c r="AT1129" s="1488"/>
      <c r="AU1129" s="1488"/>
      <c r="AV1129" s="1488"/>
      <c r="AW1129" s="1488"/>
      <c r="AX1129" s="1488"/>
      <c r="AY1129" s="1488"/>
    </row>
    <row r="1130" spans="3:51" s="1502" customFormat="1">
      <c r="C1130" s="1498"/>
      <c r="D1130" s="1501"/>
      <c r="E1130" s="1500"/>
      <c r="F1130" s="814"/>
      <c r="G1130" s="1494"/>
      <c r="H1130" s="1493"/>
      <c r="I1130" s="1493"/>
      <c r="J1130" s="813"/>
      <c r="K1130" s="814"/>
      <c r="L1130" s="1499"/>
      <c r="M1130" s="1488"/>
      <c r="N1130" s="1488"/>
      <c r="O1130" s="1488"/>
      <c r="P1130" s="1488"/>
      <c r="Q1130" s="1489"/>
      <c r="R1130" s="1489"/>
      <c r="S1130" s="1489"/>
      <c r="T1130" s="1489"/>
      <c r="U1130" s="1489"/>
      <c r="V1130" s="1489"/>
      <c r="W1130" s="1489"/>
      <c r="X1130" s="1489"/>
      <c r="Y1130" s="1489"/>
      <c r="Z1130" s="1489"/>
      <c r="AA1130" s="1489"/>
      <c r="AB1130" s="1489"/>
      <c r="AC1130" s="1489"/>
      <c r="AD1130" s="1489"/>
      <c r="AE1130" s="1489"/>
      <c r="AF1130" s="1489"/>
      <c r="AG1130" s="1489"/>
      <c r="AH1130" s="1489"/>
      <c r="AI1130" s="1489"/>
      <c r="AJ1130" s="1489"/>
      <c r="AK1130" s="1489"/>
      <c r="AL1130" s="1489"/>
      <c r="AM1130" s="1489"/>
      <c r="AN1130" s="1489"/>
      <c r="AO1130" s="1489"/>
      <c r="AP1130" s="1489"/>
      <c r="AQ1130" s="1489"/>
      <c r="AR1130" s="1488"/>
      <c r="AS1130" s="1488"/>
      <c r="AT1130" s="1488"/>
      <c r="AU1130" s="1488"/>
      <c r="AV1130" s="1488"/>
      <c r="AW1130" s="1488"/>
      <c r="AX1130" s="1488"/>
      <c r="AY1130" s="1488"/>
    </row>
    <row r="1131" spans="3:51" s="1502" customFormat="1">
      <c r="C1131" s="1498"/>
      <c r="D1131" s="1501"/>
      <c r="E1131" s="1500"/>
      <c r="F1131" s="814"/>
      <c r="G1131" s="1494"/>
      <c r="H1131" s="1493"/>
      <c r="I1131" s="1493"/>
      <c r="J1131" s="813"/>
      <c r="K1131" s="814"/>
      <c r="L1131" s="1499"/>
      <c r="M1131" s="1488"/>
      <c r="N1131" s="1488"/>
      <c r="O1131" s="1488"/>
      <c r="P1131" s="1488"/>
      <c r="Q1131" s="1489"/>
      <c r="R1131" s="1489"/>
      <c r="S1131" s="1489"/>
      <c r="T1131" s="1489"/>
      <c r="U1131" s="1489"/>
      <c r="V1131" s="1489"/>
      <c r="W1131" s="1489"/>
      <c r="X1131" s="1489"/>
      <c r="Y1131" s="1489"/>
      <c r="Z1131" s="1489"/>
      <c r="AA1131" s="1489"/>
      <c r="AB1131" s="1489"/>
      <c r="AC1131" s="1489"/>
      <c r="AD1131" s="1489"/>
      <c r="AE1131" s="1489"/>
      <c r="AF1131" s="1489"/>
      <c r="AG1131" s="1489"/>
      <c r="AH1131" s="1489"/>
      <c r="AI1131" s="1489"/>
      <c r="AJ1131" s="1489"/>
      <c r="AK1131" s="1489"/>
      <c r="AL1131" s="1489"/>
      <c r="AM1131" s="1489"/>
      <c r="AN1131" s="1489"/>
      <c r="AO1131" s="1489"/>
      <c r="AP1131" s="1489"/>
      <c r="AQ1131" s="1489"/>
      <c r="AR1131" s="1488"/>
      <c r="AS1131" s="1488"/>
      <c r="AT1131" s="1488"/>
      <c r="AU1131" s="1488"/>
      <c r="AV1131" s="1488"/>
      <c r="AW1131" s="1488"/>
      <c r="AX1131" s="1488"/>
      <c r="AY1131" s="1488"/>
    </row>
    <row r="1132" spans="3:51" s="1502" customFormat="1">
      <c r="C1132" s="1498"/>
      <c r="D1132" s="1501"/>
      <c r="E1132" s="1500"/>
      <c r="F1132" s="814"/>
      <c r="G1132" s="1494"/>
      <c r="H1132" s="1493"/>
      <c r="I1132" s="1493"/>
      <c r="J1132" s="813"/>
      <c r="K1132" s="814"/>
      <c r="L1132" s="1499"/>
      <c r="M1132" s="1488"/>
      <c r="N1132" s="1488"/>
      <c r="O1132" s="1488"/>
      <c r="P1132" s="1488"/>
      <c r="Q1132" s="1489"/>
      <c r="R1132" s="1489"/>
      <c r="S1132" s="1489"/>
      <c r="T1132" s="1489"/>
      <c r="U1132" s="1489"/>
      <c r="V1132" s="1489"/>
      <c r="W1132" s="1489"/>
      <c r="X1132" s="1489"/>
      <c r="Y1132" s="1489"/>
      <c r="Z1132" s="1489"/>
      <c r="AA1132" s="1489"/>
      <c r="AB1132" s="1489"/>
      <c r="AC1132" s="1489"/>
      <c r="AD1132" s="1489"/>
      <c r="AE1132" s="1489"/>
      <c r="AF1132" s="1489"/>
      <c r="AG1132" s="1489"/>
      <c r="AH1132" s="1489"/>
      <c r="AI1132" s="1489"/>
      <c r="AJ1132" s="1489"/>
      <c r="AK1132" s="1489"/>
      <c r="AL1132" s="1489"/>
      <c r="AM1132" s="1489"/>
      <c r="AN1132" s="1489"/>
      <c r="AO1132" s="1489"/>
      <c r="AP1132" s="1489"/>
      <c r="AQ1132" s="1489"/>
      <c r="AR1132" s="1488"/>
      <c r="AS1132" s="1488"/>
      <c r="AT1132" s="1488"/>
      <c r="AU1132" s="1488"/>
      <c r="AV1132" s="1488"/>
      <c r="AW1132" s="1488"/>
      <c r="AX1132" s="1488"/>
      <c r="AY1132" s="1488"/>
    </row>
    <row r="1133" spans="3:51" s="1502" customFormat="1">
      <c r="C1133" s="1498"/>
      <c r="D1133" s="1501"/>
      <c r="E1133" s="1500"/>
      <c r="F1133" s="814"/>
      <c r="G1133" s="1494"/>
      <c r="H1133" s="1493"/>
      <c r="I1133" s="1493"/>
      <c r="J1133" s="813"/>
      <c r="K1133" s="814"/>
      <c r="L1133" s="1499"/>
      <c r="M1133" s="1488"/>
      <c r="N1133" s="1488"/>
      <c r="O1133" s="1488"/>
      <c r="P1133" s="1488"/>
      <c r="Q1133" s="1489"/>
      <c r="R1133" s="1489"/>
      <c r="S1133" s="1489"/>
      <c r="T1133" s="1489"/>
      <c r="U1133" s="1489"/>
      <c r="V1133" s="1489"/>
      <c r="W1133" s="1489"/>
      <c r="X1133" s="1489"/>
      <c r="Y1133" s="1489"/>
      <c r="Z1133" s="1489"/>
      <c r="AA1133" s="1489"/>
      <c r="AB1133" s="1489"/>
      <c r="AC1133" s="1489"/>
      <c r="AD1133" s="1489"/>
      <c r="AE1133" s="1489"/>
      <c r="AF1133" s="1489"/>
      <c r="AG1133" s="1489"/>
      <c r="AH1133" s="1489"/>
      <c r="AI1133" s="1489"/>
      <c r="AJ1133" s="1489"/>
      <c r="AK1133" s="1489"/>
      <c r="AL1133" s="1489"/>
      <c r="AM1133" s="1489"/>
      <c r="AN1133" s="1489"/>
      <c r="AO1133" s="1489"/>
      <c r="AP1133" s="1489"/>
      <c r="AQ1133" s="1489"/>
      <c r="AR1133" s="1488"/>
      <c r="AS1133" s="1488"/>
      <c r="AT1133" s="1488"/>
      <c r="AU1133" s="1488"/>
      <c r="AV1133" s="1488"/>
      <c r="AW1133" s="1488"/>
      <c r="AX1133" s="1488"/>
      <c r="AY1133" s="1488"/>
    </row>
    <row r="1134" spans="3:51" s="1502" customFormat="1">
      <c r="C1134" s="1498"/>
      <c r="D1134" s="1501"/>
      <c r="E1134" s="1500"/>
      <c r="F1134" s="814"/>
      <c r="G1134" s="1494"/>
      <c r="H1134" s="1493"/>
      <c r="I1134" s="1493"/>
      <c r="J1134" s="813"/>
      <c r="K1134" s="814"/>
      <c r="L1134" s="1499"/>
      <c r="M1134" s="1488"/>
      <c r="N1134" s="1488"/>
      <c r="O1134" s="1488"/>
      <c r="P1134" s="1488"/>
      <c r="Q1134" s="1489"/>
      <c r="R1134" s="1489"/>
      <c r="S1134" s="1489"/>
      <c r="T1134" s="1489"/>
      <c r="U1134" s="1489"/>
      <c r="V1134" s="1489"/>
      <c r="W1134" s="1489"/>
      <c r="X1134" s="1489"/>
      <c r="Y1134" s="1489"/>
      <c r="Z1134" s="1489"/>
      <c r="AA1134" s="1489"/>
      <c r="AB1134" s="1489"/>
      <c r="AC1134" s="1489"/>
      <c r="AD1134" s="1489"/>
      <c r="AE1134" s="1489"/>
      <c r="AF1134" s="1489"/>
      <c r="AG1134" s="1489"/>
      <c r="AH1134" s="1489"/>
      <c r="AI1134" s="1489"/>
      <c r="AJ1134" s="1489"/>
      <c r="AK1134" s="1489"/>
      <c r="AL1134" s="1489"/>
      <c r="AM1134" s="1489"/>
      <c r="AN1134" s="1489"/>
      <c r="AO1134" s="1489"/>
      <c r="AP1134" s="1489"/>
      <c r="AQ1134" s="1489"/>
      <c r="AR1134" s="1488"/>
      <c r="AS1134" s="1488"/>
      <c r="AT1134" s="1488"/>
      <c r="AU1134" s="1488"/>
      <c r="AV1134" s="1488"/>
      <c r="AW1134" s="1488"/>
      <c r="AX1134" s="1488"/>
      <c r="AY1134" s="1488"/>
    </row>
    <row r="1135" spans="3:51" s="1502" customFormat="1">
      <c r="C1135" s="1498"/>
      <c r="D1135" s="1501"/>
      <c r="E1135" s="1500"/>
      <c r="F1135" s="814"/>
      <c r="G1135" s="1494"/>
      <c r="H1135" s="1493"/>
      <c r="I1135" s="1493"/>
      <c r="J1135" s="813"/>
      <c r="K1135" s="814"/>
      <c r="L1135" s="1499"/>
      <c r="M1135" s="1488"/>
      <c r="N1135" s="1488"/>
      <c r="O1135" s="1488"/>
      <c r="P1135" s="1488"/>
      <c r="Q1135" s="1489"/>
      <c r="R1135" s="1489"/>
      <c r="S1135" s="1489"/>
      <c r="T1135" s="1489"/>
      <c r="U1135" s="1489"/>
      <c r="V1135" s="1489"/>
      <c r="W1135" s="1489"/>
      <c r="X1135" s="1489"/>
      <c r="Y1135" s="1489"/>
      <c r="Z1135" s="1489"/>
      <c r="AA1135" s="1489"/>
      <c r="AB1135" s="1489"/>
      <c r="AC1135" s="1489"/>
      <c r="AD1135" s="1489"/>
      <c r="AE1135" s="1489"/>
      <c r="AF1135" s="1489"/>
      <c r="AG1135" s="1489"/>
      <c r="AH1135" s="1489"/>
      <c r="AI1135" s="1489"/>
      <c r="AJ1135" s="1489"/>
      <c r="AK1135" s="1489"/>
      <c r="AL1135" s="1489"/>
      <c r="AM1135" s="1489"/>
      <c r="AN1135" s="1489"/>
      <c r="AO1135" s="1489"/>
      <c r="AP1135" s="1489"/>
      <c r="AQ1135" s="1489"/>
      <c r="AR1135" s="1488"/>
      <c r="AS1135" s="1488"/>
      <c r="AT1135" s="1488"/>
      <c r="AU1135" s="1488"/>
      <c r="AV1135" s="1488"/>
      <c r="AW1135" s="1488"/>
      <c r="AX1135" s="1488"/>
      <c r="AY1135" s="1488"/>
    </row>
    <row r="1136" spans="3:51" s="1502" customFormat="1">
      <c r="C1136" s="1498"/>
      <c r="D1136" s="1501"/>
      <c r="E1136" s="1500"/>
      <c r="F1136" s="814"/>
      <c r="G1136" s="1494"/>
      <c r="H1136" s="1493"/>
      <c r="I1136" s="1493"/>
      <c r="J1136" s="813"/>
      <c r="K1136" s="814"/>
      <c r="L1136" s="1499"/>
      <c r="M1136" s="1488"/>
      <c r="N1136" s="1488"/>
      <c r="O1136" s="1488"/>
      <c r="P1136" s="1488"/>
      <c r="Q1136" s="1489"/>
      <c r="R1136" s="1489"/>
      <c r="S1136" s="1489"/>
      <c r="T1136" s="1489"/>
      <c r="U1136" s="1489"/>
      <c r="V1136" s="1489"/>
      <c r="W1136" s="1489"/>
      <c r="X1136" s="1489"/>
      <c r="Y1136" s="1489"/>
      <c r="Z1136" s="1489"/>
      <c r="AA1136" s="1489"/>
      <c r="AB1136" s="1489"/>
      <c r="AC1136" s="1489"/>
      <c r="AD1136" s="1489"/>
      <c r="AE1136" s="1489"/>
      <c r="AF1136" s="1489"/>
      <c r="AG1136" s="1489"/>
      <c r="AH1136" s="1489"/>
      <c r="AI1136" s="1489"/>
      <c r="AJ1136" s="1489"/>
      <c r="AK1136" s="1489"/>
      <c r="AL1136" s="1489"/>
      <c r="AM1136" s="1489"/>
      <c r="AN1136" s="1489"/>
      <c r="AO1136" s="1489"/>
      <c r="AP1136" s="1489"/>
      <c r="AQ1136" s="1489"/>
      <c r="AR1136" s="1488"/>
      <c r="AS1136" s="1488"/>
      <c r="AT1136" s="1488"/>
      <c r="AU1136" s="1488"/>
      <c r="AV1136" s="1488"/>
      <c r="AW1136" s="1488"/>
      <c r="AX1136" s="1488"/>
      <c r="AY1136" s="1488"/>
    </row>
    <row r="1137" spans="3:51" s="1502" customFormat="1">
      <c r="C1137" s="1498"/>
      <c r="D1137" s="1501"/>
      <c r="E1137" s="1500"/>
      <c r="F1137" s="814"/>
      <c r="G1137" s="1494"/>
      <c r="H1137" s="1493"/>
      <c r="I1137" s="1493"/>
      <c r="J1137" s="813"/>
      <c r="K1137" s="814"/>
      <c r="L1137" s="1499"/>
      <c r="M1137" s="1488"/>
      <c r="N1137" s="1488"/>
      <c r="O1137" s="1488"/>
      <c r="P1137" s="1488"/>
      <c r="Q1137" s="1489"/>
      <c r="R1137" s="1489"/>
      <c r="S1137" s="1489"/>
      <c r="T1137" s="1489"/>
      <c r="U1137" s="1489"/>
      <c r="V1137" s="1489"/>
      <c r="W1137" s="1489"/>
      <c r="X1137" s="1489"/>
      <c r="Y1137" s="1489"/>
      <c r="Z1137" s="1489"/>
      <c r="AA1137" s="1489"/>
      <c r="AB1137" s="1489"/>
      <c r="AC1137" s="1489"/>
      <c r="AD1137" s="1489"/>
      <c r="AE1137" s="1489"/>
      <c r="AF1137" s="1489"/>
      <c r="AG1137" s="1489"/>
      <c r="AH1137" s="1489"/>
      <c r="AI1137" s="1489"/>
      <c r="AJ1137" s="1489"/>
      <c r="AK1137" s="1489"/>
      <c r="AL1137" s="1489"/>
      <c r="AM1137" s="1489"/>
      <c r="AN1137" s="1489"/>
      <c r="AO1137" s="1489"/>
      <c r="AP1137" s="1489"/>
      <c r="AQ1137" s="1489"/>
      <c r="AR1137" s="1488"/>
      <c r="AS1137" s="1488"/>
      <c r="AT1137" s="1488"/>
      <c r="AU1137" s="1488"/>
      <c r="AV1137" s="1488"/>
      <c r="AW1137" s="1488"/>
      <c r="AX1137" s="1488"/>
      <c r="AY1137" s="1488"/>
    </row>
    <row r="1138" spans="3:51" s="1502" customFormat="1">
      <c r="C1138" s="1498"/>
      <c r="D1138" s="1501"/>
      <c r="E1138" s="1500"/>
      <c r="F1138" s="814"/>
      <c r="G1138" s="1494"/>
      <c r="H1138" s="1493"/>
      <c r="I1138" s="1493"/>
      <c r="J1138" s="813"/>
      <c r="K1138" s="814"/>
      <c r="L1138" s="1499"/>
      <c r="M1138" s="1488"/>
      <c r="N1138" s="1488"/>
      <c r="O1138" s="1488"/>
      <c r="P1138" s="1488"/>
      <c r="Q1138" s="1489"/>
      <c r="R1138" s="1489"/>
      <c r="S1138" s="1489"/>
      <c r="T1138" s="1489"/>
      <c r="U1138" s="1489"/>
      <c r="V1138" s="1489"/>
      <c r="W1138" s="1489"/>
      <c r="X1138" s="1489"/>
      <c r="Y1138" s="1489"/>
      <c r="Z1138" s="1489"/>
      <c r="AA1138" s="1489"/>
      <c r="AB1138" s="1489"/>
      <c r="AC1138" s="1489"/>
      <c r="AD1138" s="1489"/>
      <c r="AE1138" s="1489"/>
      <c r="AF1138" s="1489"/>
      <c r="AG1138" s="1489"/>
      <c r="AH1138" s="1489"/>
      <c r="AI1138" s="1489"/>
      <c r="AJ1138" s="1489"/>
      <c r="AK1138" s="1489"/>
      <c r="AL1138" s="1489"/>
      <c r="AM1138" s="1489"/>
      <c r="AN1138" s="1489"/>
      <c r="AO1138" s="1489"/>
      <c r="AP1138" s="1489"/>
      <c r="AQ1138" s="1489"/>
      <c r="AR1138" s="1488"/>
      <c r="AS1138" s="1488"/>
      <c r="AT1138" s="1488"/>
      <c r="AU1138" s="1488"/>
      <c r="AV1138" s="1488"/>
      <c r="AW1138" s="1488"/>
      <c r="AX1138" s="1488"/>
      <c r="AY1138" s="1488"/>
    </row>
    <row r="1139" spans="3:51" s="1502" customFormat="1">
      <c r="C1139" s="1498"/>
      <c r="D1139" s="1501"/>
      <c r="E1139" s="1500"/>
      <c r="F1139" s="814"/>
      <c r="G1139" s="1494"/>
      <c r="H1139" s="1493"/>
      <c r="I1139" s="1493"/>
      <c r="J1139" s="813"/>
      <c r="K1139" s="814"/>
      <c r="L1139" s="1499"/>
      <c r="M1139" s="1488"/>
      <c r="N1139" s="1488"/>
      <c r="O1139" s="1488"/>
      <c r="P1139" s="1488"/>
      <c r="Q1139" s="1489"/>
      <c r="R1139" s="1489"/>
      <c r="S1139" s="1489"/>
      <c r="T1139" s="1489"/>
      <c r="U1139" s="1489"/>
      <c r="V1139" s="1489"/>
      <c r="W1139" s="1489"/>
      <c r="X1139" s="1489"/>
      <c r="Y1139" s="1489"/>
      <c r="Z1139" s="1489"/>
      <c r="AA1139" s="1489"/>
      <c r="AB1139" s="1489"/>
      <c r="AC1139" s="1489"/>
      <c r="AD1139" s="1489"/>
      <c r="AE1139" s="1489"/>
      <c r="AF1139" s="1489"/>
      <c r="AG1139" s="1489"/>
      <c r="AH1139" s="1489"/>
      <c r="AI1139" s="1489"/>
      <c r="AJ1139" s="1489"/>
      <c r="AK1139" s="1489"/>
      <c r="AL1139" s="1489"/>
      <c r="AM1139" s="1489"/>
      <c r="AN1139" s="1489"/>
      <c r="AO1139" s="1489"/>
      <c r="AP1139" s="1489"/>
      <c r="AQ1139" s="1489"/>
      <c r="AR1139" s="1488"/>
      <c r="AS1139" s="1488"/>
      <c r="AT1139" s="1488"/>
      <c r="AU1139" s="1488"/>
      <c r="AV1139" s="1488"/>
      <c r="AW1139" s="1488"/>
      <c r="AX1139" s="1488"/>
      <c r="AY1139" s="1488"/>
    </row>
    <row r="1140" spans="3:51" s="1502" customFormat="1">
      <c r="C1140" s="1498"/>
      <c r="D1140" s="1501"/>
      <c r="E1140" s="1500"/>
      <c r="F1140" s="814"/>
      <c r="G1140" s="1494"/>
      <c r="H1140" s="1493"/>
      <c r="I1140" s="1493"/>
      <c r="J1140" s="813"/>
      <c r="K1140" s="814"/>
      <c r="L1140" s="1499"/>
      <c r="M1140" s="1488"/>
      <c r="N1140" s="1488"/>
      <c r="O1140" s="1488"/>
      <c r="P1140" s="1488"/>
      <c r="Q1140" s="1489"/>
      <c r="R1140" s="1489"/>
      <c r="S1140" s="1489"/>
      <c r="T1140" s="1489"/>
      <c r="U1140" s="1489"/>
      <c r="V1140" s="1489"/>
      <c r="W1140" s="1489"/>
      <c r="X1140" s="1489"/>
      <c r="Y1140" s="1489"/>
      <c r="Z1140" s="1489"/>
      <c r="AA1140" s="1489"/>
      <c r="AB1140" s="1489"/>
      <c r="AC1140" s="1489"/>
      <c r="AD1140" s="1489"/>
      <c r="AE1140" s="1489"/>
      <c r="AF1140" s="1489"/>
      <c r="AG1140" s="1489"/>
      <c r="AH1140" s="1489"/>
      <c r="AI1140" s="1489"/>
      <c r="AJ1140" s="1489"/>
      <c r="AK1140" s="1489"/>
      <c r="AL1140" s="1489"/>
      <c r="AM1140" s="1489"/>
      <c r="AN1140" s="1489"/>
      <c r="AO1140" s="1489"/>
      <c r="AP1140" s="1489"/>
      <c r="AQ1140" s="1489"/>
      <c r="AR1140" s="1488"/>
      <c r="AS1140" s="1488"/>
      <c r="AT1140" s="1488"/>
      <c r="AU1140" s="1488"/>
      <c r="AV1140" s="1488"/>
      <c r="AW1140" s="1488"/>
      <c r="AX1140" s="1488"/>
      <c r="AY1140" s="1488"/>
    </row>
    <row r="1141" spans="3:51" s="1502" customFormat="1">
      <c r="C1141" s="1498"/>
      <c r="D1141" s="1501"/>
      <c r="E1141" s="1500"/>
      <c r="F1141" s="814"/>
      <c r="G1141" s="1494"/>
      <c r="H1141" s="1493"/>
      <c r="I1141" s="1493"/>
      <c r="J1141" s="813"/>
      <c r="K1141" s="814"/>
      <c r="L1141" s="1499"/>
      <c r="M1141" s="1488"/>
      <c r="N1141" s="1488"/>
      <c r="O1141" s="1488"/>
      <c r="P1141" s="1488"/>
      <c r="Q1141" s="1489"/>
      <c r="R1141" s="1489"/>
      <c r="S1141" s="1489"/>
      <c r="T1141" s="1489"/>
      <c r="U1141" s="1489"/>
      <c r="V1141" s="1489"/>
      <c r="W1141" s="1489"/>
      <c r="X1141" s="1489"/>
      <c r="Y1141" s="1489"/>
      <c r="Z1141" s="1489"/>
      <c r="AA1141" s="1489"/>
      <c r="AB1141" s="1489"/>
      <c r="AC1141" s="1489"/>
      <c r="AD1141" s="1489"/>
      <c r="AE1141" s="1489"/>
      <c r="AF1141" s="1489"/>
      <c r="AG1141" s="1489"/>
      <c r="AH1141" s="1489"/>
      <c r="AI1141" s="1489"/>
      <c r="AJ1141" s="1489"/>
      <c r="AK1141" s="1489"/>
      <c r="AL1141" s="1489"/>
      <c r="AM1141" s="1489"/>
      <c r="AN1141" s="1489"/>
      <c r="AO1141" s="1489"/>
      <c r="AP1141" s="1489"/>
      <c r="AQ1141" s="1489"/>
      <c r="AR1141" s="1488"/>
      <c r="AS1141" s="1488"/>
      <c r="AT1141" s="1488"/>
      <c r="AU1141" s="1488"/>
      <c r="AV1141" s="1488"/>
      <c r="AW1141" s="1488"/>
      <c r="AX1141" s="1488"/>
      <c r="AY1141" s="1488"/>
    </row>
    <row r="1142" spans="3:51" s="1502" customFormat="1">
      <c r="C1142" s="1498"/>
      <c r="D1142" s="1501"/>
      <c r="E1142" s="1500"/>
      <c r="F1142" s="814"/>
      <c r="G1142" s="1494"/>
      <c r="H1142" s="1493"/>
      <c r="I1142" s="1493"/>
      <c r="J1142" s="813"/>
      <c r="K1142" s="814"/>
      <c r="L1142" s="1499"/>
      <c r="M1142" s="1488"/>
      <c r="N1142" s="1488"/>
      <c r="O1142" s="1488"/>
      <c r="P1142" s="1488"/>
      <c r="Q1142" s="1489"/>
      <c r="R1142" s="1489"/>
      <c r="S1142" s="1489"/>
      <c r="T1142" s="1489"/>
      <c r="U1142" s="1489"/>
      <c r="V1142" s="1489"/>
      <c r="W1142" s="1489"/>
      <c r="X1142" s="1489"/>
      <c r="Y1142" s="1489"/>
      <c r="Z1142" s="1489"/>
      <c r="AA1142" s="1489"/>
      <c r="AB1142" s="1489"/>
      <c r="AC1142" s="1489"/>
      <c r="AD1142" s="1489"/>
      <c r="AE1142" s="1489"/>
      <c r="AF1142" s="1489"/>
      <c r="AG1142" s="1489"/>
      <c r="AH1142" s="1489"/>
      <c r="AI1142" s="1489"/>
      <c r="AJ1142" s="1489"/>
      <c r="AK1142" s="1489"/>
      <c r="AL1142" s="1489"/>
      <c r="AM1142" s="1489"/>
      <c r="AN1142" s="1489"/>
      <c r="AO1142" s="1489"/>
      <c r="AP1142" s="1489"/>
      <c r="AQ1142" s="1489"/>
      <c r="AR1142" s="1488"/>
      <c r="AS1142" s="1488"/>
      <c r="AT1142" s="1488"/>
      <c r="AU1142" s="1488"/>
      <c r="AV1142" s="1488"/>
      <c r="AW1142" s="1488"/>
      <c r="AX1142" s="1488"/>
      <c r="AY1142" s="1488"/>
    </row>
    <row r="1143" spans="3:51" s="1502" customFormat="1">
      <c r="C1143" s="1498"/>
      <c r="D1143" s="1501"/>
      <c r="E1143" s="1500"/>
      <c r="F1143" s="814"/>
      <c r="G1143" s="1494"/>
      <c r="H1143" s="1493"/>
      <c r="I1143" s="1493"/>
      <c r="J1143" s="813"/>
      <c r="K1143" s="814"/>
      <c r="L1143" s="1499"/>
      <c r="M1143" s="1488"/>
      <c r="N1143" s="1488"/>
      <c r="O1143" s="1488"/>
      <c r="P1143" s="1488"/>
      <c r="Q1143" s="1489"/>
      <c r="R1143" s="1489"/>
      <c r="S1143" s="1489"/>
      <c r="T1143" s="1489"/>
      <c r="U1143" s="1489"/>
      <c r="V1143" s="1489"/>
      <c r="W1143" s="1489"/>
      <c r="X1143" s="1489"/>
      <c r="Y1143" s="1489"/>
      <c r="Z1143" s="1489"/>
      <c r="AA1143" s="1489"/>
      <c r="AB1143" s="1489"/>
      <c r="AC1143" s="1489"/>
      <c r="AD1143" s="1489"/>
      <c r="AE1143" s="1489"/>
      <c r="AF1143" s="1489"/>
      <c r="AG1143" s="1489"/>
      <c r="AH1143" s="1489"/>
      <c r="AI1143" s="1489"/>
      <c r="AJ1143" s="1489"/>
      <c r="AK1143" s="1489"/>
      <c r="AL1143" s="1489"/>
      <c r="AM1143" s="1489"/>
      <c r="AN1143" s="1489"/>
      <c r="AO1143" s="1489"/>
      <c r="AP1143" s="1489"/>
      <c r="AQ1143" s="1489"/>
      <c r="AR1143" s="1488"/>
      <c r="AS1143" s="1488"/>
      <c r="AT1143" s="1488"/>
      <c r="AU1143" s="1488"/>
      <c r="AV1143" s="1488"/>
      <c r="AW1143" s="1488"/>
      <c r="AX1143" s="1488"/>
      <c r="AY1143" s="1488"/>
    </row>
    <row r="1144" spans="3:51" s="1502" customFormat="1">
      <c r="C1144" s="1498"/>
      <c r="D1144" s="1501"/>
      <c r="E1144" s="1500"/>
      <c r="F1144" s="814"/>
      <c r="G1144" s="1494"/>
      <c r="H1144" s="1493"/>
      <c r="I1144" s="1493"/>
      <c r="J1144" s="813"/>
      <c r="K1144" s="814"/>
      <c r="L1144" s="1499"/>
      <c r="M1144" s="1488"/>
      <c r="N1144" s="1488"/>
      <c r="O1144" s="1488"/>
      <c r="P1144" s="1488"/>
      <c r="Q1144" s="1489"/>
      <c r="R1144" s="1489"/>
      <c r="S1144" s="1489"/>
      <c r="T1144" s="1489"/>
      <c r="U1144" s="1489"/>
      <c r="V1144" s="1489"/>
      <c r="W1144" s="1489"/>
      <c r="X1144" s="1489"/>
      <c r="Y1144" s="1489"/>
      <c r="Z1144" s="1489"/>
      <c r="AA1144" s="1489"/>
      <c r="AB1144" s="1489"/>
      <c r="AC1144" s="1489"/>
      <c r="AD1144" s="1489"/>
      <c r="AE1144" s="1489"/>
      <c r="AF1144" s="1489"/>
      <c r="AG1144" s="1489"/>
      <c r="AH1144" s="1489"/>
      <c r="AI1144" s="1489"/>
      <c r="AJ1144" s="1489"/>
      <c r="AK1144" s="1489"/>
      <c r="AL1144" s="1489"/>
      <c r="AM1144" s="1489"/>
      <c r="AN1144" s="1489"/>
      <c r="AO1144" s="1489"/>
      <c r="AP1144" s="1489"/>
      <c r="AQ1144" s="1489"/>
      <c r="AR1144" s="1488"/>
      <c r="AS1144" s="1488"/>
      <c r="AT1144" s="1488"/>
      <c r="AU1144" s="1488"/>
      <c r="AV1144" s="1488"/>
      <c r="AW1144" s="1488"/>
      <c r="AX1144" s="1488"/>
      <c r="AY1144" s="1488"/>
    </row>
    <row r="1145" spans="3:51" s="1502" customFormat="1">
      <c r="C1145" s="1498"/>
      <c r="D1145" s="1501"/>
      <c r="E1145" s="1500"/>
      <c r="F1145" s="814"/>
      <c r="G1145" s="1494"/>
      <c r="H1145" s="1493"/>
      <c r="I1145" s="1493"/>
      <c r="J1145" s="813"/>
      <c r="K1145" s="814"/>
      <c r="L1145" s="1499"/>
      <c r="M1145" s="1488"/>
      <c r="N1145" s="1488"/>
      <c r="O1145" s="1488"/>
      <c r="P1145" s="1488"/>
      <c r="Q1145" s="1489"/>
      <c r="R1145" s="1489"/>
      <c r="S1145" s="1489"/>
      <c r="T1145" s="1489"/>
      <c r="U1145" s="1489"/>
      <c r="V1145" s="1489"/>
      <c r="W1145" s="1489"/>
      <c r="X1145" s="1489"/>
      <c r="Y1145" s="1489"/>
      <c r="Z1145" s="1489"/>
      <c r="AA1145" s="1489"/>
      <c r="AB1145" s="1489"/>
      <c r="AC1145" s="1489"/>
      <c r="AD1145" s="1489"/>
      <c r="AE1145" s="1489"/>
      <c r="AF1145" s="1489"/>
      <c r="AG1145" s="1489"/>
      <c r="AH1145" s="1489"/>
      <c r="AI1145" s="1489"/>
      <c r="AJ1145" s="1489"/>
      <c r="AK1145" s="1489"/>
      <c r="AL1145" s="1489"/>
      <c r="AM1145" s="1489"/>
      <c r="AN1145" s="1489"/>
      <c r="AO1145" s="1489"/>
      <c r="AP1145" s="1489"/>
      <c r="AQ1145" s="1489"/>
      <c r="AR1145" s="1488"/>
      <c r="AS1145" s="1488"/>
      <c r="AT1145" s="1488"/>
      <c r="AU1145" s="1488"/>
      <c r="AV1145" s="1488"/>
      <c r="AW1145" s="1488"/>
      <c r="AX1145" s="1488"/>
      <c r="AY1145" s="1488"/>
    </row>
    <row r="1146" spans="3:51" s="1502" customFormat="1">
      <c r="C1146" s="1498"/>
      <c r="D1146" s="1501"/>
      <c r="E1146" s="1500"/>
      <c r="F1146" s="814"/>
      <c r="G1146" s="1494"/>
      <c r="H1146" s="1493"/>
      <c r="I1146" s="1493"/>
      <c r="J1146" s="813"/>
      <c r="K1146" s="814"/>
      <c r="L1146" s="1499"/>
      <c r="M1146" s="1488"/>
      <c r="N1146" s="1488"/>
      <c r="O1146" s="1488"/>
      <c r="P1146" s="1488"/>
      <c r="Q1146" s="1489"/>
      <c r="R1146" s="1489"/>
      <c r="S1146" s="1489"/>
      <c r="T1146" s="1489"/>
      <c r="U1146" s="1489"/>
      <c r="V1146" s="1489"/>
      <c r="W1146" s="1489"/>
      <c r="X1146" s="1489"/>
      <c r="Y1146" s="1489"/>
      <c r="Z1146" s="1489"/>
      <c r="AA1146" s="1489"/>
      <c r="AB1146" s="1489"/>
      <c r="AC1146" s="1489"/>
      <c r="AD1146" s="1489"/>
      <c r="AE1146" s="1489"/>
      <c r="AF1146" s="1489"/>
      <c r="AG1146" s="1489"/>
      <c r="AH1146" s="1489"/>
      <c r="AI1146" s="1489"/>
      <c r="AJ1146" s="1489"/>
      <c r="AK1146" s="1489"/>
      <c r="AL1146" s="1489"/>
      <c r="AM1146" s="1489"/>
      <c r="AN1146" s="1489"/>
      <c r="AO1146" s="1489"/>
      <c r="AP1146" s="1489"/>
      <c r="AQ1146" s="1489"/>
      <c r="AR1146" s="1488"/>
      <c r="AS1146" s="1488"/>
      <c r="AT1146" s="1488"/>
      <c r="AU1146" s="1488"/>
      <c r="AV1146" s="1488"/>
      <c r="AW1146" s="1488"/>
      <c r="AX1146" s="1488"/>
      <c r="AY1146" s="1488"/>
    </row>
    <row r="1147" spans="3:51" s="1502" customFormat="1">
      <c r="C1147" s="1498"/>
      <c r="D1147" s="1501"/>
      <c r="E1147" s="1500"/>
      <c r="F1147" s="814"/>
      <c r="G1147" s="1494"/>
      <c r="H1147" s="1493"/>
      <c r="I1147" s="1493"/>
      <c r="J1147" s="813"/>
      <c r="K1147" s="814"/>
      <c r="L1147" s="1499"/>
      <c r="M1147" s="1488"/>
      <c r="N1147" s="1488"/>
      <c r="O1147" s="1488"/>
      <c r="P1147" s="1488"/>
      <c r="Q1147" s="1489"/>
      <c r="R1147" s="1489"/>
      <c r="S1147" s="1489"/>
      <c r="T1147" s="1489"/>
      <c r="U1147" s="1489"/>
      <c r="V1147" s="1489"/>
      <c r="W1147" s="1489"/>
      <c r="X1147" s="1489"/>
      <c r="Y1147" s="1489"/>
      <c r="Z1147" s="1489"/>
      <c r="AA1147" s="1489"/>
      <c r="AB1147" s="1489"/>
      <c r="AC1147" s="1489"/>
      <c r="AD1147" s="1489"/>
      <c r="AE1147" s="1489"/>
      <c r="AF1147" s="1489"/>
      <c r="AG1147" s="1489"/>
      <c r="AH1147" s="1489"/>
      <c r="AI1147" s="1489"/>
      <c r="AJ1147" s="1489"/>
      <c r="AK1147" s="1489"/>
      <c r="AL1147" s="1489"/>
      <c r="AM1147" s="1489"/>
      <c r="AN1147" s="1489"/>
      <c r="AO1147" s="1489"/>
      <c r="AP1147" s="1489"/>
      <c r="AQ1147" s="1489"/>
      <c r="AR1147" s="1488"/>
      <c r="AS1147" s="1488"/>
      <c r="AT1147" s="1488"/>
      <c r="AU1147" s="1488"/>
      <c r="AV1147" s="1488"/>
      <c r="AW1147" s="1488"/>
      <c r="AX1147" s="1488"/>
      <c r="AY1147" s="1488"/>
    </row>
    <row r="1148" spans="3:51" s="1502" customFormat="1">
      <c r="C1148" s="1498"/>
      <c r="D1148" s="1501"/>
      <c r="E1148" s="1500"/>
      <c r="F1148" s="814"/>
      <c r="G1148" s="1494"/>
      <c r="H1148" s="1493"/>
      <c r="I1148" s="1493"/>
      <c r="J1148" s="813"/>
      <c r="K1148" s="814"/>
      <c r="L1148" s="1499"/>
      <c r="M1148" s="1488"/>
      <c r="N1148" s="1488"/>
      <c r="O1148" s="1488"/>
      <c r="P1148" s="1488"/>
      <c r="Q1148" s="1489"/>
      <c r="R1148" s="1489"/>
      <c r="S1148" s="1489"/>
      <c r="T1148" s="1489"/>
      <c r="U1148" s="1489"/>
      <c r="V1148" s="1489"/>
      <c r="W1148" s="1489"/>
      <c r="X1148" s="1489"/>
      <c r="Y1148" s="1489"/>
      <c r="Z1148" s="1489"/>
      <c r="AA1148" s="1489"/>
      <c r="AB1148" s="1489"/>
      <c r="AC1148" s="1489"/>
      <c r="AD1148" s="1489"/>
      <c r="AE1148" s="1489"/>
      <c r="AF1148" s="1489"/>
      <c r="AG1148" s="1489"/>
      <c r="AH1148" s="1489"/>
      <c r="AI1148" s="1489"/>
      <c r="AJ1148" s="1489"/>
      <c r="AK1148" s="1489"/>
      <c r="AL1148" s="1489"/>
      <c r="AM1148" s="1489"/>
      <c r="AN1148" s="1489"/>
      <c r="AO1148" s="1489"/>
      <c r="AP1148" s="1489"/>
      <c r="AQ1148" s="1489"/>
      <c r="AR1148" s="1488"/>
      <c r="AS1148" s="1488"/>
      <c r="AT1148" s="1488"/>
      <c r="AU1148" s="1488"/>
      <c r="AV1148" s="1488"/>
      <c r="AW1148" s="1488"/>
      <c r="AX1148" s="1488"/>
      <c r="AY1148" s="1488"/>
    </row>
    <row r="1149" spans="3:51" s="1502" customFormat="1">
      <c r="C1149" s="1498"/>
      <c r="D1149" s="1501"/>
      <c r="E1149" s="1500"/>
      <c r="F1149" s="814"/>
      <c r="G1149" s="1494"/>
      <c r="H1149" s="1493"/>
      <c r="I1149" s="1493"/>
      <c r="J1149" s="813"/>
      <c r="K1149" s="814"/>
      <c r="L1149" s="1499"/>
      <c r="M1149" s="1488"/>
      <c r="N1149" s="1488"/>
      <c r="O1149" s="1488"/>
      <c r="P1149" s="1488"/>
      <c r="Q1149" s="1489"/>
      <c r="R1149" s="1489"/>
      <c r="S1149" s="1489"/>
      <c r="T1149" s="1489"/>
      <c r="U1149" s="1489"/>
      <c r="V1149" s="1489"/>
      <c r="W1149" s="1489"/>
      <c r="X1149" s="1489"/>
      <c r="Y1149" s="1489"/>
      <c r="Z1149" s="1489"/>
      <c r="AA1149" s="1489"/>
      <c r="AB1149" s="1489"/>
      <c r="AC1149" s="1489"/>
      <c r="AD1149" s="1489"/>
      <c r="AE1149" s="1489"/>
      <c r="AF1149" s="1489"/>
      <c r="AG1149" s="1489"/>
      <c r="AH1149" s="1489"/>
      <c r="AI1149" s="1489"/>
      <c r="AJ1149" s="1489"/>
      <c r="AK1149" s="1489"/>
      <c r="AL1149" s="1489"/>
      <c r="AM1149" s="1489"/>
      <c r="AN1149" s="1489"/>
      <c r="AO1149" s="1489"/>
      <c r="AP1149" s="1489"/>
      <c r="AQ1149" s="1489"/>
      <c r="AR1149" s="1488"/>
      <c r="AS1149" s="1488"/>
      <c r="AT1149" s="1488"/>
      <c r="AU1149" s="1488"/>
      <c r="AV1149" s="1488"/>
      <c r="AW1149" s="1488"/>
      <c r="AX1149" s="1488"/>
      <c r="AY1149" s="1488"/>
    </row>
    <row r="1150" spans="3:51" s="1502" customFormat="1">
      <c r="C1150" s="1498"/>
      <c r="D1150" s="1501"/>
      <c r="E1150" s="1500"/>
      <c r="F1150" s="814"/>
      <c r="G1150" s="1494"/>
      <c r="H1150" s="1493"/>
      <c r="I1150" s="1493"/>
      <c r="J1150" s="813"/>
      <c r="K1150" s="814"/>
      <c r="L1150" s="1499"/>
      <c r="M1150" s="1488"/>
      <c r="N1150" s="1488"/>
      <c r="O1150" s="1488"/>
      <c r="P1150" s="1488"/>
      <c r="Q1150" s="1489"/>
      <c r="R1150" s="1489"/>
      <c r="S1150" s="1489"/>
      <c r="T1150" s="1489"/>
      <c r="U1150" s="1489"/>
      <c r="V1150" s="1489"/>
      <c r="W1150" s="1489"/>
      <c r="X1150" s="1489"/>
      <c r="Y1150" s="1489"/>
      <c r="Z1150" s="1489"/>
      <c r="AA1150" s="1489"/>
      <c r="AB1150" s="1489"/>
      <c r="AC1150" s="1489"/>
      <c r="AD1150" s="1489"/>
      <c r="AE1150" s="1489"/>
      <c r="AF1150" s="1489"/>
      <c r="AG1150" s="1489"/>
      <c r="AH1150" s="1489"/>
      <c r="AI1150" s="1489"/>
      <c r="AJ1150" s="1489"/>
      <c r="AK1150" s="1489"/>
      <c r="AL1150" s="1489"/>
      <c r="AM1150" s="1489"/>
      <c r="AN1150" s="1489"/>
      <c r="AO1150" s="1489"/>
      <c r="AP1150" s="1489"/>
      <c r="AQ1150" s="1489"/>
      <c r="AR1150" s="1488"/>
      <c r="AS1150" s="1488"/>
      <c r="AT1150" s="1488"/>
      <c r="AU1150" s="1488"/>
      <c r="AV1150" s="1488"/>
      <c r="AW1150" s="1488"/>
      <c r="AX1150" s="1488"/>
      <c r="AY1150" s="1488"/>
    </row>
    <row r="1151" spans="3:51" s="1502" customFormat="1">
      <c r="C1151" s="1498"/>
      <c r="D1151" s="1501"/>
      <c r="E1151" s="1500"/>
      <c r="F1151" s="814"/>
      <c r="G1151" s="1494"/>
      <c r="H1151" s="1493"/>
      <c r="I1151" s="1493"/>
      <c r="J1151" s="813"/>
      <c r="K1151" s="814"/>
      <c r="L1151" s="1499"/>
      <c r="M1151" s="1488"/>
      <c r="N1151" s="1488"/>
      <c r="O1151" s="1488"/>
      <c r="P1151" s="1488"/>
      <c r="Q1151" s="1489"/>
      <c r="R1151" s="1489"/>
      <c r="S1151" s="1489"/>
      <c r="T1151" s="1489"/>
      <c r="U1151" s="1489"/>
      <c r="V1151" s="1489"/>
      <c r="W1151" s="1489"/>
      <c r="X1151" s="1489"/>
      <c r="Y1151" s="1489"/>
      <c r="Z1151" s="1489"/>
      <c r="AA1151" s="1489"/>
      <c r="AB1151" s="1489"/>
      <c r="AC1151" s="1489"/>
      <c r="AD1151" s="1489"/>
      <c r="AE1151" s="1489"/>
      <c r="AF1151" s="1489"/>
      <c r="AG1151" s="1489"/>
      <c r="AH1151" s="1489"/>
      <c r="AI1151" s="1489"/>
      <c r="AJ1151" s="1489"/>
      <c r="AK1151" s="1489"/>
      <c r="AL1151" s="1489"/>
      <c r="AM1151" s="1489"/>
      <c r="AN1151" s="1489"/>
      <c r="AO1151" s="1489"/>
      <c r="AP1151" s="1489"/>
      <c r="AQ1151" s="1489"/>
      <c r="AR1151" s="1488"/>
      <c r="AS1151" s="1488"/>
      <c r="AT1151" s="1488"/>
      <c r="AU1151" s="1488"/>
      <c r="AV1151" s="1488"/>
      <c r="AW1151" s="1488"/>
      <c r="AX1151" s="1488"/>
      <c r="AY1151" s="1488"/>
    </row>
    <row r="1152" spans="3:51" s="1502" customFormat="1">
      <c r="C1152" s="1498"/>
      <c r="D1152" s="1501"/>
      <c r="E1152" s="1500"/>
      <c r="F1152" s="814"/>
      <c r="G1152" s="1494"/>
      <c r="H1152" s="1493"/>
      <c r="I1152" s="1493"/>
      <c r="J1152" s="813"/>
      <c r="K1152" s="814"/>
      <c r="L1152" s="1499"/>
      <c r="M1152" s="1488"/>
      <c r="N1152" s="1488"/>
      <c r="O1152" s="1488"/>
      <c r="P1152" s="1488"/>
      <c r="Q1152" s="1489"/>
      <c r="R1152" s="1489"/>
      <c r="S1152" s="1489"/>
      <c r="T1152" s="1489"/>
      <c r="U1152" s="1489"/>
      <c r="V1152" s="1489"/>
      <c r="W1152" s="1489"/>
      <c r="X1152" s="1489"/>
      <c r="Y1152" s="1489"/>
      <c r="Z1152" s="1489"/>
      <c r="AA1152" s="1489"/>
      <c r="AB1152" s="1489"/>
      <c r="AC1152" s="1489"/>
      <c r="AD1152" s="1489"/>
      <c r="AE1152" s="1489"/>
      <c r="AF1152" s="1489"/>
      <c r="AG1152" s="1489"/>
      <c r="AH1152" s="1489"/>
      <c r="AI1152" s="1489"/>
      <c r="AJ1152" s="1489"/>
      <c r="AK1152" s="1489"/>
      <c r="AL1152" s="1489"/>
      <c r="AM1152" s="1489"/>
      <c r="AN1152" s="1489"/>
      <c r="AO1152" s="1489"/>
      <c r="AP1152" s="1489"/>
      <c r="AQ1152" s="1489"/>
      <c r="AR1152" s="1488"/>
      <c r="AS1152" s="1488"/>
      <c r="AT1152" s="1488"/>
      <c r="AU1152" s="1488"/>
      <c r="AV1152" s="1488"/>
      <c r="AW1152" s="1488"/>
      <c r="AX1152" s="1488"/>
      <c r="AY1152" s="1488"/>
    </row>
    <row r="1153" spans="3:51" s="1502" customFormat="1">
      <c r="C1153" s="1498"/>
      <c r="D1153" s="1501"/>
      <c r="E1153" s="1500"/>
      <c r="F1153" s="814"/>
      <c r="G1153" s="1494"/>
      <c r="H1153" s="1493"/>
      <c r="I1153" s="1493"/>
      <c r="J1153" s="813"/>
      <c r="K1153" s="814"/>
      <c r="L1153" s="1499"/>
      <c r="M1153" s="1488"/>
      <c r="N1153" s="1488"/>
      <c r="O1153" s="1488"/>
      <c r="P1153" s="1488"/>
      <c r="Q1153" s="1489"/>
      <c r="R1153" s="1489"/>
      <c r="S1153" s="1489"/>
      <c r="T1153" s="1489"/>
      <c r="U1153" s="1489"/>
      <c r="V1153" s="1489"/>
      <c r="W1153" s="1489"/>
      <c r="X1153" s="1489"/>
      <c r="Y1153" s="1489"/>
      <c r="Z1153" s="1489"/>
      <c r="AA1153" s="1489"/>
      <c r="AB1153" s="1489"/>
      <c r="AC1153" s="1489"/>
      <c r="AD1153" s="1489"/>
      <c r="AE1153" s="1489"/>
      <c r="AF1153" s="1489"/>
      <c r="AG1153" s="1489"/>
      <c r="AH1153" s="1489"/>
      <c r="AI1153" s="1489"/>
      <c r="AJ1153" s="1489"/>
      <c r="AK1153" s="1489"/>
      <c r="AL1153" s="1489"/>
      <c r="AM1153" s="1489"/>
      <c r="AN1153" s="1489"/>
      <c r="AO1153" s="1489"/>
      <c r="AP1153" s="1489"/>
      <c r="AQ1153" s="1489"/>
      <c r="AR1153" s="1488"/>
      <c r="AS1153" s="1488"/>
      <c r="AT1153" s="1488"/>
      <c r="AU1153" s="1488"/>
      <c r="AV1153" s="1488"/>
      <c r="AW1153" s="1488"/>
      <c r="AX1153" s="1488"/>
      <c r="AY1153" s="1488"/>
    </row>
    <row r="1154" spans="3:51" s="1502" customFormat="1">
      <c r="C1154" s="1498"/>
      <c r="D1154" s="1501"/>
      <c r="E1154" s="1500"/>
      <c r="F1154" s="814"/>
      <c r="G1154" s="1494"/>
      <c r="H1154" s="1493"/>
      <c r="I1154" s="1493"/>
      <c r="J1154" s="813"/>
      <c r="K1154" s="814"/>
      <c r="L1154" s="1499"/>
      <c r="M1154" s="1488"/>
      <c r="N1154" s="1488"/>
      <c r="O1154" s="1488"/>
      <c r="P1154" s="1488"/>
      <c r="Q1154" s="1489"/>
      <c r="R1154" s="1489"/>
      <c r="S1154" s="1489"/>
      <c r="T1154" s="1489"/>
      <c r="U1154" s="1489"/>
      <c r="V1154" s="1489"/>
      <c r="W1154" s="1489"/>
      <c r="X1154" s="1489"/>
      <c r="Y1154" s="1489"/>
      <c r="Z1154" s="1489"/>
      <c r="AA1154" s="1489"/>
      <c r="AB1154" s="1489"/>
      <c r="AC1154" s="1489"/>
      <c r="AD1154" s="1489"/>
      <c r="AE1154" s="1489"/>
      <c r="AF1154" s="1489"/>
      <c r="AG1154" s="1489"/>
      <c r="AH1154" s="1489"/>
      <c r="AI1154" s="1489"/>
      <c r="AJ1154" s="1489"/>
      <c r="AK1154" s="1489"/>
      <c r="AL1154" s="1489"/>
      <c r="AM1154" s="1489"/>
      <c r="AN1154" s="1489"/>
      <c r="AO1154" s="1489"/>
      <c r="AP1154" s="1489"/>
      <c r="AQ1154" s="1489"/>
      <c r="AR1154" s="1488"/>
      <c r="AS1154" s="1488"/>
      <c r="AT1154" s="1488"/>
      <c r="AU1154" s="1488"/>
      <c r="AV1154" s="1488"/>
      <c r="AW1154" s="1488"/>
      <c r="AX1154" s="1488"/>
      <c r="AY1154" s="1488"/>
    </row>
    <row r="1155" spans="3:51" s="1502" customFormat="1">
      <c r="C1155" s="1498"/>
      <c r="D1155" s="1501"/>
      <c r="E1155" s="1500"/>
      <c r="F1155" s="814"/>
      <c r="G1155" s="1494"/>
      <c r="H1155" s="1493"/>
      <c r="I1155" s="1493"/>
      <c r="J1155" s="813"/>
      <c r="K1155" s="814"/>
      <c r="L1155" s="1499"/>
      <c r="M1155" s="1488"/>
      <c r="N1155" s="1488"/>
      <c r="O1155" s="1488"/>
      <c r="P1155" s="1488"/>
      <c r="Q1155" s="1489"/>
      <c r="R1155" s="1489"/>
      <c r="S1155" s="1489"/>
      <c r="T1155" s="1489"/>
      <c r="U1155" s="1489"/>
      <c r="V1155" s="1489"/>
      <c r="W1155" s="1489"/>
      <c r="X1155" s="1489"/>
      <c r="Y1155" s="1489"/>
      <c r="Z1155" s="1489"/>
      <c r="AA1155" s="1489"/>
      <c r="AB1155" s="1489"/>
      <c r="AC1155" s="1489"/>
      <c r="AD1155" s="1489"/>
      <c r="AE1155" s="1489"/>
      <c r="AF1155" s="1489"/>
      <c r="AG1155" s="1489"/>
      <c r="AH1155" s="1489"/>
      <c r="AI1155" s="1489"/>
      <c r="AJ1155" s="1489"/>
      <c r="AK1155" s="1489"/>
      <c r="AL1155" s="1489"/>
      <c r="AM1155" s="1489"/>
      <c r="AN1155" s="1489"/>
      <c r="AO1155" s="1489"/>
      <c r="AP1155" s="1489"/>
      <c r="AQ1155" s="1489"/>
      <c r="AR1155" s="1488"/>
      <c r="AS1155" s="1488"/>
      <c r="AT1155" s="1488"/>
      <c r="AU1155" s="1488"/>
      <c r="AV1155" s="1488"/>
      <c r="AW1155" s="1488"/>
      <c r="AX1155" s="1488"/>
      <c r="AY1155" s="1488"/>
    </row>
    <row r="1156" spans="3:51" s="1502" customFormat="1">
      <c r="C1156" s="1498"/>
      <c r="D1156" s="1501"/>
      <c r="E1156" s="1500"/>
      <c r="F1156" s="814"/>
      <c r="G1156" s="1494"/>
      <c r="H1156" s="1493"/>
      <c r="I1156" s="1493"/>
      <c r="J1156" s="813"/>
      <c r="K1156" s="814"/>
      <c r="L1156" s="1499"/>
      <c r="M1156" s="1488"/>
      <c r="N1156" s="1488"/>
      <c r="O1156" s="1488"/>
      <c r="P1156" s="1488"/>
      <c r="Q1156" s="1489"/>
      <c r="R1156" s="1489"/>
      <c r="S1156" s="1489"/>
      <c r="T1156" s="1489"/>
      <c r="U1156" s="1489"/>
      <c r="V1156" s="1489"/>
      <c r="W1156" s="1489"/>
      <c r="X1156" s="1489"/>
      <c r="Y1156" s="1489"/>
      <c r="Z1156" s="1489"/>
      <c r="AA1156" s="1489"/>
      <c r="AB1156" s="1489"/>
      <c r="AC1156" s="1489"/>
      <c r="AD1156" s="1489"/>
      <c r="AE1156" s="1489"/>
      <c r="AF1156" s="1489"/>
      <c r="AG1156" s="1489"/>
      <c r="AH1156" s="1489"/>
      <c r="AI1156" s="1489"/>
      <c r="AJ1156" s="1489"/>
      <c r="AK1156" s="1489"/>
      <c r="AL1156" s="1489"/>
      <c r="AM1156" s="1489"/>
      <c r="AN1156" s="1489"/>
      <c r="AO1156" s="1489"/>
      <c r="AP1156" s="1489"/>
      <c r="AQ1156" s="1489"/>
      <c r="AR1156" s="1488"/>
      <c r="AS1156" s="1488"/>
      <c r="AT1156" s="1488"/>
      <c r="AU1156" s="1488"/>
      <c r="AV1156" s="1488"/>
      <c r="AW1156" s="1488"/>
      <c r="AX1156" s="1488"/>
      <c r="AY1156" s="1488"/>
    </row>
    <row r="1157" spans="3:51" s="1502" customFormat="1">
      <c r="C1157" s="1498"/>
      <c r="D1157" s="1501"/>
      <c r="E1157" s="1500"/>
      <c r="F1157" s="814"/>
      <c r="G1157" s="1494"/>
      <c r="H1157" s="1493"/>
      <c r="I1157" s="1493"/>
      <c r="J1157" s="813"/>
      <c r="K1157" s="814"/>
      <c r="L1157" s="1499"/>
      <c r="M1157" s="1488"/>
      <c r="N1157" s="1488"/>
      <c r="O1157" s="1488"/>
      <c r="P1157" s="1488"/>
      <c r="Q1157" s="1489"/>
      <c r="R1157" s="1489"/>
      <c r="S1157" s="1489"/>
      <c r="T1157" s="1489"/>
      <c r="U1157" s="1489"/>
      <c r="V1157" s="1489"/>
      <c r="W1157" s="1489"/>
      <c r="X1157" s="1489"/>
      <c r="Y1157" s="1489"/>
      <c r="Z1157" s="1489"/>
      <c r="AA1157" s="1489"/>
      <c r="AB1157" s="1489"/>
      <c r="AC1157" s="1489"/>
      <c r="AD1157" s="1489"/>
      <c r="AE1157" s="1489"/>
      <c r="AF1157" s="1489"/>
      <c r="AG1157" s="1489"/>
      <c r="AH1157" s="1489"/>
      <c r="AI1157" s="1489"/>
      <c r="AJ1157" s="1489"/>
      <c r="AK1157" s="1489"/>
      <c r="AL1157" s="1489"/>
      <c r="AM1157" s="1489"/>
      <c r="AN1157" s="1489"/>
      <c r="AO1157" s="1489"/>
      <c r="AP1157" s="1489"/>
      <c r="AQ1157" s="1489"/>
      <c r="AR1157" s="1488"/>
      <c r="AS1157" s="1488"/>
      <c r="AT1157" s="1488"/>
      <c r="AU1157" s="1488"/>
      <c r="AV1157" s="1488"/>
      <c r="AW1157" s="1488"/>
      <c r="AX1157" s="1488"/>
      <c r="AY1157" s="1488"/>
    </row>
    <row r="1158" spans="3:51" s="1502" customFormat="1">
      <c r="C1158" s="1498"/>
      <c r="D1158" s="1501"/>
      <c r="E1158" s="1500"/>
      <c r="F1158" s="814"/>
      <c r="G1158" s="1494"/>
      <c r="H1158" s="1493"/>
      <c r="I1158" s="1493"/>
      <c r="J1158" s="813"/>
      <c r="K1158" s="814"/>
      <c r="L1158" s="1499"/>
      <c r="M1158" s="1488"/>
      <c r="N1158" s="1488"/>
      <c r="O1158" s="1488"/>
      <c r="P1158" s="1488"/>
      <c r="Q1158" s="1489"/>
      <c r="R1158" s="1489"/>
      <c r="S1158" s="1489"/>
      <c r="T1158" s="1489"/>
      <c r="U1158" s="1489"/>
      <c r="V1158" s="1489"/>
      <c r="W1158" s="1489"/>
      <c r="X1158" s="1489"/>
      <c r="Y1158" s="1489"/>
      <c r="Z1158" s="1489"/>
      <c r="AA1158" s="1489"/>
      <c r="AB1158" s="1489"/>
      <c r="AC1158" s="1489"/>
      <c r="AD1158" s="1489"/>
      <c r="AE1158" s="1489"/>
      <c r="AF1158" s="1489"/>
      <c r="AG1158" s="1489"/>
      <c r="AH1158" s="1489"/>
      <c r="AI1158" s="1489"/>
      <c r="AJ1158" s="1489"/>
      <c r="AK1158" s="1489"/>
      <c r="AL1158" s="1489"/>
      <c r="AM1158" s="1489"/>
      <c r="AN1158" s="1489"/>
      <c r="AO1158" s="1489"/>
      <c r="AP1158" s="1489"/>
      <c r="AQ1158" s="1489"/>
      <c r="AR1158" s="1488"/>
      <c r="AS1158" s="1488"/>
      <c r="AT1158" s="1488"/>
      <c r="AU1158" s="1488"/>
      <c r="AV1158" s="1488"/>
      <c r="AW1158" s="1488"/>
      <c r="AX1158" s="1488"/>
      <c r="AY1158" s="1488"/>
    </row>
    <row r="1159" spans="3:51" s="1502" customFormat="1">
      <c r="C1159" s="1498"/>
      <c r="D1159" s="1501"/>
      <c r="E1159" s="1500"/>
      <c r="F1159" s="814"/>
      <c r="G1159" s="1494"/>
      <c r="H1159" s="1493"/>
      <c r="I1159" s="1493"/>
      <c r="J1159" s="813"/>
      <c r="K1159" s="814"/>
      <c r="L1159" s="1499"/>
      <c r="M1159" s="1488"/>
      <c r="N1159" s="1488"/>
      <c r="O1159" s="1488"/>
      <c r="P1159" s="1488"/>
      <c r="Q1159" s="1489"/>
      <c r="R1159" s="1489"/>
      <c r="S1159" s="1489"/>
      <c r="T1159" s="1489"/>
      <c r="U1159" s="1489"/>
      <c r="V1159" s="1489"/>
      <c r="W1159" s="1489"/>
      <c r="X1159" s="1489"/>
      <c r="Y1159" s="1489"/>
      <c r="Z1159" s="1489"/>
      <c r="AA1159" s="1489"/>
      <c r="AB1159" s="1489"/>
      <c r="AC1159" s="1489"/>
      <c r="AD1159" s="1489"/>
      <c r="AE1159" s="1489"/>
      <c r="AF1159" s="1489"/>
      <c r="AG1159" s="1489"/>
      <c r="AH1159" s="1489"/>
      <c r="AI1159" s="1489"/>
      <c r="AJ1159" s="1489"/>
      <c r="AK1159" s="1489"/>
      <c r="AL1159" s="1489"/>
      <c r="AM1159" s="1489"/>
      <c r="AN1159" s="1489"/>
      <c r="AO1159" s="1489"/>
      <c r="AP1159" s="1489"/>
      <c r="AQ1159" s="1489"/>
      <c r="AR1159" s="1488"/>
      <c r="AS1159" s="1488"/>
      <c r="AT1159" s="1488"/>
      <c r="AU1159" s="1488"/>
      <c r="AV1159" s="1488"/>
      <c r="AW1159" s="1488"/>
      <c r="AX1159" s="1488"/>
      <c r="AY1159" s="1488"/>
    </row>
    <row r="1160" spans="3:51" s="1502" customFormat="1">
      <c r="C1160" s="1498"/>
      <c r="D1160" s="1501"/>
      <c r="E1160" s="1500"/>
      <c r="F1160" s="814"/>
      <c r="G1160" s="1494"/>
      <c r="H1160" s="1493"/>
      <c r="I1160" s="1493"/>
      <c r="J1160" s="813"/>
      <c r="K1160" s="814"/>
      <c r="L1160" s="1499"/>
      <c r="M1160" s="1488"/>
      <c r="N1160" s="1488"/>
      <c r="O1160" s="1488"/>
      <c r="P1160" s="1488"/>
      <c r="Q1160" s="1489"/>
      <c r="R1160" s="1489"/>
      <c r="S1160" s="1489"/>
      <c r="T1160" s="1489"/>
      <c r="U1160" s="1489"/>
      <c r="V1160" s="1489"/>
      <c r="W1160" s="1489"/>
      <c r="X1160" s="1489"/>
      <c r="Y1160" s="1489"/>
      <c r="Z1160" s="1489"/>
      <c r="AA1160" s="1489"/>
      <c r="AB1160" s="1489"/>
      <c r="AC1160" s="1489"/>
      <c r="AD1160" s="1489"/>
      <c r="AE1160" s="1489"/>
      <c r="AF1160" s="1489"/>
      <c r="AG1160" s="1489"/>
      <c r="AH1160" s="1489"/>
      <c r="AI1160" s="1489"/>
      <c r="AJ1160" s="1489"/>
      <c r="AK1160" s="1489"/>
      <c r="AL1160" s="1489"/>
      <c r="AM1160" s="1489"/>
      <c r="AN1160" s="1489"/>
      <c r="AO1160" s="1489"/>
      <c r="AP1160" s="1489"/>
      <c r="AQ1160" s="1489"/>
      <c r="AR1160" s="1488"/>
      <c r="AS1160" s="1488"/>
      <c r="AT1160" s="1488"/>
      <c r="AU1160" s="1488"/>
      <c r="AV1160" s="1488"/>
      <c r="AW1160" s="1488"/>
      <c r="AX1160" s="1488"/>
      <c r="AY1160" s="1488"/>
    </row>
    <row r="1161" spans="3:51" s="1502" customFormat="1">
      <c r="C1161" s="1498"/>
      <c r="D1161" s="1501"/>
      <c r="E1161" s="1500"/>
      <c r="F1161" s="814"/>
      <c r="G1161" s="1494"/>
      <c r="H1161" s="1493"/>
      <c r="I1161" s="1493"/>
      <c r="J1161" s="813"/>
      <c r="K1161" s="814"/>
      <c r="L1161" s="1499"/>
      <c r="M1161" s="1488"/>
      <c r="N1161" s="1488"/>
      <c r="O1161" s="1488"/>
      <c r="P1161" s="1488"/>
      <c r="Q1161" s="1489"/>
      <c r="R1161" s="1489"/>
      <c r="S1161" s="1489"/>
      <c r="T1161" s="1489"/>
      <c r="U1161" s="1489"/>
      <c r="V1161" s="1489"/>
      <c r="W1161" s="1489"/>
      <c r="X1161" s="1489"/>
      <c r="Y1161" s="1489"/>
      <c r="Z1161" s="1489"/>
      <c r="AA1161" s="1489"/>
      <c r="AB1161" s="1489"/>
      <c r="AC1161" s="1489"/>
      <c r="AD1161" s="1489"/>
      <c r="AE1161" s="1489"/>
      <c r="AF1161" s="1489"/>
      <c r="AG1161" s="1489"/>
      <c r="AH1161" s="1489"/>
      <c r="AI1161" s="1489"/>
      <c r="AJ1161" s="1489"/>
      <c r="AK1161" s="1489"/>
      <c r="AL1161" s="1489"/>
      <c r="AM1161" s="1489"/>
      <c r="AN1161" s="1489"/>
      <c r="AO1161" s="1489"/>
      <c r="AP1161" s="1489"/>
      <c r="AQ1161" s="1489"/>
      <c r="AR1161" s="1488"/>
      <c r="AS1161" s="1488"/>
      <c r="AT1161" s="1488"/>
      <c r="AU1161" s="1488"/>
      <c r="AV1161" s="1488"/>
      <c r="AW1161" s="1488"/>
      <c r="AX1161" s="1488"/>
      <c r="AY1161" s="1488"/>
    </row>
    <row r="1162" spans="3:51" s="1502" customFormat="1">
      <c r="C1162" s="1498"/>
      <c r="D1162" s="1501"/>
      <c r="E1162" s="1500"/>
      <c r="F1162" s="814"/>
      <c r="G1162" s="1494"/>
      <c r="H1162" s="1493"/>
      <c r="I1162" s="1493"/>
      <c r="J1162" s="813"/>
      <c r="K1162" s="814"/>
      <c r="L1162" s="1499"/>
      <c r="M1162" s="1488"/>
      <c r="N1162" s="1488"/>
      <c r="O1162" s="1488"/>
      <c r="P1162" s="1488"/>
      <c r="Q1162" s="1489"/>
      <c r="R1162" s="1489"/>
      <c r="S1162" s="1489"/>
      <c r="T1162" s="1489"/>
      <c r="U1162" s="1489"/>
      <c r="V1162" s="1489"/>
      <c r="W1162" s="1489"/>
      <c r="X1162" s="1489"/>
      <c r="Y1162" s="1489"/>
      <c r="Z1162" s="1489"/>
      <c r="AA1162" s="1489"/>
      <c r="AB1162" s="1489"/>
      <c r="AC1162" s="1489"/>
      <c r="AD1162" s="1489"/>
      <c r="AE1162" s="1489"/>
      <c r="AF1162" s="1489"/>
      <c r="AG1162" s="1489"/>
      <c r="AH1162" s="1489"/>
      <c r="AI1162" s="1489"/>
      <c r="AJ1162" s="1489"/>
      <c r="AK1162" s="1489"/>
      <c r="AL1162" s="1489"/>
      <c r="AM1162" s="1489"/>
      <c r="AN1162" s="1489"/>
      <c r="AO1162" s="1489"/>
      <c r="AP1162" s="1489"/>
      <c r="AQ1162" s="1489"/>
      <c r="AR1162" s="1488"/>
      <c r="AS1162" s="1488"/>
      <c r="AT1162" s="1488"/>
      <c r="AU1162" s="1488"/>
      <c r="AV1162" s="1488"/>
      <c r="AW1162" s="1488"/>
      <c r="AX1162" s="1488"/>
      <c r="AY1162" s="1488"/>
    </row>
    <row r="1163" spans="3:51" s="1502" customFormat="1">
      <c r="C1163" s="1498"/>
      <c r="D1163" s="1501"/>
      <c r="E1163" s="1500"/>
      <c r="F1163" s="814"/>
      <c r="G1163" s="1494"/>
      <c r="H1163" s="1493"/>
      <c r="I1163" s="1493"/>
      <c r="J1163" s="813"/>
      <c r="K1163" s="814"/>
      <c r="L1163" s="1499"/>
      <c r="M1163" s="1488"/>
      <c r="N1163" s="1488"/>
      <c r="O1163" s="1488"/>
      <c r="P1163" s="1488"/>
      <c r="Q1163" s="1489"/>
      <c r="R1163" s="1489"/>
      <c r="S1163" s="1489"/>
      <c r="T1163" s="1489"/>
      <c r="U1163" s="1489"/>
      <c r="V1163" s="1489"/>
      <c r="W1163" s="1489"/>
      <c r="X1163" s="1489"/>
      <c r="Y1163" s="1489"/>
      <c r="Z1163" s="1489"/>
      <c r="AA1163" s="1489"/>
      <c r="AB1163" s="1489"/>
      <c r="AC1163" s="1489"/>
      <c r="AD1163" s="1489"/>
      <c r="AE1163" s="1489"/>
      <c r="AF1163" s="1489"/>
      <c r="AG1163" s="1489"/>
      <c r="AH1163" s="1489"/>
      <c r="AI1163" s="1489"/>
      <c r="AJ1163" s="1489"/>
      <c r="AK1163" s="1489"/>
      <c r="AL1163" s="1489"/>
      <c r="AM1163" s="1489"/>
      <c r="AN1163" s="1489"/>
      <c r="AO1163" s="1489"/>
      <c r="AP1163" s="1489"/>
      <c r="AQ1163" s="1489"/>
      <c r="AR1163" s="1488"/>
      <c r="AS1163" s="1488"/>
      <c r="AT1163" s="1488"/>
      <c r="AU1163" s="1488"/>
      <c r="AV1163" s="1488"/>
      <c r="AW1163" s="1488"/>
      <c r="AX1163" s="1488"/>
      <c r="AY1163" s="1488"/>
    </row>
    <row r="1164" spans="3:51" s="1502" customFormat="1">
      <c r="C1164" s="1498"/>
      <c r="D1164" s="1501"/>
      <c r="E1164" s="1500"/>
      <c r="F1164" s="814"/>
      <c r="G1164" s="1494"/>
      <c r="H1164" s="1493"/>
      <c r="I1164" s="1493"/>
      <c r="J1164" s="813"/>
      <c r="K1164" s="814"/>
      <c r="L1164" s="1499"/>
      <c r="M1164" s="1488"/>
      <c r="N1164" s="1488"/>
      <c r="O1164" s="1488"/>
      <c r="P1164" s="1488"/>
      <c r="Q1164" s="1489"/>
      <c r="R1164" s="1489"/>
      <c r="S1164" s="1489"/>
      <c r="T1164" s="1489"/>
      <c r="U1164" s="1489"/>
      <c r="V1164" s="1489"/>
      <c r="W1164" s="1489"/>
      <c r="X1164" s="1489"/>
      <c r="Y1164" s="1489"/>
      <c r="Z1164" s="1489"/>
      <c r="AA1164" s="1489"/>
      <c r="AB1164" s="1489"/>
      <c r="AC1164" s="1489"/>
      <c r="AD1164" s="1489"/>
      <c r="AE1164" s="1489"/>
      <c r="AF1164" s="1489"/>
      <c r="AG1164" s="1489"/>
      <c r="AH1164" s="1489"/>
      <c r="AI1164" s="1489"/>
      <c r="AJ1164" s="1489"/>
      <c r="AK1164" s="1489"/>
      <c r="AL1164" s="1489"/>
      <c r="AM1164" s="1489"/>
      <c r="AN1164" s="1489"/>
      <c r="AO1164" s="1489"/>
      <c r="AP1164" s="1489"/>
      <c r="AQ1164" s="1489"/>
      <c r="AR1164" s="1488"/>
      <c r="AS1164" s="1488"/>
      <c r="AT1164" s="1488"/>
      <c r="AU1164" s="1488"/>
      <c r="AV1164" s="1488"/>
      <c r="AW1164" s="1488"/>
      <c r="AX1164" s="1488"/>
      <c r="AY1164" s="1488"/>
    </row>
    <row r="1165" spans="3:51" s="1502" customFormat="1">
      <c r="C1165" s="1498"/>
      <c r="D1165" s="1501"/>
      <c r="E1165" s="1500"/>
      <c r="F1165" s="814"/>
      <c r="G1165" s="1494"/>
      <c r="H1165" s="1493"/>
      <c r="I1165" s="1493"/>
      <c r="J1165" s="813"/>
      <c r="K1165" s="814"/>
      <c r="L1165" s="1499"/>
      <c r="M1165" s="1488"/>
      <c r="N1165" s="1488"/>
      <c r="O1165" s="1488"/>
      <c r="P1165" s="1488"/>
      <c r="Q1165" s="1489"/>
      <c r="R1165" s="1489"/>
      <c r="S1165" s="1489"/>
      <c r="T1165" s="1489"/>
      <c r="U1165" s="1489"/>
      <c r="V1165" s="1489"/>
      <c r="W1165" s="1489"/>
      <c r="X1165" s="1489"/>
      <c r="Y1165" s="1489"/>
      <c r="Z1165" s="1489"/>
      <c r="AA1165" s="1489"/>
      <c r="AB1165" s="1489"/>
      <c r="AC1165" s="1489"/>
      <c r="AD1165" s="1489"/>
      <c r="AE1165" s="1489"/>
      <c r="AF1165" s="1489"/>
      <c r="AG1165" s="1489"/>
      <c r="AH1165" s="1489"/>
      <c r="AI1165" s="1489"/>
      <c r="AJ1165" s="1489"/>
      <c r="AK1165" s="1489"/>
      <c r="AL1165" s="1489"/>
      <c r="AM1165" s="1489"/>
      <c r="AN1165" s="1489"/>
      <c r="AO1165" s="1489"/>
      <c r="AP1165" s="1489"/>
      <c r="AQ1165" s="1489"/>
      <c r="AR1165" s="1488"/>
      <c r="AS1165" s="1488"/>
      <c r="AT1165" s="1488"/>
      <c r="AU1165" s="1488"/>
      <c r="AV1165" s="1488"/>
      <c r="AW1165" s="1488"/>
      <c r="AX1165" s="1488"/>
      <c r="AY1165" s="1488"/>
    </row>
    <row r="1166" spans="3:51" s="1502" customFormat="1">
      <c r="C1166" s="1498"/>
      <c r="D1166" s="1501"/>
      <c r="E1166" s="1500"/>
      <c r="F1166" s="814"/>
      <c r="G1166" s="1494"/>
      <c r="H1166" s="1493"/>
      <c r="I1166" s="1493"/>
      <c r="J1166" s="813"/>
      <c r="K1166" s="814"/>
      <c r="L1166" s="1499"/>
      <c r="M1166" s="1488"/>
      <c r="N1166" s="1488"/>
      <c r="O1166" s="1488"/>
      <c r="P1166" s="1488"/>
      <c r="Q1166" s="1489"/>
      <c r="R1166" s="1489"/>
      <c r="S1166" s="1489"/>
      <c r="T1166" s="1489"/>
      <c r="U1166" s="1489"/>
      <c r="V1166" s="1489"/>
      <c r="W1166" s="1489"/>
      <c r="X1166" s="1489"/>
      <c r="Y1166" s="1489"/>
      <c r="Z1166" s="1489"/>
      <c r="AA1166" s="1489"/>
      <c r="AB1166" s="1489"/>
      <c r="AC1166" s="1489"/>
      <c r="AD1166" s="1489"/>
      <c r="AE1166" s="1489"/>
      <c r="AF1166" s="1489"/>
      <c r="AG1166" s="1489"/>
      <c r="AH1166" s="1489"/>
      <c r="AI1166" s="1489"/>
      <c r="AJ1166" s="1489"/>
      <c r="AK1166" s="1489"/>
      <c r="AL1166" s="1489"/>
      <c r="AM1166" s="1489"/>
      <c r="AN1166" s="1489"/>
      <c r="AO1166" s="1489"/>
      <c r="AP1166" s="1489"/>
      <c r="AQ1166" s="1489"/>
      <c r="AR1166" s="1488"/>
      <c r="AS1166" s="1488"/>
      <c r="AT1166" s="1488"/>
      <c r="AU1166" s="1488"/>
      <c r="AV1166" s="1488"/>
      <c r="AW1166" s="1488"/>
      <c r="AX1166" s="1488"/>
      <c r="AY1166" s="1488"/>
    </row>
    <row r="1167" spans="3:51" s="1502" customFormat="1">
      <c r="C1167" s="1498"/>
      <c r="D1167" s="1501"/>
      <c r="E1167" s="1500"/>
      <c r="F1167" s="814"/>
      <c r="G1167" s="1494"/>
      <c r="H1167" s="1493"/>
      <c r="I1167" s="1493"/>
      <c r="J1167" s="813"/>
      <c r="K1167" s="814"/>
      <c r="L1167" s="1499"/>
      <c r="M1167" s="1488"/>
      <c r="N1167" s="1488"/>
      <c r="O1167" s="1488"/>
      <c r="P1167" s="1488"/>
      <c r="Q1167" s="1489"/>
      <c r="R1167" s="1489"/>
      <c r="S1167" s="1489"/>
      <c r="T1167" s="1489"/>
      <c r="U1167" s="1489"/>
      <c r="V1167" s="1489"/>
      <c r="W1167" s="1489"/>
      <c r="X1167" s="1489"/>
      <c r="Y1167" s="1489"/>
      <c r="Z1167" s="1489"/>
      <c r="AA1167" s="1489"/>
      <c r="AB1167" s="1489"/>
      <c r="AC1167" s="1489"/>
      <c r="AD1167" s="1489"/>
      <c r="AE1167" s="1489"/>
      <c r="AF1167" s="1489"/>
      <c r="AG1167" s="1489"/>
      <c r="AH1167" s="1489"/>
      <c r="AI1167" s="1489"/>
      <c r="AJ1167" s="1489"/>
      <c r="AK1167" s="1489"/>
      <c r="AL1167" s="1489"/>
      <c r="AM1167" s="1489"/>
      <c r="AN1167" s="1489"/>
      <c r="AO1167" s="1489"/>
      <c r="AP1167" s="1489"/>
      <c r="AQ1167" s="1489"/>
      <c r="AR1167" s="1488"/>
      <c r="AS1167" s="1488"/>
      <c r="AT1167" s="1488"/>
      <c r="AU1167" s="1488"/>
      <c r="AV1167" s="1488"/>
      <c r="AW1167" s="1488"/>
      <c r="AX1167" s="1488"/>
      <c r="AY1167" s="1488"/>
    </row>
    <row r="1168" spans="3:51" s="1502" customFormat="1">
      <c r="C1168" s="1498"/>
      <c r="D1168" s="1501"/>
      <c r="E1168" s="1500"/>
      <c r="F1168" s="814"/>
      <c r="G1168" s="1494"/>
      <c r="H1168" s="1493"/>
      <c r="I1168" s="1493"/>
      <c r="J1168" s="813"/>
      <c r="K1168" s="814"/>
      <c r="L1168" s="1499"/>
      <c r="M1168" s="1488"/>
      <c r="N1168" s="1488"/>
      <c r="O1168" s="1488"/>
      <c r="P1168" s="1488"/>
      <c r="Q1168" s="1489"/>
      <c r="R1168" s="1489"/>
      <c r="S1168" s="1489"/>
      <c r="T1168" s="1489"/>
      <c r="U1168" s="1489"/>
      <c r="V1168" s="1489"/>
      <c r="W1168" s="1489"/>
      <c r="X1168" s="1489"/>
      <c r="Y1168" s="1489"/>
      <c r="Z1168" s="1489"/>
      <c r="AA1168" s="1489"/>
      <c r="AB1168" s="1489"/>
      <c r="AC1168" s="1489"/>
      <c r="AD1168" s="1489"/>
      <c r="AE1168" s="1489"/>
      <c r="AF1168" s="1489"/>
      <c r="AG1168" s="1489"/>
      <c r="AH1168" s="1489"/>
      <c r="AI1168" s="1489"/>
      <c r="AJ1168" s="1489"/>
      <c r="AK1168" s="1489"/>
      <c r="AL1168" s="1489"/>
      <c r="AM1168" s="1489"/>
      <c r="AN1168" s="1489"/>
      <c r="AO1168" s="1489"/>
      <c r="AP1168" s="1489"/>
      <c r="AQ1168" s="1489"/>
      <c r="AR1168" s="1488"/>
      <c r="AS1168" s="1488"/>
      <c r="AT1168" s="1488"/>
      <c r="AU1168" s="1488"/>
      <c r="AV1168" s="1488"/>
      <c r="AW1168" s="1488"/>
      <c r="AX1168" s="1488"/>
      <c r="AY1168" s="1488"/>
    </row>
    <row r="1169" spans="3:51" s="1502" customFormat="1">
      <c r="C1169" s="1498"/>
      <c r="D1169" s="1501"/>
      <c r="E1169" s="1500"/>
      <c r="F1169" s="814"/>
      <c r="G1169" s="1494"/>
      <c r="H1169" s="1493"/>
      <c r="I1169" s="1493"/>
      <c r="J1169" s="813"/>
      <c r="K1169" s="814"/>
      <c r="L1169" s="1499"/>
      <c r="M1169" s="1488"/>
      <c r="N1169" s="1488"/>
      <c r="O1169" s="1488"/>
      <c r="P1169" s="1488"/>
      <c r="Q1169" s="1489"/>
      <c r="R1169" s="1489"/>
      <c r="S1169" s="1489"/>
      <c r="T1169" s="1489"/>
      <c r="U1169" s="1489"/>
      <c r="V1169" s="1489"/>
      <c r="W1169" s="1489"/>
      <c r="X1169" s="1489"/>
      <c r="Y1169" s="1489"/>
      <c r="Z1169" s="1489"/>
      <c r="AA1169" s="1489"/>
      <c r="AB1169" s="1489"/>
      <c r="AC1169" s="1489"/>
      <c r="AD1169" s="1489"/>
      <c r="AE1169" s="1489"/>
      <c r="AF1169" s="1489"/>
      <c r="AG1169" s="1489"/>
      <c r="AH1169" s="1489"/>
      <c r="AI1169" s="1489"/>
      <c r="AJ1169" s="1489"/>
      <c r="AK1169" s="1489"/>
      <c r="AL1169" s="1489"/>
      <c r="AM1169" s="1489"/>
      <c r="AN1169" s="1489"/>
      <c r="AO1169" s="1489"/>
      <c r="AP1169" s="1489"/>
      <c r="AQ1169" s="1489"/>
      <c r="AR1169" s="1488"/>
      <c r="AS1169" s="1488"/>
      <c r="AT1169" s="1488"/>
      <c r="AU1169" s="1488"/>
      <c r="AV1169" s="1488"/>
      <c r="AW1169" s="1488"/>
      <c r="AX1169" s="1488"/>
      <c r="AY1169" s="1488"/>
    </row>
    <row r="1170" spans="3:51" s="1502" customFormat="1">
      <c r="C1170" s="1498"/>
      <c r="D1170" s="1501"/>
      <c r="E1170" s="1500"/>
      <c r="F1170" s="814"/>
      <c r="G1170" s="1494"/>
      <c r="H1170" s="1493"/>
      <c r="I1170" s="1493"/>
      <c r="J1170" s="813"/>
      <c r="K1170" s="814"/>
      <c r="L1170" s="1499"/>
      <c r="M1170" s="1488"/>
      <c r="N1170" s="1488"/>
      <c r="O1170" s="1488"/>
      <c r="P1170" s="1488"/>
      <c r="Q1170" s="1489"/>
      <c r="R1170" s="1489"/>
      <c r="S1170" s="1489"/>
      <c r="T1170" s="1489"/>
      <c r="U1170" s="1489"/>
      <c r="V1170" s="1489"/>
      <c r="W1170" s="1489"/>
      <c r="X1170" s="1489"/>
      <c r="Y1170" s="1489"/>
      <c r="Z1170" s="1489"/>
      <c r="AA1170" s="1489"/>
      <c r="AB1170" s="1489"/>
      <c r="AC1170" s="1489"/>
      <c r="AD1170" s="1489"/>
      <c r="AE1170" s="1489"/>
      <c r="AF1170" s="1489"/>
      <c r="AG1170" s="1489"/>
      <c r="AH1170" s="1489"/>
      <c r="AI1170" s="1489"/>
      <c r="AJ1170" s="1489"/>
      <c r="AK1170" s="1489"/>
      <c r="AL1170" s="1489"/>
      <c r="AM1170" s="1489"/>
      <c r="AN1170" s="1489"/>
      <c r="AO1170" s="1489"/>
      <c r="AP1170" s="1489"/>
      <c r="AQ1170" s="1489"/>
      <c r="AR1170" s="1488"/>
      <c r="AS1170" s="1488"/>
      <c r="AT1170" s="1488"/>
      <c r="AU1170" s="1488"/>
      <c r="AV1170" s="1488"/>
      <c r="AW1170" s="1488"/>
      <c r="AX1170" s="1488"/>
      <c r="AY1170" s="1488"/>
    </row>
    <row r="1171" spans="3:51" s="1502" customFormat="1">
      <c r="C1171" s="1498"/>
      <c r="D1171" s="1501"/>
      <c r="E1171" s="1500"/>
      <c r="F1171" s="814"/>
      <c r="G1171" s="1494"/>
      <c r="H1171" s="1493"/>
      <c r="I1171" s="1493"/>
      <c r="J1171" s="813"/>
      <c r="K1171" s="814"/>
      <c r="L1171" s="1499"/>
      <c r="M1171" s="1488"/>
      <c r="N1171" s="1488"/>
      <c r="O1171" s="1488"/>
      <c r="P1171" s="1488"/>
      <c r="Q1171" s="1489"/>
      <c r="R1171" s="1489"/>
      <c r="S1171" s="1489"/>
      <c r="T1171" s="1489"/>
      <c r="U1171" s="1489"/>
      <c r="V1171" s="1489"/>
      <c r="W1171" s="1489"/>
      <c r="X1171" s="1489"/>
      <c r="Y1171" s="1489"/>
      <c r="Z1171" s="1489"/>
      <c r="AA1171" s="1489"/>
      <c r="AB1171" s="1489"/>
      <c r="AC1171" s="1489"/>
      <c r="AD1171" s="1489"/>
      <c r="AE1171" s="1489"/>
      <c r="AF1171" s="1489"/>
      <c r="AG1171" s="1489"/>
      <c r="AH1171" s="1489"/>
      <c r="AI1171" s="1489"/>
      <c r="AJ1171" s="1489"/>
      <c r="AK1171" s="1489"/>
      <c r="AL1171" s="1489"/>
      <c r="AM1171" s="1489"/>
      <c r="AN1171" s="1489"/>
      <c r="AO1171" s="1489"/>
      <c r="AP1171" s="1489"/>
      <c r="AQ1171" s="1489"/>
      <c r="AR1171" s="1488"/>
      <c r="AS1171" s="1488"/>
      <c r="AT1171" s="1488"/>
      <c r="AU1171" s="1488"/>
      <c r="AV1171" s="1488"/>
      <c r="AW1171" s="1488"/>
      <c r="AX1171" s="1488"/>
      <c r="AY1171" s="1488"/>
    </row>
    <row r="1172" spans="3:51" s="1502" customFormat="1">
      <c r="C1172" s="1498"/>
      <c r="D1172" s="1501"/>
      <c r="E1172" s="1500"/>
      <c r="F1172" s="814"/>
      <c r="G1172" s="1494"/>
      <c r="H1172" s="1493"/>
      <c r="I1172" s="1493"/>
      <c r="J1172" s="813"/>
      <c r="K1172" s="814"/>
      <c r="L1172" s="1499"/>
      <c r="M1172" s="1488"/>
      <c r="N1172" s="1488"/>
      <c r="O1172" s="1488"/>
      <c r="P1172" s="1488"/>
      <c r="Q1172" s="1489"/>
      <c r="R1172" s="1489"/>
      <c r="S1172" s="1489"/>
      <c r="T1172" s="1489"/>
      <c r="U1172" s="1489"/>
      <c r="V1172" s="1489"/>
      <c r="W1172" s="1489"/>
      <c r="X1172" s="1489"/>
      <c r="Y1172" s="1489"/>
      <c r="Z1172" s="1489"/>
      <c r="AA1172" s="1489"/>
      <c r="AB1172" s="1489"/>
      <c r="AC1172" s="1489"/>
      <c r="AD1172" s="1489"/>
      <c r="AE1172" s="1489"/>
      <c r="AF1172" s="1489"/>
      <c r="AG1172" s="1489"/>
      <c r="AH1172" s="1489"/>
      <c r="AI1172" s="1489"/>
      <c r="AJ1172" s="1489"/>
      <c r="AK1172" s="1489"/>
      <c r="AL1172" s="1489"/>
      <c r="AM1172" s="1489"/>
      <c r="AN1172" s="1489"/>
      <c r="AO1172" s="1489"/>
      <c r="AP1172" s="1489"/>
      <c r="AQ1172" s="1489"/>
      <c r="AR1172" s="1488"/>
      <c r="AS1172" s="1488"/>
      <c r="AT1172" s="1488"/>
      <c r="AU1172" s="1488"/>
      <c r="AV1172" s="1488"/>
      <c r="AW1172" s="1488"/>
      <c r="AX1172" s="1488"/>
      <c r="AY1172" s="1488"/>
    </row>
    <row r="1173" spans="3:51" s="1502" customFormat="1">
      <c r="C1173" s="1498"/>
      <c r="D1173" s="1501"/>
      <c r="E1173" s="1500"/>
      <c r="F1173" s="814"/>
      <c r="G1173" s="1494"/>
      <c r="H1173" s="1493"/>
      <c r="I1173" s="1493"/>
      <c r="J1173" s="813"/>
      <c r="K1173" s="814"/>
      <c r="L1173" s="1499"/>
      <c r="M1173" s="1488"/>
      <c r="N1173" s="1488"/>
      <c r="O1173" s="1488"/>
      <c r="P1173" s="1488"/>
      <c r="Q1173" s="1489"/>
      <c r="R1173" s="1489"/>
      <c r="S1173" s="1489"/>
      <c r="T1173" s="1489"/>
      <c r="U1173" s="1489"/>
      <c r="V1173" s="1489"/>
      <c r="W1173" s="1489"/>
      <c r="X1173" s="1489"/>
      <c r="Y1173" s="1489"/>
      <c r="Z1173" s="1489"/>
      <c r="AA1173" s="1489"/>
      <c r="AB1173" s="1489"/>
      <c r="AC1173" s="1489"/>
      <c r="AD1173" s="1489"/>
      <c r="AE1173" s="1489"/>
      <c r="AF1173" s="1489"/>
      <c r="AG1173" s="1489"/>
      <c r="AH1173" s="1489"/>
      <c r="AI1173" s="1489"/>
      <c r="AJ1173" s="1489"/>
      <c r="AK1173" s="1489"/>
      <c r="AL1173" s="1489"/>
      <c r="AM1173" s="1489"/>
      <c r="AN1173" s="1489"/>
      <c r="AO1173" s="1489"/>
      <c r="AP1173" s="1489"/>
      <c r="AQ1173" s="1489"/>
      <c r="AR1173" s="1488"/>
      <c r="AS1173" s="1488"/>
      <c r="AT1173" s="1488"/>
      <c r="AU1173" s="1488"/>
      <c r="AV1173" s="1488"/>
      <c r="AW1173" s="1488"/>
      <c r="AX1173" s="1488"/>
      <c r="AY1173" s="1488"/>
    </row>
    <row r="1174" spans="3:51" s="1502" customFormat="1">
      <c r="C1174" s="1498"/>
      <c r="D1174" s="1501"/>
      <c r="E1174" s="1500"/>
      <c r="F1174" s="814"/>
      <c r="G1174" s="1494"/>
      <c r="H1174" s="1493"/>
      <c r="I1174" s="1493"/>
      <c r="J1174" s="813"/>
      <c r="K1174" s="814"/>
      <c r="L1174" s="1499"/>
      <c r="M1174" s="1488"/>
      <c r="N1174" s="1488"/>
      <c r="O1174" s="1488"/>
      <c r="P1174" s="1488"/>
      <c r="Q1174" s="1489"/>
      <c r="R1174" s="1489"/>
      <c r="S1174" s="1489"/>
      <c r="T1174" s="1489"/>
      <c r="U1174" s="1489"/>
      <c r="V1174" s="1489"/>
      <c r="W1174" s="1489"/>
      <c r="X1174" s="1489"/>
      <c r="Y1174" s="1489"/>
      <c r="Z1174" s="1489"/>
      <c r="AA1174" s="1489"/>
      <c r="AB1174" s="1489"/>
      <c r="AC1174" s="1489"/>
      <c r="AD1174" s="1489"/>
      <c r="AE1174" s="1489"/>
      <c r="AF1174" s="1489"/>
      <c r="AG1174" s="1489"/>
      <c r="AH1174" s="1489"/>
      <c r="AI1174" s="1489"/>
      <c r="AJ1174" s="1489"/>
      <c r="AK1174" s="1489"/>
      <c r="AL1174" s="1489"/>
      <c r="AM1174" s="1489"/>
      <c r="AN1174" s="1489"/>
      <c r="AO1174" s="1489"/>
      <c r="AP1174" s="1489"/>
      <c r="AQ1174" s="1489"/>
      <c r="AR1174" s="1488"/>
      <c r="AS1174" s="1488"/>
      <c r="AT1174" s="1488"/>
      <c r="AU1174" s="1488"/>
      <c r="AV1174" s="1488"/>
      <c r="AW1174" s="1488"/>
      <c r="AX1174" s="1488"/>
      <c r="AY1174" s="1488"/>
    </row>
    <row r="1175" spans="3:51" s="1502" customFormat="1">
      <c r="C1175" s="1498"/>
      <c r="D1175" s="1501"/>
      <c r="E1175" s="1500"/>
      <c r="F1175" s="814"/>
      <c r="G1175" s="1494"/>
      <c r="H1175" s="1493"/>
      <c r="I1175" s="1493"/>
      <c r="J1175" s="813"/>
      <c r="K1175" s="814"/>
      <c r="L1175" s="1499"/>
      <c r="M1175" s="1488"/>
      <c r="N1175" s="1488"/>
      <c r="O1175" s="1488"/>
      <c r="P1175" s="1488"/>
      <c r="Q1175" s="1489"/>
      <c r="R1175" s="1489"/>
      <c r="S1175" s="1489"/>
      <c r="T1175" s="1489"/>
      <c r="U1175" s="1489"/>
      <c r="V1175" s="1489"/>
      <c r="W1175" s="1489"/>
      <c r="X1175" s="1489"/>
      <c r="Y1175" s="1489"/>
      <c r="Z1175" s="1489"/>
      <c r="AA1175" s="1489"/>
      <c r="AB1175" s="1489"/>
      <c r="AC1175" s="1489"/>
      <c r="AD1175" s="1489"/>
      <c r="AE1175" s="1489"/>
      <c r="AF1175" s="1489"/>
      <c r="AG1175" s="1489"/>
      <c r="AH1175" s="1489"/>
      <c r="AI1175" s="1489"/>
      <c r="AJ1175" s="1489"/>
      <c r="AK1175" s="1489"/>
      <c r="AL1175" s="1489"/>
      <c r="AM1175" s="1489"/>
      <c r="AN1175" s="1489"/>
      <c r="AO1175" s="1489"/>
      <c r="AP1175" s="1489"/>
      <c r="AQ1175" s="1489"/>
      <c r="AR1175" s="1488"/>
      <c r="AS1175" s="1488"/>
      <c r="AT1175" s="1488"/>
      <c r="AU1175" s="1488"/>
      <c r="AV1175" s="1488"/>
      <c r="AW1175" s="1488"/>
      <c r="AX1175" s="1488"/>
      <c r="AY1175" s="1488"/>
    </row>
    <row r="1176" spans="3:51" s="1502" customFormat="1">
      <c r="C1176" s="1498"/>
      <c r="D1176" s="1501"/>
      <c r="E1176" s="1500"/>
      <c r="F1176" s="814"/>
      <c r="G1176" s="1494"/>
      <c r="H1176" s="1493"/>
      <c r="I1176" s="1493"/>
      <c r="J1176" s="813"/>
      <c r="K1176" s="814"/>
      <c r="L1176" s="1499"/>
      <c r="M1176" s="1488"/>
      <c r="N1176" s="1488"/>
      <c r="O1176" s="1488"/>
      <c r="P1176" s="1488"/>
      <c r="Q1176" s="1489"/>
      <c r="R1176" s="1489"/>
      <c r="S1176" s="1489"/>
      <c r="T1176" s="1489"/>
      <c r="U1176" s="1489"/>
      <c r="V1176" s="1489"/>
      <c r="W1176" s="1489"/>
      <c r="X1176" s="1489"/>
      <c r="Y1176" s="1489"/>
      <c r="Z1176" s="1489"/>
      <c r="AA1176" s="1489"/>
      <c r="AB1176" s="1489"/>
      <c r="AC1176" s="1489"/>
      <c r="AD1176" s="1489"/>
      <c r="AE1176" s="1489"/>
      <c r="AF1176" s="1489"/>
      <c r="AG1176" s="1489"/>
      <c r="AH1176" s="1489"/>
      <c r="AI1176" s="1489"/>
      <c r="AJ1176" s="1489"/>
      <c r="AK1176" s="1489"/>
      <c r="AL1176" s="1489"/>
      <c r="AM1176" s="1489"/>
      <c r="AN1176" s="1489"/>
      <c r="AO1176" s="1489"/>
      <c r="AP1176" s="1489"/>
      <c r="AQ1176" s="1489"/>
      <c r="AR1176" s="1488"/>
      <c r="AS1176" s="1488"/>
      <c r="AT1176" s="1488"/>
      <c r="AU1176" s="1488"/>
      <c r="AV1176" s="1488"/>
      <c r="AW1176" s="1488"/>
      <c r="AX1176" s="1488"/>
      <c r="AY1176" s="1488"/>
    </row>
    <row r="1177" spans="3:51" s="1502" customFormat="1">
      <c r="C1177" s="1498"/>
      <c r="D1177" s="1501"/>
      <c r="E1177" s="1500"/>
      <c r="F1177" s="814"/>
      <c r="G1177" s="1494"/>
      <c r="H1177" s="1493"/>
      <c r="I1177" s="1493"/>
      <c r="J1177" s="813"/>
      <c r="K1177" s="814"/>
      <c r="L1177" s="1499"/>
      <c r="M1177" s="1488"/>
      <c r="N1177" s="1488"/>
      <c r="O1177" s="1488"/>
      <c r="P1177" s="1488"/>
      <c r="Q1177" s="1489"/>
      <c r="R1177" s="1489"/>
      <c r="S1177" s="1489"/>
      <c r="T1177" s="1489"/>
      <c r="U1177" s="1489"/>
      <c r="V1177" s="1489"/>
      <c r="W1177" s="1489"/>
      <c r="X1177" s="1489"/>
      <c r="Y1177" s="1489"/>
      <c r="Z1177" s="1489"/>
      <c r="AA1177" s="1489"/>
      <c r="AB1177" s="1489"/>
      <c r="AC1177" s="1489"/>
      <c r="AD1177" s="1489"/>
      <c r="AE1177" s="1489"/>
      <c r="AF1177" s="1489"/>
      <c r="AG1177" s="1489"/>
      <c r="AH1177" s="1489"/>
      <c r="AI1177" s="1489"/>
      <c r="AJ1177" s="1489"/>
      <c r="AK1177" s="1489"/>
      <c r="AL1177" s="1489"/>
      <c r="AM1177" s="1489"/>
      <c r="AN1177" s="1489"/>
      <c r="AO1177" s="1489"/>
      <c r="AP1177" s="1489"/>
      <c r="AQ1177" s="1489"/>
      <c r="AR1177" s="1488"/>
      <c r="AS1177" s="1488"/>
      <c r="AT1177" s="1488"/>
      <c r="AU1177" s="1488"/>
      <c r="AV1177" s="1488"/>
      <c r="AW1177" s="1488"/>
      <c r="AX1177" s="1488"/>
      <c r="AY1177" s="1488"/>
    </row>
    <row r="1178" spans="3:51" s="1502" customFormat="1">
      <c r="C1178" s="1498"/>
      <c r="D1178" s="1501"/>
      <c r="E1178" s="1500"/>
      <c r="F1178" s="814"/>
      <c r="G1178" s="1494"/>
      <c r="H1178" s="1493"/>
      <c r="I1178" s="1493"/>
      <c r="J1178" s="813"/>
      <c r="K1178" s="814"/>
      <c r="L1178" s="1499"/>
      <c r="M1178" s="1488"/>
      <c r="N1178" s="1488"/>
      <c r="O1178" s="1488"/>
      <c r="P1178" s="1488"/>
      <c r="Q1178" s="1489"/>
      <c r="R1178" s="1489"/>
      <c r="S1178" s="1489"/>
      <c r="T1178" s="1489"/>
      <c r="U1178" s="1489"/>
      <c r="V1178" s="1489"/>
      <c r="W1178" s="1489"/>
      <c r="X1178" s="1489"/>
      <c r="Y1178" s="1489"/>
      <c r="Z1178" s="1489"/>
      <c r="AA1178" s="1489"/>
      <c r="AB1178" s="1489"/>
      <c r="AC1178" s="1489"/>
      <c r="AD1178" s="1489"/>
      <c r="AE1178" s="1489"/>
      <c r="AF1178" s="1489"/>
      <c r="AG1178" s="1489"/>
      <c r="AH1178" s="1489"/>
      <c r="AI1178" s="1489"/>
      <c r="AJ1178" s="1489"/>
      <c r="AK1178" s="1489"/>
      <c r="AL1178" s="1489"/>
      <c r="AM1178" s="1489"/>
      <c r="AN1178" s="1489"/>
      <c r="AO1178" s="1489"/>
      <c r="AP1178" s="1489"/>
      <c r="AQ1178" s="1489"/>
      <c r="AR1178" s="1488"/>
      <c r="AS1178" s="1488"/>
      <c r="AT1178" s="1488"/>
      <c r="AU1178" s="1488"/>
      <c r="AV1178" s="1488"/>
      <c r="AW1178" s="1488"/>
      <c r="AX1178" s="1488"/>
      <c r="AY1178" s="1488"/>
    </row>
    <row r="1179" spans="3:51" s="1502" customFormat="1">
      <c r="C1179" s="1498"/>
      <c r="D1179" s="1501"/>
      <c r="E1179" s="1500"/>
      <c r="F1179" s="814"/>
      <c r="G1179" s="1494"/>
      <c r="H1179" s="1493"/>
      <c r="I1179" s="1493"/>
      <c r="J1179" s="813"/>
      <c r="K1179" s="814"/>
      <c r="L1179" s="1499"/>
      <c r="M1179" s="1488"/>
      <c r="N1179" s="1488"/>
      <c r="O1179" s="1488"/>
      <c r="P1179" s="1488"/>
      <c r="Q1179" s="1489"/>
      <c r="R1179" s="1489"/>
      <c r="S1179" s="1489"/>
      <c r="T1179" s="1489"/>
      <c r="U1179" s="1489"/>
      <c r="V1179" s="1489"/>
      <c r="W1179" s="1489"/>
      <c r="X1179" s="1489"/>
      <c r="Y1179" s="1489"/>
      <c r="Z1179" s="1489"/>
      <c r="AA1179" s="1489"/>
      <c r="AB1179" s="1489"/>
      <c r="AC1179" s="1489"/>
      <c r="AD1179" s="1489"/>
      <c r="AE1179" s="1489"/>
      <c r="AF1179" s="1489"/>
      <c r="AG1179" s="1489"/>
      <c r="AH1179" s="1489"/>
      <c r="AI1179" s="1489"/>
      <c r="AJ1179" s="1489"/>
      <c r="AK1179" s="1489"/>
      <c r="AL1179" s="1489"/>
      <c r="AM1179" s="1489"/>
      <c r="AN1179" s="1489"/>
      <c r="AO1179" s="1489"/>
      <c r="AP1179" s="1489"/>
      <c r="AQ1179" s="1489"/>
      <c r="AR1179" s="1488"/>
      <c r="AS1179" s="1488"/>
      <c r="AT1179" s="1488"/>
      <c r="AU1179" s="1488"/>
      <c r="AV1179" s="1488"/>
      <c r="AW1179" s="1488"/>
      <c r="AX1179" s="1488"/>
      <c r="AY1179" s="1488"/>
    </row>
    <row r="1180" spans="3:51" s="1502" customFormat="1">
      <c r="C1180" s="1498"/>
      <c r="D1180" s="1501"/>
      <c r="E1180" s="1500"/>
      <c r="F1180" s="814"/>
      <c r="G1180" s="1494"/>
      <c r="H1180" s="1493"/>
      <c r="I1180" s="1493"/>
      <c r="J1180" s="813"/>
      <c r="K1180" s="814"/>
      <c r="L1180" s="1499"/>
      <c r="M1180" s="1488"/>
      <c r="N1180" s="1488"/>
      <c r="O1180" s="1488"/>
      <c r="P1180" s="1488"/>
      <c r="Q1180" s="1489"/>
      <c r="R1180" s="1489"/>
      <c r="S1180" s="1489"/>
      <c r="T1180" s="1489"/>
      <c r="U1180" s="1489"/>
      <c r="V1180" s="1489"/>
      <c r="W1180" s="1489"/>
      <c r="X1180" s="1489"/>
      <c r="Y1180" s="1489"/>
      <c r="Z1180" s="1489"/>
      <c r="AA1180" s="1489"/>
      <c r="AB1180" s="1489"/>
      <c r="AC1180" s="1489"/>
      <c r="AD1180" s="1489"/>
      <c r="AE1180" s="1489"/>
      <c r="AF1180" s="1489"/>
      <c r="AG1180" s="1489"/>
      <c r="AH1180" s="1489"/>
      <c r="AI1180" s="1489"/>
      <c r="AJ1180" s="1489"/>
      <c r="AK1180" s="1489"/>
      <c r="AL1180" s="1489"/>
      <c r="AM1180" s="1489"/>
      <c r="AN1180" s="1489"/>
      <c r="AO1180" s="1489"/>
      <c r="AP1180" s="1489"/>
      <c r="AQ1180" s="1489"/>
      <c r="AR1180" s="1488"/>
      <c r="AS1180" s="1488"/>
      <c r="AT1180" s="1488"/>
      <c r="AU1180" s="1488"/>
      <c r="AV1180" s="1488"/>
      <c r="AW1180" s="1488"/>
      <c r="AX1180" s="1488"/>
      <c r="AY1180" s="1488"/>
    </row>
    <row r="1181" spans="3:51" s="1502" customFormat="1">
      <c r="C1181" s="1498"/>
      <c r="D1181" s="1501"/>
      <c r="E1181" s="1500"/>
      <c r="F1181" s="814"/>
      <c r="G1181" s="1494"/>
      <c r="H1181" s="1493"/>
      <c r="I1181" s="1493"/>
      <c r="J1181" s="813"/>
      <c r="K1181" s="814"/>
      <c r="L1181" s="1499"/>
      <c r="M1181" s="1488"/>
      <c r="N1181" s="1488"/>
      <c r="O1181" s="1488"/>
      <c r="P1181" s="1488"/>
      <c r="Q1181" s="1489"/>
      <c r="R1181" s="1489"/>
      <c r="S1181" s="1489"/>
      <c r="T1181" s="1489"/>
      <c r="U1181" s="1489"/>
      <c r="V1181" s="1489"/>
      <c r="W1181" s="1489"/>
      <c r="X1181" s="1489"/>
      <c r="Y1181" s="1489"/>
      <c r="Z1181" s="1489"/>
      <c r="AA1181" s="1489"/>
      <c r="AB1181" s="1489"/>
      <c r="AC1181" s="1489"/>
      <c r="AD1181" s="1489"/>
      <c r="AE1181" s="1489"/>
      <c r="AF1181" s="1489"/>
      <c r="AG1181" s="1489"/>
      <c r="AH1181" s="1489"/>
      <c r="AI1181" s="1489"/>
      <c r="AJ1181" s="1489"/>
      <c r="AK1181" s="1489"/>
      <c r="AL1181" s="1489"/>
      <c r="AM1181" s="1489"/>
      <c r="AN1181" s="1489"/>
      <c r="AO1181" s="1489"/>
      <c r="AP1181" s="1489"/>
      <c r="AQ1181" s="1489"/>
      <c r="AR1181" s="1488"/>
      <c r="AS1181" s="1488"/>
      <c r="AT1181" s="1488"/>
      <c r="AU1181" s="1488"/>
      <c r="AV1181" s="1488"/>
      <c r="AW1181" s="1488"/>
      <c r="AX1181" s="1488"/>
      <c r="AY1181" s="1488"/>
    </row>
    <row r="1182" spans="3:51" s="1502" customFormat="1">
      <c r="C1182" s="1498"/>
      <c r="D1182" s="1501"/>
      <c r="E1182" s="1500"/>
      <c r="F1182" s="814"/>
      <c r="G1182" s="1494"/>
      <c r="H1182" s="1493"/>
      <c r="I1182" s="1493"/>
      <c r="J1182" s="813"/>
      <c r="K1182" s="814"/>
      <c r="L1182" s="1499"/>
      <c r="M1182" s="1488"/>
      <c r="N1182" s="1488"/>
      <c r="O1182" s="1488"/>
      <c r="P1182" s="1488"/>
      <c r="Q1182" s="1489"/>
      <c r="R1182" s="1489"/>
      <c r="S1182" s="1489"/>
      <c r="T1182" s="1489"/>
      <c r="U1182" s="1489"/>
      <c r="V1182" s="1489"/>
      <c r="W1182" s="1489"/>
      <c r="X1182" s="1489"/>
      <c r="Y1182" s="1489"/>
      <c r="Z1182" s="1489"/>
      <c r="AA1182" s="1489"/>
      <c r="AB1182" s="1489"/>
      <c r="AC1182" s="1489"/>
      <c r="AD1182" s="1489"/>
      <c r="AE1182" s="1489"/>
      <c r="AF1182" s="1489"/>
      <c r="AG1182" s="1489"/>
      <c r="AH1182" s="1489"/>
      <c r="AI1182" s="1489"/>
      <c r="AJ1182" s="1489"/>
      <c r="AK1182" s="1489"/>
      <c r="AL1182" s="1489"/>
      <c r="AM1182" s="1489"/>
      <c r="AN1182" s="1489"/>
      <c r="AO1182" s="1489"/>
      <c r="AP1182" s="1489"/>
      <c r="AQ1182" s="1489"/>
      <c r="AR1182" s="1488"/>
      <c r="AS1182" s="1488"/>
      <c r="AT1182" s="1488"/>
      <c r="AU1182" s="1488"/>
      <c r="AV1182" s="1488"/>
      <c r="AW1182" s="1488"/>
      <c r="AX1182" s="1488"/>
      <c r="AY1182" s="1488"/>
    </row>
    <row r="1183" spans="3:51" s="1502" customFormat="1">
      <c r="C1183" s="1498"/>
      <c r="D1183" s="1501"/>
      <c r="E1183" s="1500"/>
      <c r="F1183" s="814"/>
      <c r="G1183" s="1494"/>
      <c r="H1183" s="1493"/>
      <c r="I1183" s="1493"/>
      <c r="J1183" s="813"/>
      <c r="K1183" s="814"/>
      <c r="L1183" s="1499"/>
      <c r="M1183" s="1488"/>
      <c r="N1183" s="1488"/>
      <c r="O1183" s="1488"/>
      <c r="P1183" s="1488"/>
      <c r="Q1183" s="1489"/>
      <c r="R1183" s="1489"/>
      <c r="S1183" s="1489"/>
      <c r="T1183" s="1489"/>
      <c r="U1183" s="1489"/>
      <c r="V1183" s="1489"/>
      <c r="W1183" s="1489"/>
      <c r="X1183" s="1489"/>
      <c r="Y1183" s="1489"/>
      <c r="Z1183" s="1489"/>
      <c r="AA1183" s="1489"/>
      <c r="AB1183" s="1489"/>
      <c r="AC1183" s="1489"/>
      <c r="AD1183" s="1489"/>
      <c r="AE1183" s="1489"/>
      <c r="AF1183" s="1489"/>
      <c r="AG1183" s="1489"/>
      <c r="AH1183" s="1489"/>
      <c r="AI1183" s="1489"/>
      <c r="AJ1183" s="1489"/>
      <c r="AK1183" s="1489"/>
      <c r="AL1183" s="1489"/>
      <c r="AM1183" s="1489"/>
      <c r="AN1183" s="1489"/>
      <c r="AO1183" s="1489"/>
      <c r="AP1183" s="1489"/>
      <c r="AQ1183" s="1489"/>
      <c r="AR1183" s="1488"/>
      <c r="AS1183" s="1488"/>
      <c r="AT1183" s="1488"/>
      <c r="AU1183" s="1488"/>
      <c r="AV1183" s="1488"/>
      <c r="AW1183" s="1488"/>
      <c r="AX1183" s="1488"/>
      <c r="AY1183" s="1488"/>
    </row>
    <row r="1184" spans="3:51" s="1502" customFormat="1">
      <c r="C1184" s="1498"/>
      <c r="D1184" s="1501"/>
      <c r="E1184" s="1500"/>
      <c r="F1184" s="814"/>
      <c r="G1184" s="1494"/>
      <c r="H1184" s="1493"/>
      <c r="I1184" s="1493"/>
      <c r="J1184" s="813"/>
      <c r="K1184" s="814"/>
      <c r="L1184" s="1499"/>
      <c r="M1184" s="1488"/>
      <c r="N1184" s="1488"/>
      <c r="O1184" s="1488"/>
      <c r="P1184" s="1488"/>
      <c r="Q1184" s="1489"/>
      <c r="R1184" s="1489"/>
      <c r="S1184" s="1489"/>
      <c r="T1184" s="1489"/>
      <c r="U1184" s="1489"/>
      <c r="V1184" s="1489"/>
      <c r="W1184" s="1489"/>
      <c r="X1184" s="1489"/>
      <c r="Y1184" s="1489"/>
      <c r="Z1184" s="1489"/>
      <c r="AA1184" s="1489"/>
      <c r="AB1184" s="1489"/>
      <c r="AC1184" s="1489"/>
      <c r="AD1184" s="1489"/>
      <c r="AE1184" s="1489"/>
      <c r="AF1184" s="1489"/>
      <c r="AG1184" s="1489"/>
      <c r="AH1184" s="1489"/>
      <c r="AI1184" s="1489"/>
      <c r="AJ1184" s="1489"/>
      <c r="AK1184" s="1489"/>
      <c r="AL1184" s="1489"/>
      <c r="AM1184" s="1489"/>
      <c r="AN1184" s="1489"/>
      <c r="AO1184" s="1489"/>
      <c r="AP1184" s="1489"/>
      <c r="AQ1184" s="1489"/>
      <c r="AR1184" s="1488"/>
      <c r="AS1184" s="1488"/>
      <c r="AT1184" s="1488"/>
      <c r="AU1184" s="1488"/>
      <c r="AV1184" s="1488"/>
      <c r="AW1184" s="1488"/>
      <c r="AX1184" s="1488"/>
      <c r="AY1184" s="1488"/>
    </row>
    <row r="1185" spans="3:51" s="1502" customFormat="1">
      <c r="C1185" s="1498"/>
      <c r="D1185" s="1501"/>
      <c r="E1185" s="1500"/>
      <c r="F1185" s="814"/>
      <c r="G1185" s="1494"/>
      <c r="H1185" s="1493"/>
      <c r="I1185" s="1493"/>
      <c r="J1185" s="813"/>
      <c r="K1185" s="814"/>
      <c r="L1185" s="1499"/>
      <c r="M1185" s="1488"/>
      <c r="N1185" s="1488"/>
      <c r="O1185" s="1488"/>
      <c r="P1185" s="1488"/>
      <c r="Q1185" s="1489"/>
      <c r="R1185" s="1489"/>
      <c r="S1185" s="1489"/>
      <c r="T1185" s="1489"/>
      <c r="U1185" s="1489"/>
      <c r="V1185" s="1489"/>
      <c r="W1185" s="1489"/>
      <c r="X1185" s="1489"/>
      <c r="Y1185" s="1489"/>
      <c r="Z1185" s="1489"/>
      <c r="AA1185" s="1489"/>
      <c r="AB1185" s="1489"/>
      <c r="AC1185" s="1489"/>
      <c r="AD1185" s="1489"/>
      <c r="AE1185" s="1489"/>
      <c r="AF1185" s="1489"/>
      <c r="AG1185" s="1489"/>
      <c r="AH1185" s="1489"/>
      <c r="AI1185" s="1489"/>
      <c r="AJ1185" s="1489"/>
      <c r="AK1185" s="1489"/>
      <c r="AL1185" s="1489"/>
      <c r="AM1185" s="1489"/>
      <c r="AN1185" s="1489"/>
      <c r="AO1185" s="1489"/>
      <c r="AP1185" s="1489"/>
      <c r="AQ1185" s="1489"/>
      <c r="AR1185" s="1488"/>
      <c r="AS1185" s="1488"/>
      <c r="AT1185" s="1488"/>
      <c r="AU1185" s="1488"/>
      <c r="AV1185" s="1488"/>
      <c r="AW1185" s="1488"/>
      <c r="AX1185" s="1488"/>
      <c r="AY1185" s="1488"/>
    </row>
    <row r="1186" spans="3:51" s="1502" customFormat="1">
      <c r="C1186" s="1498"/>
      <c r="D1186" s="1501"/>
      <c r="E1186" s="1500"/>
      <c r="F1186" s="814"/>
      <c r="G1186" s="1494"/>
      <c r="H1186" s="1493"/>
      <c r="I1186" s="1493"/>
      <c r="J1186" s="813"/>
      <c r="K1186" s="814"/>
      <c r="L1186" s="1499"/>
      <c r="M1186" s="1488"/>
      <c r="N1186" s="1488"/>
      <c r="O1186" s="1488"/>
      <c r="P1186" s="1488"/>
      <c r="Q1186" s="1489"/>
      <c r="R1186" s="1489"/>
      <c r="S1186" s="1489"/>
      <c r="T1186" s="1489"/>
      <c r="U1186" s="1489"/>
      <c r="V1186" s="1489"/>
      <c r="W1186" s="1489"/>
      <c r="X1186" s="1489"/>
      <c r="Y1186" s="1489"/>
      <c r="Z1186" s="1489"/>
      <c r="AA1186" s="1489"/>
      <c r="AB1186" s="1489"/>
      <c r="AC1186" s="1489"/>
      <c r="AD1186" s="1489"/>
      <c r="AE1186" s="1489"/>
      <c r="AF1186" s="1489"/>
      <c r="AG1186" s="1489"/>
      <c r="AH1186" s="1489"/>
      <c r="AI1186" s="1489"/>
      <c r="AJ1186" s="1489"/>
      <c r="AK1186" s="1489"/>
      <c r="AL1186" s="1489"/>
      <c r="AM1186" s="1489"/>
      <c r="AN1186" s="1489"/>
      <c r="AO1186" s="1489"/>
      <c r="AP1186" s="1489"/>
      <c r="AQ1186" s="1489"/>
      <c r="AR1186" s="1488"/>
      <c r="AS1186" s="1488"/>
      <c r="AT1186" s="1488"/>
      <c r="AU1186" s="1488"/>
      <c r="AV1186" s="1488"/>
      <c r="AW1186" s="1488"/>
      <c r="AX1186" s="1488"/>
      <c r="AY1186" s="1488"/>
    </row>
    <row r="1187" spans="3:51" s="1502" customFormat="1">
      <c r="C1187" s="1498"/>
      <c r="D1187" s="1501"/>
      <c r="E1187" s="1500"/>
      <c r="F1187" s="814"/>
      <c r="G1187" s="1494"/>
      <c r="H1187" s="1493"/>
      <c r="I1187" s="1493"/>
      <c r="J1187" s="813"/>
      <c r="K1187" s="814"/>
      <c r="L1187" s="1499"/>
      <c r="M1187" s="1488"/>
      <c r="N1187" s="1488"/>
      <c r="O1187" s="1488"/>
      <c r="P1187" s="1488"/>
      <c r="Q1187" s="1489"/>
      <c r="R1187" s="1489"/>
      <c r="S1187" s="1489"/>
      <c r="T1187" s="1489"/>
      <c r="U1187" s="1489"/>
      <c r="V1187" s="1489"/>
      <c r="W1187" s="1489"/>
      <c r="X1187" s="1489"/>
      <c r="Y1187" s="1489"/>
      <c r="Z1187" s="1489"/>
      <c r="AA1187" s="1489"/>
      <c r="AB1187" s="1489"/>
      <c r="AC1187" s="1489"/>
      <c r="AD1187" s="1489"/>
      <c r="AE1187" s="1489"/>
      <c r="AF1187" s="1489"/>
      <c r="AG1187" s="1489"/>
      <c r="AH1187" s="1489"/>
      <c r="AI1187" s="1489"/>
      <c r="AJ1187" s="1489"/>
      <c r="AK1187" s="1489"/>
      <c r="AL1187" s="1489"/>
      <c r="AM1187" s="1489"/>
      <c r="AN1187" s="1489"/>
      <c r="AO1187" s="1489"/>
      <c r="AP1187" s="1489"/>
      <c r="AQ1187" s="1489"/>
      <c r="AR1187" s="1488"/>
      <c r="AS1187" s="1488"/>
      <c r="AT1187" s="1488"/>
      <c r="AU1187" s="1488"/>
      <c r="AV1187" s="1488"/>
      <c r="AW1187" s="1488"/>
      <c r="AX1187" s="1488"/>
      <c r="AY1187" s="1488"/>
    </row>
    <row r="1188" spans="3:51" s="1502" customFormat="1">
      <c r="C1188" s="1498"/>
      <c r="D1188" s="1501"/>
      <c r="E1188" s="1500"/>
      <c r="F1188" s="814"/>
      <c r="G1188" s="1494"/>
      <c r="H1188" s="1493"/>
      <c r="I1188" s="1493"/>
      <c r="J1188" s="813"/>
      <c r="K1188" s="814"/>
      <c r="L1188" s="1499"/>
      <c r="M1188" s="1488"/>
      <c r="N1188" s="1488"/>
      <c r="O1188" s="1488"/>
      <c r="P1188" s="1488"/>
      <c r="Q1188" s="1489"/>
      <c r="R1188" s="1489"/>
      <c r="S1188" s="1489"/>
      <c r="T1188" s="1489"/>
      <c r="U1188" s="1489"/>
      <c r="V1188" s="1489"/>
      <c r="W1188" s="1489"/>
      <c r="X1188" s="1489"/>
      <c r="Y1188" s="1489"/>
      <c r="Z1188" s="1489"/>
      <c r="AA1188" s="1489"/>
      <c r="AB1188" s="1489"/>
      <c r="AC1188" s="1489"/>
      <c r="AD1188" s="1489"/>
      <c r="AE1188" s="1489"/>
      <c r="AF1188" s="1489"/>
      <c r="AG1188" s="1489"/>
      <c r="AH1188" s="1489"/>
      <c r="AI1188" s="1489"/>
      <c r="AJ1188" s="1489"/>
      <c r="AK1188" s="1489"/>
      <c r="AL1188" s="1489"/>
      <c r="AM1188" s="1489"/>
      <c r="AN1188" s="1489"/>
      <c r="AO1188" s="1489"/>
      <c r="AP1188" s="1489"/>
      <c r="AQ1188" s="1489"/>
      <c r="AR1188" s="1488"/>
      <c r="AS1188" s="1488"/>
      <c r="AT1188" s="1488"/>
      <c r="AU1188" s="1488"/>
      <c r="AV1188" s="1488"/>
      <c r="AW1188" s="1488"/>
      <c r="AX1188" s="1488"/>
      <c r="AY1188" s="1488"/>
    </row>
    <row r="1189" spans="3:51" s="1502" customFormat="1">
      <c r="C1189" s="1498"/>
      <c r="D1189" s="1501"/>
      <c r="E1189" s="1500"/>
      <c r="F1189" s="814"/>
      <c r="G1189" s="1494"/>
      <c r="H1189" s="1493"/>
      <c r="I1189" s="1493"/>
      <c r="J1189" s="813"/>
      <c r="K1189" s="814"/>
      <c r="L1189" s="1499"/>
      <c r="M1189" s="1488"/>
      <c r="N1189" s="1488"/>
      <c r="O1189" s="1488"/>
      <c r="P1189" s="1488"/>
      <c r="Q1189" s="1489"/>
      <c r="R1189" s="1489"/>
      <c r="S1189" s="1489"/>
      <c r="T1189" s="1489"/>
      <c r="U1189" s="1489"/>
      <c r="V1189" s="1489"/>
      <c r="W1189" s="1489"/>
      <c r="X1189" s="1489"/>
      <c r="Y1189" s="1489"/>
      <c r="Z1189" s="1489"/>
      <c r="AA1189" s="1489"/>
      <c r="AB1189" s="1489"/>
      <c r="AC1189" s="1489"/>
      <c r="AD1189" s="1489"/>
      <c r="AE1189" s="1489"/>
      <c r="AF1189" s="1489"/>
      <c r="AG1189" s="1489"/>
      <c r="AH1189" s="1489"/>
      <c r="AI1189" s="1489"/>
      <c r="AJ1189" s="1489"/>
      <c r="AK1189" s="1489"/>
      <c r="AL1189" s="1489"/>
      <c r="AM1189" s="1489"/>
      <c r="AN1189" s="1489"/>
      <c r="AO1189" s="1489"/>
      <c r="AP1189" s="1489"/>
      <c r="AQ1189" s="1489"/>
      <c r="AR1189" s="1488"/>
      <c r="AS1189" s="1488"/>
      <c r="AT1189" s="1488"/>
      <c r="AU1189" s="1488"/>
      <c r="AV1189" s="1488"/>
      <c r="AW1189" s="1488"/>
      <c r="AX1189" s="1488"/>
      <c r="AY1189" s="1488"/>
    </row>
    <row r="1190" spans="3:51" s="1502" customFormat="1">
      <c r="C1190" s="1498"/>
      <c r="D1190" s="1501"/>
      <c r="E1190" s="1500"/>
      <c r="F1190" s="814"/>
      <c r="G1190" s="1494"/>
      <c r="H1190" s="1493"/>
      <c r="I1190" s="1493"/>
      <c r="J1190" s="813"/>
      <c r="K1190" s="814"/>
      <c r="L1190" s="1499"/>
      <c r="M1190" s="1488"/>
      <c r="N1190" s="1488"/>
      <c r="O1190" s="1488"/>
      <c r="P1190" s="1488"/>
      <c r="Q1190" s="1489"/>
      <c r="R1190" s="1489"/>
      <c r="S1190" s="1489"/>
      <c r="T1190" s="1489"/>
      <c r="U1190" s="1489"/>
      <c r="V1190" s="1489"/>
      <c r="W1190" s="1489"/>
      <c r="X1190" s="1489"/>
      <c r="Y1190" s="1489"/>
      <c r="Z1190" s="1489"/>
      <c r="AA1190" s="1489"/>
      <c r="AB1190" s="1489"/>
      <c r="AC1190" s="1489"/>
      <c r="AD1190" s="1489"/>
      <c r="AE1190" s="1489"/>
      <c r="AF1190" s="1489"/>
      <c r="AG1190" s="1489"/>
      <c r="AH1190" s="1489"/>
      <c r="AI1190" s="1489"/>
      <c r="AJ1190" s="1489"/>
      <c r="AK1190" s="1489"/>
      <c r="AL1190" s="1489"/>
      <c r="AM1190" s="1489"/>
      <c r="AN1190" s="1489"/>
      <c r="AO1190" s="1489"/>
      <c r="AP1190" s="1489"/>
      <c r="AQ1190" s="1489"/>
      <c r="AR1190" s="1488"/>
      <c r="AS1190" s="1488"/>
      <c r="AT1190" s="1488"/>
      <c r="AU1190" s="1488"/>
      <c r="AV1190" s="1488"/>
      <c r="AW1190" s="1488"/>
      <c r="AX1190" s="1488"/>
      <c r="AY1190" s="1488"/>
    </row>
    <row r="1191" spans="3:51" s="1502" customFormat="1">
      <c r="C1191" s="1498"/>
      <c r="D1191" s="1501"/>
      <c r="E1191" s="1500"/>
      <c r="F1191" s="814"/>
      <c r="G1191" s="1494"/>
      <c r="H1191" s="1493"/>
      <c r="I1191" s="1493"/>
      <c r="J1191" s="813"/>
      <c r="K1191" s="814"/>
      <c r="L1191" s="1499"/>
      <c r="M1191" s="1488"/>
      <c r="N1191" s="1488"/>
      <c r="O1191" s="1488"/>
      <c r="P1191" s="1488"/>
      <c r="Q1191" s="1489"/>
      <c r="R1191" s="1489"/>
      <c r="S1191" s="1489"/>
      <c r="T1191" s="1489"/>
      <c r="U1191" s="1489"/>
      <c r="V1191" s="1489"/>
      <c r="W1191" s="1489"/>
      <c r="X1191" s="1489"/>
      <c r="Y1191" s="1489"/>
      <c r="Z1191" s="1489"/>
      <c r="AA1191" s="1489"/>
      <c r="AB1191" s="1489"/>
      <c r="AC1191" s="1489"/>
      <c r="AD1191" s="1489"/>
      <c r="AE1191" s="1489"/>
      <c r="AF1191" s="1489"/>
      <c r="AG1191" s="1489"/>
      <c r="AH1191" s="1489"/>
      <c r="AI1191" s="1489"/>
      <c r="AJ1191" s="1489"/>
      <c r="AK1191" s="1489"/>
      <c r="AL1191" s="1489"/>
      <c r="AM1191" s="1489"/>
      <c r="AN1191" s="1489"/>
      <c r="AO1191" s="1489"/>
      <c r="AP1191" s="1489"/>
      <c r="AQ1191" s="1489"/>
      <c r="AR1191" s="1488"/>
      <c r="AS1191" s="1488"/>
      <c r="AT1191" s="1488"/>
      <c r="AU1191" s="1488"/>
      <c r="AV1191" s="1488"/>
      <c r="AW1191" s="1488"/>
      <c r="AX1191" s="1488"/>
      <c r="AY1191" s="1488"/>
    </row>
    <row r="1192" spans="3:51" s="1502" customFormat="1">
      <c r="C1192" s="1498"/>
      <c r="D1192" s="1501"/>
      <c r="E1192" s="1500"/>
      <c r="F1192" s="814"/>
      <c r="G1192" s="1494"/>
      <c r="H1192" s="1493"/>
      <c r="I1192" s="1493"/>
      <c r="J1192" s="813"/>
      <c r="K1192" s="814"/>
      <c r="L1192" s="1499"/>
      <c r="M1192" s="1488"/>
      <c r="N1192" s="1488"/>
      <c r="O1192" s="1488"/>
      <c r="P1192" s="1488"/>
      <c r="Q1192" s="1489"/>
      <c r="R1192" s="1489"/>
      <c r="S1192" s="1489"/>
      <c r="T1192" s="1489"/>
      <c r="U1192" s="1489"/>
      <c r="V1192" s="1489"/>
      <c r="W1192" s="1489"/>
      <c r="X1192" s="1489"/>
      <c r="Y1192" s="1489"/>
      <c r="Z1192" s="1489"/>
      <c r="AA1192" s="1489"/>
      <c r="AB1192" s="1489"/>
      <c r="AC1192" s="1489"/>
      <c r="AD1192" s="1489"/>
      <c r="AE1192" s="1489"/>
      <c r="AF1192" s="1489"/>
      <c r="AG1192" s="1489"/>
      <c r="AH1192" s="1489"/>
      <c r="AI1192" s="1489"/>
      <c r="AJ1192" s="1489"/>
      <c r="AK1192" s="1489"/>
      <c r="AL1192" s="1489"/>
      <c r="AM1192" s="1489"/>
      <c r="AN1192" s="1489"/>
      <c r="AO1192" s="1489"/>
      <c r="AP1192" s="1489"/>
      <c r="AQ1192" s="1489"/>
      <c r="AR1192" s="1488"/>
      <c r="AS1192" s="1488"/>
      <c r="AT1192" s="1488"/>
      <c r="AU1192" s="1488"/>
      <c r="AV1192" s="1488"/>
      <c r="AW1192" s="1488"/>
      <c r="AX1192" s="1488"/>
      <c r="AY1192" s="1488"/>
    </row>
    <row r="1193" spans="3:51" s="1502" customFormat="1">
      <c r="C1193" s="1498"/>
      <c r="D1193" s="1501"/>
      <c r="E1193" s="1500"/>
      <c r="F1193" s="814"/>
      <c r="G1193" s="1494"/>
      <c r="H1193" s="1493"/>
      <c r="I1193" s="1493"/>
      <c r="J1193" s="813"/>
      <c r="K1193" s="814"/>
      <c r="L1193" s="1499"/>
      <c r="M1193" s="1488"/>
      <c r="N1193" s="1488"/>
      <c r="O1193" s="1488"/>
      <c r="P1193" s="1488"/>
      <c r="Q1193" s="1489"/>
      <c r="R1193" s="1489"/>
      <c r="S1193" s="1489"/>
      <c r="T1193" s="1489"/>
      <c r="U1193" s="1489"/>
      <c r="V1193" s="1489"/>
      <c r="W1193" s="1489"/>
      <c r="X1193" s="1489"/>
      <c r="Y1193" s="1489"/>
      <c r="Z1193" s="1489"/>
      <c r="AA1193" s="1489"/>
      <c r="AB1193" s="1489"/>
      <c r="AC1193" s="1489"/>
      <c r="AD1193" s="1489"/>
      <c r="AE1193" s="1489"/>
      <c r="AF1193" s="1489"/>
      <c r="AG1193" s="1489"/>
      <c r="AH1193" s="1489"/>
      <c r="AI1193" s="1489"/>
      <c r="AJ1193" s="1489"/>
      <c r="AK1193" s="1489"/>
      <c r="AL1193" s="1489"/>
      <c r="AM1193" s="1489"/>
      <c r="AN1193" s="1489"/>
      <c r="AO1193" s="1489"/>
      <c r="AP1193" s="1489"/>
      <c r="AQ1193" s="1489"/>
      <c r="AR1193" s="1488"/>
      <c r="AS1193" s="1488"/>
      <c r="AT1193" s="1488"/>
      <c r="AU1193" s="1488"/>
      <c r="AV1193" s="1488"/>
      <c r="AW1193" s="1488"/>
      <c r="AX1193" s="1488"/>
      <c r="AY1193" s="1488"/>
    </row>
    <row r="1194" spans="3:51" s="1502" customFormat="1">
      <c r="C1194" s="1498"/>
      <c r="D1194" s="1501"/>
      <c r="E1194" s="1500"/>
      <c r="F1194" s="814"/>
      <c r="G1194" s="1494"/>
      <c r="H1194" s="1493"/>
      <c r="I1194" s="1493"/>
      <c r="J1194" s="813"/>
      <c r="K1194" s="814"/>
      <c r="L1194" s="1499"/>
      <c r="M1194" s="1488"/>
      <c r="N1194" s="1488"/>
      <c r="O1194" s="1488"/>
      <c r="P1194" s="1488"/>
      <c r="Q1194" s="1489"/>
      <c r="R1194" s="1489"/>
      <c r="S1194" s="1489"/>
      <c r="T1194" s="1489"/>
      <c r="U1194" s="1489"/>
      <c r="V1194" s="1489"/>
      <c r="W1194" s="1489"/>
      <c r="X1194" s="1489"/>
      <c r="Y1194" s="1489"/>
      <c r="Z1194" s="1489"/>
      <c r="AA1194" s="1489"/>
      <c r="AB1194" s="1489"/>
      <c r="AC1194" s="1489"/>
      <c r="AD1194" s="1489"/>
      <c r="AE1194" s="1489"/>
      <c r="AF1194" s="1489"/>
      <c r="AG1194" s="1489"/>
      <c r="AH1194" s="1489"/>
      <c r="AI1194" s="1489"/>
      <c r="AJ1194" s="1489"/>
      <c r="AK1194" s="1489"/>
      <c r="AL1194" s="1489"/>
      <c r="AM1194" s="1489"/>
      <c r="AN1194" s="1489"/>
      <c r="AO1194" s="1489"/>
      <c r="AP1194" s="1489"/>
      <c r="AQ1194" s="1489"/>
      <c r="AR1194" s="1488"/>
      <c r="AS1194" s="1488"/>
      <c r="AT1194" s="1488"/>
      <c r="AU1194" s="1488"/>
      <c r="AV1194" s="1488"/>
      <c r="AW1194" s="1488"/>
      <c r="AX1194" s="1488"/>
      <c r="AY1194" s="1488"/>
    </row>
    <row r="1195" spans="3:51" s="1502" customFormat="1">
      <c r="C1195" s="1498"/>
      <c r="D1195" s="1501"/>
      <c r="E1195" s="1500"/>
      <c r="F1195" s="814"/>
      <c r="G1195" s="1494"/>
      <c r="H1195" s="1493"/>
      <c r="I1195" s="1493"/>
      <c r="J1195" s="813"/>
      <c r="K1195" s="814"/>
      <c r="L1195" s="1499"/>
      <c r="M1195" s="1488"/>
      <c r="N1195" s="1488"/>
      <c r="O1195" s="1488"/>
      <c r="P1195" s="1488"/>
      <c r="Q1195" s="1489"/>
      <c r="R1195" s="1489"/>
      <c r="S1195" s="1489"/>
      <c r="T1195" s="1489"/>
      <c r="U1195" s="1489"/>
      <c r="V1195" s="1489"/>
      <c r="W1195" s="1489"/>
      <c r="X1195" s="1489"/>
      <c r="Y1195" s="1489"/>
      <c r="Z1195" s="1489"/>
      <c r="AA1195" s="1489"/>
      <c r="AB1195" s="1489"/>
      <c r="AC1195" s="1489"/>
      <c r="AD1195" s="1489"/>
      <c r="AE1195" s="1489"/>
      <c r="AF1195" s="1489"/>
      <c r="AG1195" s="1489"/>
      <c r="AH1195" s="1489"/>
      <c r="AI1195" s="1489"/>
      <c r="AJ1195" s="1489"/>
      <c r="AK1195" s="1489"/>
      <c r="AL1195" s="1489"/>
      <c r="AM1195" s="1489"/>
      <c r="AN1195" s="1489"/>
      <c r="AO1195" s="1489"/>
      <c r="AP1195" s="1489"/>
      <c r="AQ1195" s="1489"/>
      <c r="AR1195" s="1488"/>
      <c r="AS1195" s="1488"/>
      <c r="AT1195" s="1488"/>
      <c r="AU1195" s="1488"/>
      <c r="AV1195" s="1488"/>
      <c r="AW1195" s="1488"/>
      <c r="AX1195" s="1488"/>
      <c r="AY1195" s="1488"/>
    </row>
    <row r="1196" spans="3:51" s="1502" customFormat="1">
      <c r="C1196" s="1498"/>
      <c r="D1196" s="1501"/>
      <c r="E1196" s="1500"/>
      <c r="F1196" s="814"/>
      <c r="G1196" s="1494"/>
      <c r="H1196" s="1493"/>
      <c r="I1196" s="1493"/>
      <c r="J1196" s="813"/>
      <c r="K1196" s="814"/>
      <c r="L1196" s="1499"/>
      <c r="M1196" s="1488"/>
      <c r="N1196" s="1488"/>
      <c r="O1196" s="1488"/>
      <c r="P1196" s="1488"/>
      <c r="Q1196" s="1489"/>
      <c r="R1196" s="1489"/>
      <c r="S1196" s="1489"/>
      <c r="T1196" s="1489"/>
      <c r="U1196" s="1489"/>
      <c r="V1196" s="1489"/>
      <c r="W1196" s="1489"/>
      <c r="X1196" s="1489"/>
      <c r="Y1196" s="1489"/>
      <c r="Z1196" s="1489"/>
      <c r="AA1196" s="1489"/>
      <c r="AB1196" s="1489"/>
      <c r="AC1196" s="1489"/>
      <c r="AD1196" s="1489"/>
      <c r="AE1196" s="1489"/>
      <c r="AF1196" s="1489"/>
      <c r="AG1196" s="1489"/>
      <c r="AH1196" s="1489"/>
      <c r="AI1196" s="1489"/>
      <c r="AJ1196" s="1489"/>
      <c r="AK1196" s="1489"/>
      <c r="AL1196" s="1489"/>
      <c r="AM1196" s="1489"/>
      <c r="AN1196" s="1489"/>
      <c r="AO1196" s="1489"/>
      <c r="AP1196" s="1489"/>
      <c r="AQ1196" s="1489"/>
      <c r="AR1196" s="1488"/>
      <c r="AS1196" s="1488"/>
      <c r="AT1196" s="1488"/>
      <c r="AU1196" s="1488"/>
      <c r="AV1196" s="1488"/>
      <c r="AW1196" s="1488"/>
      <c r="AX1196" s="1488"/>
      <c r="AY1196" s="1488"/>
    </row>
    <row r="1197" spans="3:51" s="1502" customFormat="1">
      <c r="C1197" s="1498"/>
      <c r="D1197" s="1501"/>
      <c r="E1197" s="1500"/>
      <c r="F1197" s="814"/>
      <c r="G1197" s="1494"/>
      <c r="H1197" s="1493"/>
      <c r="I1197" s="1493"/>
      <c r="J1197" s="813"/>
      <c r="K1197" s="814"/>
      <c r="L1197" s="1499"/>
      <c r="M1197" s="1488"/>
      <c r="N1197" s="1488"/>
      <c r="O1197" s="1488"/>
      <c r="P1197" s="1488"/>
      <c r="Q1197" s="1489"/>
      <c r="R1197" s="1489"/>
      <c r="S1197" s="1489"/>
      <c r="T1197" s="1489"/>
      <c r="U1197" s="1489"/>
      <c r="V1197" s="1489"/>
      <c r="W1197" s="1489"/>
      <c r="X1197" s="1489"/>
      <c r="Y1197" s="1489"/>
      <c r="Z1197" s="1489"/>
      <c r="AA1197" s="1489"/>
      <c r="AB1197" s="1489"/>
      <c r="AC1197" s="1489"/>
      <c r="AD1197" s="1489"/>
      <c r="AE1197" s="1489"/>
      <c r="AF1197" s="1489"/>
      <c r="AG1197" s="1489"/>
      <c r="AH1197" s="1489"/>
      <c r="AI1197" s="1489"/>
      <c r="AJ1197" s="1489"/>
      <c r="AK1197" s="1489"/>
      <c r="AL1197" s="1489"/>
      <c r="AM1197" s="1489"/>
      <c r="AN1197" s="1489"/>
      <c r="AO1197" s="1489"/>
      <c r="AP1197" s="1489"/>
      <c r="AQ1197" s="1489"/>
      <c r="AR1197" s="1488"/>
      <c r="AS1197" s="1488"/>
      <c r="AT1197" s="1488"/>
      <c r="AU1197" s="1488"/>
      <c r="AV1197" s="1488"/>
      <c r="AW1197" s="1488"/>
      <c r="AX1197" s="1488"/>
      <c r="AY1197" s="1488"/>
    </row>
    <row r="1198" spans="3:51" s="1502" customFormat="1">
      <c r="C1198" s="1498"/>
      <c r="D1198" s="1501"/>
      <c r="E1198" s="1500"/>
      <c r="F1198" s="814"/>
      <c r="G1198" s="1494"/>
      <c r="H1198" s="1493"/>
      <c r="I1198" s="1493"/>
      <c r="J1198" s="813"/>
      <c r="K1198" s="814"/>
      <c r="L1198" s="1499"/>
      <c r="M1198" s="1488"/>
      <c r="N1198" s="1488"/>
      <c r="O1198" s="1488"/>
      <c r="P1198" s="1488"/>
      <c r="Q1198" s="1489"/>
      <c r="R1198" s="1489"/>
      <c r="S1198" s="1489"/>
      <c r="T1198" s="1489"/>
      <c r="U1198" s="1489"/>
      <c r="V1198" s="1489"/>
      <c r="W1198" s="1489"/>
      <c r="X1198" s="1489"/>
      <c r="Y1198" s="1489"/>
      <c r="Z1198" s="1489"/>
      <c r="AA1198" s="1489"/>
      <c r="AB1198" s="1489"/>
      <c r="AC1198" s="1489"/>
      <c r="AD1198" s="1489"/>
      <c r="AE1198" s="1489"/>
      <c r="AF1198" s="1489"/>
      <c r="AG1198" s="1489"/>
      <c r="AH1198" s="1489"/>
      <c r="AI1198" s="1489"/>
      <c r="AJ1198" s="1489"/>
      <c r="AK1198" s="1489"/>
      <c r="AL1198" s="1489"/>
      <c r="AM1198" s="1489"/>
      <c r="AN1198" s="1489"/>
      <c r="AO1198" s="1489"/>
      <c r="AP1198" s="1489"/>
      <c r="AQ1198" s="1489"/>
      <c r="AR1198" s="1488"/>
      <c r="AS1198" s="1488"/>
      <c r="AT1198" s="1488"/>
      <c r="AU1198" s="1488"/>
      <c r="AV1198" s="1488"/>
      <c r="AW1198" s="1488"/>
      <c r="AX1198" s="1488"/>
      <c r="AY1198" s="1488"/>
    </row>
    <row r="1199" spans="3:51" s="1502" customFormat="1">
      <c r="C1199" s="1498"/>
      <c r="D1199" s="1501"/>
      <c r="E1199" s="1500"/>
      <c r="F1199" s="814"/>
      <c r="G1199" s="1494"/>
      <c r="H1199" s="1493"/>
      <c r="I1199" s="1493"/>
      <c r="J1199" s="813"/>
      <c r="K1199" s="814"/>
      <c r="L1199" s="1499"/>
      <c r="M1199" s="1488"/>
      <c r="N1199" s="1488"/>
      <c r="O1199" s="1488"/>
      <c r="P1199" s="1488"/>
      <c r="Q1199" s="1489"/>
      <c r="R1199" s="1489"/>
      <c r="S1199" s="1489"/>
      <c r="T1199" s="1489"/>
      <c r="U1199" s="1489"/>
      <c r="V1199" s="1489"/>
      <c r="W1199" s="1489"/>
      <c r="X1199" s="1489"/>
      <c r="Y1199" s="1489"/>
      <c r="Z1199" s="1489"/>
      <c r="AA1199" s="1489"/>
      <c r="AB1199" s="1489"/>
      <c r="AC1199" s="1489"/>
      <c r="AD1199" s="1489"/>
      <c r="AE1199" s="1489"/>
      <c r="AF1199" s="1489"/>
      <c r="AG1199" s="1489"/>
      <c r="AH1199" s="1489"/>
      <c r="AI1199" s="1489"/>
      <c r="AJ1199" s="1489"/>
      <c r="AK1199" s="1489"/>
      <c r="AL1199" s="1489"/>
      <c r="AM1199" s="1489"/>
      <c r="AN1199" s="1489"/>
      <c r="AO1199" s="1489"/>
      <c r="AP1199" s="1489"/>
      <c r="AQ1199" s="1489"/>
      <c r="AR1199" s="1488"/>
      <c r="AS1199" s="1488"/>
      <c r="AT1199" s="1488"/>
      <c r="AU1199" s="1488"/>
      <c r="AV1199" s="1488"/>
      <c r="AW1199" s="1488"/>
      <c r="AX1199" s="1488"/>
      <c r="AY1199" s="1488"/>
    </row>
    <row r="1200" spans="3:51" s="1502" customFormat="1">
      <c r="C1200" s="1498"/>
      <c r="D1200" s="1501"/>
      <c r="E1200" s="1500"/>
      <c r="F1200" s="814"/>
      <c r="G1200" s="1494"/>
      <c r="H1200" s="1493"/>
      <c r="I1200" s="1493"/>
      <c r="J1200" s="813"/>
      <c r="K1200" s="814"/>
      <c r="L1200" s="1499"/>
      <c r="M1200" s="1488"/>
      <c r="N1200" s="1488"/>
      <c r="O1200" s="1488"/>
      <c r="P1200" s="1488"/>
      <c r="Q1200" s="1489"/>
      <c r="R1200" s="1489"/>
      <c r="S1200" s="1489"/>
      <c r="T1200" s="1489"/>
      <c r="U1200" s="1489"/>
      <c r="V1200" s="1489"/>
      <c r="W1200" s="1489"/>
      <c r="X1200" s="1489"/>
      <c r="Y1200" s="1489"/>
      <c r="Z1200" s="1489"/>
      <c r="AA1200" s="1489"/>
      <c r="AB1200" s="1489"/>
      <c r="AC1200" s="1489"/>
      <c r="AD1200" s="1489"/>
      <c r="AE1200" s="1489"/>
      <c r="AF1200" s="1489"/>
      <c r="AG1200" s="1489"/>
      <c r="AH1200" s="1489"/>
      <c r="AI1200" s="1489"/>
      <c r="AJ1200" s="1489"/>
      <c r="AK1200" s="1489"/>
      <c r="AL1200" s="1489"/>
      <c r="AM1200" s="1489"/>
      <c r="AN1200" s="1489"/>
      <c r="AO1200" s="1489"/>
      <c r="AP1200" s="1489"/>
      <c r="AQ1200" s="1489"/>
      <c r="AR1200" s="1488"/>
      <c r="AS1200" s="1488"/>
      <c r="AT1200" s="1488"/>
      <c r="AU1200" s="1488"/>
      <c r="AV1200" s="1488"/>
      <c r="AW1200" s="1488"/>
      <c r="AX1200" s="1488"/>
      <c r="AY1200" s="1488"/>
    </row>
    <row r="1201" spans="3:51" s="1502" customFormat="1">
      <c r="C1201" s="1498"/>
      <c r="D1201" s="1501"/>
      <c r="E1201" s="1500"/>
      <c r="F1201" s="814"/>
      <c r="G1201" s="1494"/>
      <c r="H1201" s="1493"/>
      <c r="I1201" s="1493"/>
      <c r="J1201" s="813"/>
      <c r="K1201" s="814"/>
      <c r="L1201" s="1499"/>
      <c r="M1201" s="1488"/>
      <c r="N1201" s="1488"/>
      <c r="O1201" s="1488"/>
      <c r="P1201" s="1488"/>
      <c r="Q1201" s="1489"/>
      <c r="R1201" s="1489"/>
      <c r="S1201" s="1489"/>
      <c r="T1201" s="1489"/>
      <c r="U1201" s="1489"/>
      <c r="V1201" s="1489"/>
      <c r="W1201" s="1489"/>
      <c r="X1201" s="1489"/>
      <c r="Y1201" s="1489"/>
      <c r="Z1201" s="1489"/>
      <c r="AA1201" s="1489"/>
      <c r="AB1201" s="1489"/>
      <c r="AC1201" s="1489"/>
      <c r="AD1201" s="1489"/>
      <c r="AE1201" s="1489"/>
      <c r="AF1201" s="1489"/>
      <c r="AG1201" s="1489"/>
      <c r="AH1201" s="1489"/>
      <c r="AI1201" s="1489"/>
      <c r="AJ1201" s="1489"/>
      <c r="AK1201" s="1489"/>
      <c r="AL1201" s="1489"/>
      <c r="AM1201" s="1489"/>
      <c r="AN1201" s="1489"/>
      <c r="AO1201" s="1489"/>
      <c r="AP1201" s="1489"/>
      <c r="AQ1201" s="1489"/>
      <c r="AR1201" s="1488"/>
      <c r="AS1201" s="1488"/>
      <c r="AT1201" s="1488"/>
      <c r="AU1201" s="1488"/>
      <c r="AV1201" s="1488"/>
      <c r="AW1201" s="1488"/>
      <c r="AX1201" s="1488"/>
      <c r="AY1201" s="1488"/>
    </row>
    <row r="1202" spans="3:51" s="1502" customFormat="1">
      <c r="C1202" s="1498"/>
      <c r="D1202" s="1501"/>
      <c r="E1202" s="1500"/>
      <c r="F1202" s="814"/>
      <c r="G1202" s="1494"/>
      <c r="H1202" s="1493"/>
      <c r="I1202" s="1493"/>
      <c r="J1202" s="813"/>
      <c r="K1202" s="814"/>
      <c r="L1202" s="1499"/>
      <c r="M1202" s="1488"/>
      <c r="N1202" s="1488"/>
      <c r="O1202" s="1488"/>
      <c r="P1202" s="1488"/>
      <c r="Q1202" s="1489"/>
      <c r="R1202" s="1489"/>
      <c r="S1202" s="1489"/>
      <c r="T1202" s="1489"/>
      <c r="U1202" s="1489"/>
      <c r="V1202" s="1489"/>
      <c r="W1202" s="1489"/>
      <c r="X1202" s="1489"/>
      <c r="Y1202" s="1489"/>
      <c r="Z1202" s="1489"/>
      <c r="AA1202" s="1489"/>
      <c r="AB1202" s="1489"/>
      <c r="AC1202" s="1489"/>
      <c r="AD1202" s="1489"/>
      <c r="AE1202" s="1489"/>
      <c r="AF1202" s="1489"/>
      <c r="AG1202" s="1489"/>
      <c r="AH1202" s="1489"/>
      <c r="AI1202" s="1489"/>
      <c r="AJ1202" s="1489"/>
      <c r="AK1202" s="1489"/>
      <c r="AL1202" s="1489"/>
      <c r="AM1202" s="1489"/>
      <c r="AN1202" s="1489"/>
      <c r="AO1202" s="1489"/>
      <c r="AP1202" s="1489"/>
      <c r="AQ1202" s="1489"/>
      <c r="AR1202" s="1488"/>
      <c r="AS1202" s="1488"/>
      <c r="AT1202" s="1488"/>
      <c r="AU1202" s="1488"/>
      <c r="AV1202" s="1488"/>
      <c r="AW1202" s="1488"/>
      <c r="AX1202" s="1488"/>
      <c r="AY1202" s="1488"/>
    </row>
    <row r="1203" spans="3:51" s="1502" customFormat="1">
      <c r="C1203" s="1498"/>
      <c r="D1203" s="1501"/>
      <c r="E1203" s="1500"/>
      <c r="F1203" s="814"/>
      <c r="G1203" s="1494"/>
      <c r="H1203" s="1493"/>
      <c r="I1203" s="1493"/>
      <c r="J1203" s="813"/>
      <c r="K1203" s="814"/>
      <c r="L1203" s="1499"/>
      <c r="M1203" s="1488"/>
      <c r="N1203" s="1488"/>
      <c r="O1203" s="1488"/>
      <c r="P1203" s="1488"/>
      <c r="Q1203" s="1489"/>
      <c r="R1203" s="1489"/>
      <c r="S1203" s="1489"/>
      <c r="T1203" s="1489"/>
      <c r="U1203" s="1489"/>
      <c r="V1203" s="1489"/>
      <c r="W1203" s="1489"/>
      <c r="X1203" s="1489"/>
      <c r="Y1203" s="1489"/>
      <c r="Z1203" s="1489"/>
      <c r="AA1203" s="1489"/>
      <c r="AB1203" s="1489"/>
      <c r="AC1203" s="1489"/>
      <c r="AD1203" s="1489"/>
      <c r="AE1203" s="1489"/>
      <c r="AF1203" s="1489"/>
      <c r="AG1203" s="1489"/>
      <c r="AH1203" s="1489"/>
      <c r="AI1203" s="1489"/>
      <c r="AJ1203" s="1489"/>
      <c r="AK1203" s="1489"/>
      <c r="AL1203" s="1489"/>
      <c r="AM1203" s="1489"/>
      <c r="AN1203" s="1489"/>
      <c r="AO1203" s="1489"/>
      <c r="AP1203" s="1489"/>
      <c r="AQ1203" s="1489"/>
      <c r="AR1203" s="1488"/>
      <c r="AS1203" s="1488"/>
      <c r="AT1203" s="1488"/>
      <c r="AU1203" s="1488"/>
      <c r="AV1203" s="1488"/>
      <c r="AW1203" s="1488"/>
      <c r="AX1203" s="1488"/>
      <c r="AY1203" s="1488"/>
    </row>
    <row r="1204" spans="3:51" s="1502" customFormat="1">
      <c r="C1204" s="1498"/>
      <c r="D1204" s="1501"/>
      <c r="E1204" s="1500"/>
      <c r="F1204" s="814"/>
      <c r="G1204" s="1494"/>
      <c r="H1204" s="1493"/>
      <c r="I1204" s="1493"/>
      <c r="J1204" s="813"/>
      <c r="K1204" s="814"/>
      <c r="L1204" s="1499"/>
      <c r="M1204" s="1488"/>
      <c r="N1204" s="1488"/>
      <c r="O1204" s="1488"/>
      <c r="P1204" s="1488"/>
      <c r="Q1204" s="1489"/>
      <c r="R1204" s="1489"/>
      <c r="S1204" s="1489"/>
      <c r="T1204" s="1489"/>
      <c r="U1204" s="1489"/>
      <c r="V1204" s="1489"/>
      <c r="W1204" s="1489"/>
      <c r="X1204" s="1489"/>
      <c r="Y1204" s="1489"/>
      <c r="Z1204" s="1489"/>
      <c r="AA1204" s="1489"/>
      <c r="AB1204" s="1489"/>
      <c r="AC1204" s="1489"/>
      <c r="AD1204" s="1489"/>
      <c r="AE1204" s="1489"/>
      <c r="AF1204" s="1489"/>
      <c r="AG1204" s="1489"/>
      <c r="AH1204" s="1489"/>
      <c r="AI1204" s="1489"/>
      <c r="AJ1204" s="1489"/>
      <c r="AK1204" s="1489"/>
      <c r="AL1204" s="1489"/>
      <c r="AM1204" s="1489"/>
      <c r="AN1204" s="1489"/>
      <c r="AO1204" s="1489"/>
      <c r="AP1204" s="1489"/>
      <c r="AQ1204" s="1489"/>
      <c r="AR1204" s="1488"/>
      <c r="AS1204" s="1488"/>
      <c r="AT1204" s="1488"/>
      <c r="AU1204" s="1488"/>
      <c r="AV1204" s="1488"/>
      <c r="AW1204" s="1488"/>
      <c r="AX1204" s="1488"/>
      <c r="AY1204" s="1488"/>
    </row>
    <row r="1205" spans="3:51" s="1502" customFormat="1">
      <c r="C1205" s="1498"/>
      <c r="D1205" s="1501"/>
      <c r="E1205" s="1500"/>
      <c r="F1205" s="814"/>
      <c r="G1205" s="1494"/>
      <c r="H1205" s="1493"/>
      <c r="I1205" s="1493"/>
      <c r="J1205" s="813"/>
      <c r="K1205" s="814"/>
      <c r="L1205" s="1499"/>
      <c r="M1205" s="1488"/>
      <c r="N1205" s="1488"/>
      <c r="O1205" s="1488"/>
      <c r="P1205" s="1488"/>
      <c r="Q1205" s="1489"/>
      <c r="R1205" s="1489"/>
      <c r="S1205" s="1489"/>
      <c r="T1205" s="1489"/>
      <c r="U1205" s="1489"/>
      <c r="V1205" s="1489"/>
      <c r="W1205" s="1489"/>
      <c r="X1205" s="1489"/>
      <c r="Y1205" s="1489"/>
      <c r="Z1205" s="1489"/>
      <c r="AA1205" s="1489"/>
      <c r="AB1205" s="1489"/>
      <c r="AC1205" s="1489"/>
      <c r="AD1205" s="1489"/>
      <c r="AE1205" s="1489"/>
      <c r="AF1205" s="1489"/>
      <c r="AG1205" s="1489"/>
      <c r="AH1205" s="1489"/>
      <c r="AI1205" s="1489"/>
      <c r="AJ1205" s="1489"/>
      <c r="AK1205" s="1489"/>
      <c r="AL1205" s="1489"/>
      <c r="AM1205" s="1489"/>
      <c r="AN1205" s="1489"/>
      <c r="AO1205" s="1489"/>
      <c r="AP1205" s="1489"/>
      <c r="AQ1205" s="1489"/>
      <c r="AR1205" s="1488"/>
      <c r="AS1205" s="1488"/>
      <c r="AT1205" s="1488"/>
      <c r="AU1205" s="1488"/>
      <c r="AV1205" s="1488"/>
      <c r="AW1205" s="1488"/>
      <c r="AX1205" s="1488"/>
      <c r="AY1205" s="1488"/>
    </row>
    <row r="1206" spans="3:51" s="1502" customFormat="1">
      <c r="C1206" s="1498"/>
      <c r="D1206" s="1501"/>
      <c r="E1206" s="1500"/>
      <c r="F1206" s="814"/>
      <c r="G1206" s="1494"/>
      <c r="H1206" s="1493"/>
      <c r="I1206" s="1493"/>
      <c r="J1206" s="813"/>
      <c r="K1206" s="814"/>
      <c r="L1206" s="1499"/>
      <c r="M1206" s="1488"/>
      <c r="N1206" s="1488"/>
      <c r="O1206" s="1488"/>
      <c r="P1206" s="1488"/>
      <c r="Q1206" s="1489"/>
      <c r="R1206" s="1489"/>
      <c r="S1206" s="1489"/>
      <c r="T1206" s="1489"/>
      <c r="U1206" s="1489"/>
      <c r="V1206" s="1489"/>
      <c r="W1206" s="1489"/>
      <c r="X1206" s="1489"/>
      <c r="Y1206" s="1489"/>
      <c r="Z1206" s="1489"/>
      <c r="AA1206" s="1489"/>
      <c r="AB1206" s="1489"/>
      <c r="AC1206" s="1489"/>
      <c r="AD1206" s="1489"/>
      <c r="AE1206" s="1489"/>
      <c r="AF1206" s="1489"/>
      <c r="AG1206" s="1489"/>
      <c r="AH1206" s="1489"/>
      <c r="AI1206" s="1489"/>
      <c r="AJ1206" s="1489"/>
      <c r="AK1206" s="1489"/>
      <c r="AL1206" s="1489"/>
      <c r="AM1206" s="1489"/>
      <c r="AN1206" s="1489"/>
      <c r="AO1206" s="1489"/>
      <c r="AP1206" s="1489"/>
      <c r="AQ1206" s="1489"/>
      <c r="AR1206" s="1488"/>
      <c r="AS1206" s="1488"/>
      <c r="AT1206" s="1488"/>
      <c r="AU1206" s="1488"/>
      <c r="AV1206" s="1488"/>
      <c r="AW1206" s="1488"/>
      <c r="AX1206" s="1488"/>
      <c r="AY1206" s="1488"/>
    </row>
    <row r="1207" spans="3:51" s="1502" customFormat="1">
      <c r="C1207" s="1498"/>
      <c r="D1207" s="1501"/>
      <c r="E1207" s="1500"/>
      <c r="F1207" s="814"/>
      <c r="G1207" s="1494"/>
      <c r="H1207" s="1493"/>
      <c r="I1207" s="1493"/>
      <c r="J1207" s="813"/>
      <c r="K1207" s="814"/>
      <c r="L1207" s="1499"/>
      <c r="M1207" s="1488"/>
      <c r="N1207" s="1488"/>
      <c r="O1207" s="1488"/>
      <c r="P1207" s="1488"/>
      <c r="Q1207" s="1489"/>
      <c r="R1207" s="1489"/>
      <c r="S1207" s="1489"/>
      <c r="T1207" s="1489"/>
      <c r="U1207" s="1489"/>
      <c r="V1207" s="1489"/>
      <c r="W1207" s="1489"/>
      <c r="X1207" s="1489"/>
      <c r="Y1207" s="1489"/>
      <c r="Z1207" s="1489"/>
      <c r="AA1207" s="1489"/>
      <c r="AB1207" s="1489"/>
      <c r="AC1207" s="1489"/>
      <c r="AD1207" s="1489"/>
      <c r="AE1207" s="1489"/>
      <c r="AF1207" s="1489"/>
      <c r="AG1207" s="1489"/>
      <c r="AH1207" s="1489"/>
      <c r="AI1207" s="1489"/>
      <c r="AJ1207" s="1489"/>
      <c r="AK1207" s="1489"/>
      <c r="AL1207" s="1489"/>
      <c r="AM1207" s="1489"/>
      <c r="AN1207" s="1489"/>
      <c r="AO1207" s="1489"/>
      <c r="AP1207" s="1489"/>
      <c r="AQ1207" s="1489"/>
      <c r="AR1207" s="1488"/>
      <c r="AS1207" s="1488"/>
      <c r="AT1207" s="1488"/>
      <c r="AU1207" s="1488"/>
      <c r="AV1207" s="1488"/>
      <c r="AW1207" s="1488"/>
      <c r="AX1207" s="1488"/>
      <c r="AY1207" s="1488"/>
    </row>
    <row r="1208" spans="3:51" s="1502" customFormat="1">
      <c r="C1208" s="1498"/>
      <c r="D1208" s="1501"/>
      <c r="E1208" s="1500"/>
      <c r="F1208" s="814"/>
      <c r="G1208" s="1494"/>
      <c r="H1208" s="1493"/>
      <c r="I1208" s="1493"/>
      <c r="J1208" s="813"/>
      <c r="K1208" s="814"/>
      <c r="L1208" s="1499"/>
      <c r="M1208" s="1488"/>
      <c r="N1208" s="1488"/>
      <c r="O1208" s="1488"/>
      <c r="P1208" s="1488"/>
      <c r="Q1208" s="1489"/>
      <c r="R1208" s="1489"/>
      <c r="S1208" s="1489"/>
      <c r="T1208" s="1489"/>
      <c r="U1208" s="1489"/>
      <c r="V1208" s="1489"/>
      <c r="W1208" s="1489"/>
      <c r="X1208" s="1489"/>
      <c r="Y1208" s="1489"/>
      <c r="Z1208" s="1489"/>
      <c r="AA1208" s="1489"/>
      <c r="AB1208" s="1489"/>
      <c r="AC1208" s="1489"/>
      <c r="AD1208" s="1489"/>
      <c r="AE1208" s="1489"/>
      <c r="AF1208" s="1489"/>
      <c r="AG1208" s="1489"/>
      <c r="AH1208" s="1489"/>
      <c r="AI1208" s="1489"/>
      <c r="AJ1208" s="1489"/>
      <c r="AK1208" s="1489"/>
      <c r="AL1208" s="1489"/>
      <c r="AM1208" s="1489"/>
      <c r="AN1208" s="1489"/>
      <c r="AO1208" s="1489"/>
      <c r="AP1208" s="1489"/>
      <c r="AQ1208" s="1489"/>
      <c r="AR1208" s="1488"/>
      <c r="AS1208" s="1488"/>
      <c r="AT1208" s="1488"/>
      <c r="AU1208" s="1488"/>
      <c r="AV1208" s="1488"/>
      <c r="AW1208" s="1488"/>
      <c r="AX1208" s="1488"/>
      <c r="AY1208" s="1488"/>
    </row>
    <row r="1209" spans="3:51" s="1502" customFormat="1">
      <c r="C1209" s="1498"/>
      <c r="D1209" s="1501"/>
      <c r="E1209" s="1500"/>
      <c r="F1209" s="814"/>
      <c r="G1209" s="1494"/>
      <c r="H1209" s="1493"/>
      <c r="I1209" s="1493"/>
      <c r="J1209" s="813"/>
      <c r="K1209" s="814"/>
      <c r="L1209" s="1499"/>
      <c r="M1209" s="1488"/>
      <c r="N1209" s="1488"/>
      <c r="O1209" s="1488"/>
      <c r="P1209" s="1488"/>
      <c r="Q1209" s="1489"/>
      <c r="R1209" s="1489"/>
      <c r="S1209" s="1489"/>
      <c r="T1209" s="1489"/>
      <c r="U1209" s="1489"/>
      <c r="V1209" s="1489"/>
      <c r="W1209" s="1489"/>
      <c r="X1209" s="1489"/>
      <c r="Y1209" s="1489"/>
      <c r="Z1209" s="1489"/>
      <c r="AA1209" s="1489"/>
      <c r="AB1209" s="1489"/>
      <c r="AC1209" s="1489"/>
      <c r="AD1209" s="1489"/>
      <c r="AE1209" s="1489"/>
      <c r="AF1209" s="1489"/>
      <c r="AG1209" s="1489"/>
      <c r="AH1209" s="1489"/>
      <c r="AI1209" s="1489"/>
      <c r="AJ1209" s="1489"/>
      <c r="AK1209" s="1489"/>
      <c r="AL1209" s="1489"/>
      <c r="AM1209" s="1489"/>
      <c r="AN1209" s="1489"/>
      <c r="AO1209" s="1489"/>
      <c r="AP1209" s="1489"/>
      <c r="AQ1209" s="1489"/>
      <c r="AR1209" s="1488"/>
      <c r="AS1209" s="1488"/>
      <c r="AT1209" s="1488"/>
      <c r="AU1209" s="1488"/>
      <c r="AV1209" s="1488"/>
      <c r="AW1209" s="1488"/>
      <c r="AX1209" s="1488"/>
      <c r="AY1209" s="1488"/>
    </row>
    <row r="1210" spans="3:51" s="1502" customFormat="1">
      <c r="C1210" s="1498"/>
      <c r="D1210" s="1501"/>
      <c r="E1210" s="1500"/>
      <c r="F1210" s="814"/>
      <c r="G1210" s="1494"/>
      <c r="H1210" s="1493"/>
      <c r="I1210" s="1493"/>
      <c r="J1210" s="813"/>
      <c r="K1210" s="814"/>
      <c r="L1210" s="1499"/>
      <c r="M1210" s="1488"/>
      <c r="N1210" s="1488"/>
      <c r="O1210" s="1488"/>
      <c r="P1210" s="1488"/>
      <c r="Q1210" s="1489"/>
      <c r="R1210" s="1489"/>
      <c r="S1210" s="1489"/>
      <c r="T1210" s="1489"/>
      <c r="U1210" s="1489"/>
      <c r="V1210" s="1489"/>
      <c r="W1210" s="1489"/>
      <c r="X1210" s="1489"/>
      <c r="Y1210" s="1489"/>
      <c r="Z1210" s="1489"/>
      <c r="AA1210" s="1489"/>
      <c r="AB1210" s="1489"/>
      <c r="AC1210" s="1489"/>
      <c r="AD1210" s="1489"/>
      <c r="AE1210" s="1489"/>
      <c r="AF1210" s="1489"/>
      <c r="AG1210" s="1489"/>
      <c r="AH1210" s="1489"/>
      <c r="AI1210" s="1489"/>
      <c r="AJ1210" s="1489"/>
      <c r="AK1210" s="1489"/>
      <c r="AL1210" s="1489"/>
      <c r="AM1210" s="1489"/>
      <c r="AN1210" s="1489"/>
      <c r="AO1210" s="1489"/>
      <c r="AP1210" s="1489"/>
      <c r="AQ1210" s="1489"/>
      <c r="AR1210" s="1488"/>
      <c r="AS1210" s="1488"/>
      <c r="AT1210" s="1488"/>
      <c r="AU1210" s="1488"/>
      <c r="AV1210" s="1488"/>
      <c r="AW1210" s="1488"/>
      <c r="AX1210" s="1488"/>
      <c r="AY1210" s="1488"/>
    </row>
    <row r="1211" spans="3:51" s="1502" customFormat="1">
      <c r="C1211" s="1498"/>
      <c r="D1211" s="1501"/>
      <c r="E1211" s="1500"/>
      <c r="F1211" s="814"/>
      <c r="G1211" s="1494"/>
      <c r="H1211" s="1493"/>
      <c r="I1211" s="1493"/>
      <c r="J1211" s="813"/>
      <c r="K1211" s="814"/>
      <c r="L1211" s="1499"/>
      <c r="M1211" s="1488"/>
      <c r="N1211" s="1488"/>
      <c r="O1211" s="1488"/>
      <c r="P1211" s="1488"/>
      <c r="Q1211" s="1489"/>
      <c r="R1211" s="1489"/>
      <c r="S1211" s="1489"/>
      <c r="T1211" s="1489"/>
      <c r="U1211" s="1489"/>
      <c r="V1211" s="1489"/>
      <c r="W1211" s="1489"/>
      <c r="X1211" s="1489"/>
      <c r="Y1211" s="1489"/>
      <c r="Z1211" s="1489"/>
      <c r="AA1211" s="1489"/>
      <c r="AB1211" s="1489"/>
      <c r="AC1211" s="1489"/>
      <c r="AD1211" s="1489"/>
      <c r="AE1211" s="1489"/>
      <c r="AF1211" s="1489"/>
      <c r="AG1211" s="1489"/>
      <c r="AH1211" s="1489"/>
      <c r="AI1211" s="1489"/>
      <c r="AJ1211" s="1489"/>
      <c r="AK1211" s="1489"/>
      <c r="AL1211" s="1489"/>
      <c r="AM1211" s="1489"/>
      <c r="AN1211" s="1489"/>
      <c r="AO1211" s="1489"/>
      <c r="AP1211" s="1489"/>
      <c r="AQ1211" s="1489"/>
      <c r="AR1211" s="1488"/>
      <c r="AS1211" s="1488"/>
      <c r="AT1211" s="1488"/>
      <c r="AU1211" s="1488"/>
      <c r="AV1211" s="1488"/>
      <c r="AW1211" s="1488"/>
      <c r="AX1211" s="1488"/>
      <c r="AY1211" s="1488"/>
    </row>
    <row r="1212" spans="3:51" s="1502" customFormat="1">
      <c r="C1212" s="1498"/>
      <c r="D1212" s="1501"/>
      <c r="E1212" s="1500"/>
      <c r="F1212" s="814"/>
      <c r="G1212" s="1494"/>
      <c r="H1212" s="1493"/>
      <c r="I1212" s="1493"/>
      <c r="J1212" s="813"/>
      <c r="K1212" s="814"/>
      <c r="L1212" s="1499"/>
      <c r="M1212" s="1488"/>
      <c r="N1212" s="1488"/>
      <c r="O1212" s="1488"/>
      <c r="P1212" s="1488"/>
      <c r="Q1212" s="1489"/>
      <c r="R1212" s="1489"/>
      <c r="S1212" s="1489"/>
      <c r="T1212" s="1489"/>
      <c r="U1212" s="1489"/>
      <c r="V1212" s="1489"/>
      <c r="W1212" s="1489"/>
      <c r="X1212" s="1489"/>
      <c r="Y1212" s="1489"/>
      <c r="Z1212" s="1489"/>
      <c r="AA1212" s="1489"/>
      <c r="AB1212" s="1489"/>
      <c r="AC1212" s="1489"/>
      <c r="AD1212" s="1489"/>
      <c r="AE1212" s="1489"/>
      <c r="AF1212" s="1489"/>
      <c r="AG1212" s="1489"/>
      <c r="AH1212" s="1489"/>
      <c r="AI1212" s="1489"/>
      <c r="AJ1212" s="1489"/>
      <c r="AK1212" s="1489"/>
      <c r="AL1212" s="1489"/>
      <c r="AM1212" s="1489"/>
      <c r="AN1212" s="1489"/>
      <c r="AO1212" s="1489"/>
      <c r="AP1212" s="1489"/>
      <c r="AQ1212" s="1489"/>
      <c r="AR1212" s="1488"/>
      <c r="AS1212" s="1488"/>
      <c r="AT1212" s="1488"/>
      <c r="AU1212" s="1488"/>
      <c r="AV1212" s="1488"/>
      <c r="AW1212" s="1488"/>
      <c r="AX1212" s="1488"/>
      <c r="AY1212" s="1488"/>
    </row>
    <row r="1213" spans="3:51" s="1502" customFormat="1">
      <c r="C1213" s="1498"/>
      <c r="D1213" s="1501"/>
      <c r="E1213" s="1500"/>
      <c r="F1213" s="814"/>
      <c r="G1213" s="1494"/>
      <c r="H1213" s="1493"/>
      <c r="I1213" s="1493"/>
      <c r="J1213" s="813"/>
      <c r="K1213" s="814"/>
      <c r="L1213" s="1499"/>
      <c r="M1213" s="1488"/>
      <c r="N1213" s="1488"/>
      <c r="O1213" s="1488"/>
      <c r="P1213" s="1488"/>
      <c r="Q1213" s="1489"/>
      <c r="R1213" s="1489"/>
      <c r="S1213" s="1489"/>
      <c r="T1213" s="1489"/>
      <c r="U1213" s="1489"/>
      <c r="V1213" s="1489"/>
      <c r="W1213" s="1489"/>
      <c r="X1213" s="1489"/>
      <c r="Y1213" s="1489"/>
      <c r="Z1213" s="1489"/>
      <c r="AA1213" s="1489"/>
      <c r="AB1213" s="1489"/>
      <c r="AC1213" s="1489"/>
      <c r="AD1213" s="1489"/>
      <c r="AE1213" s="1489"/>
      <c r="AF1213" s="1489"/>
      <c r="AG1213" s="1489"/>
      <c r="AH1213" s="1489"/>
      <c r="AI1213" s="1489"/>
      <c r="AJ1213" s="1489"/>
      <c r="AK1213" s="1489"/>
      <c r="AL1213" s="1489"/>
      <c r="AM1213" s="1489"/>
      <c r="AN1213" s="1489"/>
      <c r="AO1213" s="1489"/>
      <c r="AP1213" s="1489"/>
      <c r="AQ1213" s="1489"/>
      <c r="AR1213" s="1488"/>
      <c r="AS1213" s="1488"/>
      <c r="AT1213" s="1488"/>
      <c r="AU1213" s="1488"/>
      <c r="AV1213" s="1488"/>
      <c r="AW1213" s="1488"/>
      <c r="AX1213" s="1488"/>
      <c r="AY1213" s="1488"/>
    </row>
    <row r="1214" spans="3:51" s="1502" customFormat="1">
      <c r="C1214" s="1498"/>
      <c r="D1214" s="1501"/>
      <c r="E1214" s="1500"/>
      <c r="F1214" s="814"/>
      <c r="G1214" s="1494"/>
      <c r="H1214" s="1493"/>
      <c r="I1214" s="1493"/>
      <c r="J1214" s="813"/>
      <c r="K1214" s="814"/>
      <c r="L1214" s="1499"/>
      <c r="M1214" s="1488"/>
      <c r="N1214" s="1488"/>
      <c r="O1214" s="1488"/>
      <c r="P1214" s="1488"/>
      <c r="Q1214" s="1489"/>
      <c r="R1214" s="1489"/>
      <c r="S1214" s="1489"/>
      <c r="T1214" s="1489"/>
      <c r="U1214" s="1489"/>
      <c r="V1214" s="1489"/>
      <c r="W1214" s="1489"/>
      <c r="X1214" s="1489"/>
      <c r="Y1214" s="1489"/>
      <c r="Z1214" s="1489"/>
      <c r="AA1214" s="1489"/>
      <c r="AB1214" s="1489"/>
      <c r="AC1214" s="1489"/>
      <c r="AD1214" s="1489"/>
      <c r="AE1214" s="1489"/>
      <c r="AF1214" s="1489"/>
      <c r="AG1214" s="1489"/>
      <c r="AH1214" s="1489"/>
      <c r="AI1214" s="1489"/>
      <c r="AJ1214" s="1489"/>
      <c r="AK1214" s="1489"/>
      <c r="AL1214" s="1489"/>
      <c r="AM1214" s="1489"/>
      <c r="AN1214" s="1489"/>
      <c r="AO1214" s="1489"/>
      <c r="AP1214" s="1489"/>
      <c r="AQ1214" s="1489"/>
      <c r="AR1214" s="1488"/>
      <c r="AS1214" s="1488"/>
      <c r="AT1214" s="1488"/>
      <c r="AU1214" s="1488"/>
      <c r="AV1214" s="1488"/>
      <c r="AW1214" s="1488"/>
      <c r="AX1214" s="1488"/>
      <c r="AY1214" s="1488"/>
    </row>
    <row r="1215" spans="3:51" s="1502" customFormat="1">
      <c r="C1215" s="1498"/>
      <c r="D1215" s="1501"/>
      <c r="E1215" s="1500"/>
      <c r="F1215" s="814"/>
      <c r="G1215" s="1494"/>
      <c r="H1215" s="1493"/>
      <c r="I1215" s="1493"/>
      <c r="J1215" s="813"/>
      <c r="K1215" s="814"/>
      <c r="L1215" s="1499"/>
      <c r="M1215" s="1488"/>
      <c r="N1215" s="1488"/>
      <c r="O1215" s="1488"/>
      <c r="P1215" s="1488"/>
      <c r="Q1215" s="1489"/>
      <c r="R1215" s="1489"/>
      <c r="S1215" s="1489"/>
      <c r="T1215" s="1489"/>
      <c r="U1215" s="1489"/>
      <c r="V1215" s="1489"/>
      <c r="W1215" s="1489"/>
      <c r="X1215" s="1489"/>
      <c r="Y1215" s="1489"/>
      <c r="Z1215" s="1489"/>
      <c r="AA1215" s="1489"/>
      <c r="AB1215" s="1489"/>
      <c r="AC1215" s="1489"/>
      <c r="AD1215" s="1489"/>
      <c r="AE1215" s="1489"/>
      <c r="AF1215" s="1489"/>
      <c r="AG1215" s="1489"/>
      <c r="AH1215" s="1489"/>
      <c r="AI1215" s="1489"/>
      <c r="AJ1215" s="1489"/>
      <c r="AK1215" s="1489"/>
      <c r="AL1215" s="1489"/>
      <c r="AM1215" s="1489"/>
      <c r="AN1215" s="1489"/>
      <c r="AO1215" s="1489"/>
      <c r="AP1215" s="1489"/>
      <c r="AQ1215" s="1489"/>
      <c r="AR1215" s="1488"/>
      <c r="AS1215" s="1488"/>
      <c r="AT1215" s="1488"/>
      <c r="AU1215" s="1488"/>
      <c r="AV1215" s="1488"/>
      <c r="AW1215" s="1488"/>
      <c r="AX1215" s="1488"/>
      <c r="AY1215" s="1488"/>
    </row>
    <row r="1216" spans="3:51" s="1502" customFormat="1">
      <c r="C1216" s="1498"/>
      <c r="D1216" s="1501"/>
      <c r="E1216" s="1500"/>
      <c r="F1216" s="814"/>
      <c r="G1216" s="1494"/>
      <c r="H1216" s="1493"/>
      <c r="I1216" s="1493"/>
      <c r="J1216" s="813"/>
      <c r="K1216" s="814"/>
      <c r="L1216" s="1499"/>
      <c r="M1216" s="1488"/>
      <c r="N1216" s="1488"/>
      <c r="O1216" s="1488"/>
      <c r="P1216" s="1488"/>
      <c r="Q1216" s="1489"/>
      <c r="R1216" s="1489"/>
      <c r="S1216" s="1489"/>
      <c r="T1216" s="1489"/>
      <c r="U1216" s="1489"/>
      <c r="V1216" s="1489"/>
      <c r="W1216" s="1489"/>
      <c r="X1216" s="1489"/>
      <c r="Y1216" s="1489"/>
      <c r="Z1216" s="1489"/>
      <c r="AA1216" s="1489"/>
      <c r="AB1216" s="1489"/>
      <c r="AC1216" s="1489"/>
      <c r="AD1216" s="1489"/>
      <c r="AE1216" s="1489"/>
      <c r="AF1216" s="1489"/>
      <c r="AG1216" s="1489"/>
      <c r="AH1216" s="1489"/>
      <c r="AI1216" s="1489"/>
      <c r="AJ1216" s="1489"/>
      <c r="AK1216" s="1489"/>
      <c r="AL1216" s="1489"/>
      <c r="AM1216" s="1489"/>
      <c r="AN1216" s="1489"/>
      <c r="AO1216" s="1489"/>
      <c r="AP1216" s="1489"/>
      <c r="AQ1216" s="1489"/>
      <c r="AR1216" s="1488"/>
      <c r="AS1216" s="1488"/>
      <c r="AT1216" s="1488"/>
      <c r="AU1216" s="1488"/>
      <c r="AV1216" s="1488"/>
      <c r="AW1216" s="1488"/>
      <c r="AX1216" s="1488"/>
      <c r="AY1216" s="1488"/>
    </row>
    <row r="1217" spans="3:51" s="1502" customFormat="1">
      <c r="C1217" s="1498"/>
      <c r="D1217" s="1501"/>
      <c r="E1217" s="1500"/>
      <c r="F1217" s="814"/>
      <c r="G1217" s="1494"/>
      <c r="H1217" s="1493"/>
      <c r="I1217" s="1493"/>
      <c r="J1217" s="813"/>
      <c r="K1217" s="814"/>
      <c r="L1217" s="1499"/>
      <c r="M1217" s="1488"/>
      <c r="N1217" s="1488"/>
      <c r="O1217" s="1488"/>
      <c r="P1217" s="1488"/>
      <c r="Q1217" s="1489"/>
      <c r="R1217" s="1489"/>
      <c r="S1217" s="1489"/>
      <c r="T1217" s="1489"/>
      <c r="U1217" s="1489"/>
      <c r="V1217" s="1489"/>
      <c r="W1217" s="1489"/>
      <c r="X1217" s="1489"/>
      <c r="Y1217" s="1489"/>
      <c r="Z1217" s="1489"/>
      <c r="AA1217" s="1489"/>
      <c r="AB1217" s="1489"/>
      <c r="AC1217" s="1489"/>
      <c r="AD1217" s="1489"/>
      <c r="AE1217" s="1489"/>
      <c r="AF1217" s="1489"/>
      <c r="AG1217" s="1489"/>
      <c r="AH1217" s="1489"/>
      <c r="AI1217" s="1489"/>
      <c r="AJ1217" s="1489"/>
      <c r="AK1217" s="1489"/>
      <c r="AL1217" s="1489"/>
      <c r="AM1217" s="1489"/>
      <c r="AN1217" s="1489"/>
      <c r="AO1217" s="1489"/>
      <c r="AP1217" s="1489"/>
      <c r="AQ1217" s="1489"/>
      <c r="AR1217" s="1488"/>
      <c r="AS1217" s="1488"/>
      <c r="AT1217" s="1488"/>
      <c r="AU1217" s="1488"/>
      <c r="AV1217" s="1488"/>
      <c r="AW1217" s="1488"/>
      <c r="AX1217" s="1488"/>
      <c r="AY1217" s="1488"/>
    </row>
    <row r="1218" spans="3:51" s="1502" customFormat="1">
      <c r="C1218" s="1498"/>
      <c r="D1218" s="1501"/>
      <c r="E1218" s="1500"/>
      <c r="F1218" s="814"/>
      <c r="G1218" s="1494"/>
      <c r="H1218" s="1493"/>
      <c r="I1218" s="1493"/>
      <c r="J1218" s="813"/>
      <c r="K1218" s="814"/>
      <c r="L1218" s="1499"/>
      <c r="M1218" s="1488"/>
      <c r="N1218" s="1488"/>
      <c r="O1218" s="1488"/>
      <c r="P1218" s="1488"/>
      <c r="Q1218" s="1489"/>
      <c r="R1218" s="1489"/>
      <c r="S1218" s="1489"/>
      <c r="T1218" s="1489"/>
      <c r="U1218" s="1489"/>
      <c r="V1218" s="1489"/>
      <c r="W1218" s="1489"/>
      <c r="X1218" s="1489"/>
      <c r="Y1218" s="1489"/>
      <c r="Z1218" s="1489"/>
      <c r="AA1218" s="1489"/>
      <c r="AB1218" s="1489"/>
      <c r="AC1218" s="1489"/>
      <c r="AD1218" s="1489"/>
      <c r="AE1218" s="1489"/>
      <c r="AF1218" s="1489"/>
      <c r="AG1218" s="1489"/>
      <c r="AH1218" s="1489"/>
      <c r="AI1218" s="1489"/>
      <c r="AJ1218" s="1489"/>
      <c r="AK1218" s="1489"/>
      <c r="AL1218" s="1489"/>
      <c r="AM1218" s="1489"/>
      <c r="AN1218" s="1489"/>
      <c r="AO1218" s="1489"/>
      <c r="AP1218" s="1489"/>
      <c r="AQ1218" s="1489"/>
      <c r="AR1218" s="1488"/>
      <c r="AS1218" s="1488"/>
      <c r="AT1218" s="1488"/>
      <c r="AU1218" s="1488"/>
      <c r="AV1218" s="1488"/>
      <c r="AW1218" s="1488"/>
      <c r="AX1218" s="1488"/>
      <c r="AY1218" s="1488"/>
    </row>
    <row r="1219" spans="3:51" s="1502" customFormat="1">
      <c r="C1219" s="1498"/>
      <c r="D1219" s="1501"/>
      <c r="E1219" s="1500"/>
      <c r="F1219" s="814"/>
      <c r="G1219" s="1494"/>
      <c r="H1219" s="1493"/>
      <c r="I1219" s="1493"/>
      <c r="J1219" s="813"/>
      <c r="K1219" s="814"/>
      <c r="L1219" s="1499"/>
      <c r="M1219" s="1488"/>
      <c r="N1219" s="1488"/>
      <c r="O1219" s="1488"/>
      <c r="P1219" s="1488"/>
      <c r="Q1219" s="1489"/>
      <c r="R1219" s="1489"/>
      <c r="S1219" s="1489"/>
      <c r="T1219" s="1489"/>
      <c r="U1219" s="1489"/>
      <c r="V1219" s="1489"/>
      <c r="W1219" s="1489"/>
      <c r="X1219" s="1489"/>
      <c r="Y1219" s="1489"/>
      <c r="Z1219" s="1489"/>
      <c r="AA1219" s="1489"/>
      <c r="AB1219" s="1489"/>
      <c r="AC1219" s="1489"/>
      <c r="AD1219" s="1489"/>
      <c r="AE1219" s="1489"/>
      <c r="AF1219" s="1489"/>
      <c r="AG1219" s="1489"/>
      <c r="AH1219" s="1489"/>
      <c r="AI1219" s="1489"/>
      <c r="AJ1219" s="1489"/>
      <c r="AK1219" s="1489"/>
      <c r="AL1219" s="1489"/>
      <c r="AM1219" s="1489"/>
      <c r="AN1219" s="1489"/>
      <c r="AO1219" s="1489"/>
      <c r="AP1219" s="1489"/>
      <c r="AQ1219" s="1489"/>
      <c r="AR1219" s="1488"/>
      <c r="AS1219" s="1488"/>
      <c r="AT1219" s="1488"/>
      <c r="AU1219" s="1488"/>
      <c r="AV1219" s="1488"/>
      <c r="AW1219" s="1488"/>
      <c r="AX1219" s="1488"/>
      <c r="AY1219" s="1488"/>
    </row>
    <row r="1220" spans="3:51" s="1502" customFormat="1">
      <c r="C1220" s="1498"/>
      <c r="D1220" s="1501"/>
      <c r="E1220" s="1500"/>
      <c r="F1220" s="814"/>
      <c r="G1220" s="1494"/>
      <c r="H1220" s="1493"/>
      <c r="I1220" s="1493"/>
      <c r="J1220" s="813"/>
      <c r="K1220" s="814"/>
      <c r="L1220" s="1499"/>
      <c r="M1220" s="1488"/>
      <c r="N1220" s="1488"/>
      <c r="O1220" s="1488"/>
      <c r="P1220" s="1488"/>
      <c r="Q1220" s="1489"/>
      <c r="R1220" s="1489"/>
      <c r="S1220" s="1489"/>
      <c r="T1220" s="1489"/>
      <c r="U1220" s="1489"/>
      <c r="V1220" s="1489"/>
      <c r="W1220" s="1489"/>
      <c r="X1220" s="1489"/>
      <c r="Y1220" s="1489"/>
      <c r="Z1220" s="1489"/>
      <c r="AA1220" s="1489"/>
      <c r="AB1220" s="1489"/>
      <c r="AC1220" s="1489"/>
      <c r="AD1220" s="1489"/>
      <c r="AE1220" s="1489"/>
      <c r="AF1220" s="1489"/>
      <c r="AG1220" s="1489"/>
      <c r="AH1220" s="1489"/>
      <c r="AI1220" s="1489"/>
      <c r="AJ1220" s="1489"/>
      <c r="AK1220" s="1489"/>
      <c r="AL1220" s="1489"/>
      <c r="AM1220" s="1489"/>
      <c r="AN1220" s="1489"/>
      <c r="AO1220" s="1489"/>
      <c r="AP1220" s="1489"/>
      <c r="AQ1220" s="1489"/>
      <c r="AR1220" s="1488"/>
      <c r="AS1220" s="1488"/>
      <c r="AT1220" s="1488"/>
      <c r="AU1220" s="1488"/>
      <c r="AV1220" s="1488"/>
      <c r="AW1220" s="1488"/>
      <c r="AX1220" s="1488"/>
      <c r="AY1220" s="1488"/>
    </row>
    <row r="1221" spans="3:51" s="1502" customFormat="1">
      <c r="C1221" s="1498"/>
      <c r="D1221" s="1501"/>
      <c r="E1221" s="1500"/>
      <c r="F1221" s="814"/>
      <c r="G1221" s="1494"/>
      <c r="H1221" s="1493"/>
      <c r="I1221" s="1493"/>
      <c r="J1221" s="813"/>
      <c r="K1221" s="814"/>
      <c r="L1221" s="1499"/>
      <c r="M1221" s="1488"/>
      <c r="N1221" s="1488"/>
      <c r="O1221" s="1488"/>
      <c r="P1221" s="1488"/>
      <c r="Q1221" s="1489"/>
      <c r="R1221" s="1489"/>
      <c r="S1221" s="1489"/>
      <c r="T1221" s="1489"/>
      <c r="U1221" s="1489"/>
      <c r="V1221" s="1489"/>
      <c r="W1221" s="1489"/>
      <c r="X1221" s="1489"/>
      <c r="Y1221" s="1489"/>
      <c r="Z1221" s="1489"/>
      <c r="AA1221" s="1489"/>
      <c r="AB1221" s="1489"/>
      <c r="AC1221" s="1489"/>
      <c r="AD1221" s="1489"/>
      <c r="AE1221" s="1489"/>
      <c r="AF1221" s="1489"/>
      <c r="AG1221" s="1489"/>
      <c r="AH1221" s="1489"/>
      <c r="AI1221" s="1489"/>
      <c r="AJ1221" s="1489"/>
      <c r="AK1221" s="1489"/>
      <c r="AL1221" s="1489"/>
      <c r="AM1221" s="1489"/>
      <c r="AN1221" s="1489"/>
      <c r="AO1221" s="1489"/>
      <c r="AP1221" s="1489"/>
      <c r="AQ1221" s="1489"/>
      <c r="AR1221" s="1488"/>
      <c r="AS1221" s="1488"/>
      <c r="AT1221" s="1488"/>
      <c r="AU1221" s="1488"/>
      <c r="AV1221" s="1488"/>
      <c r="AW1221" s="1488"/>
      <c r="AX1221" s="1488"/>
      <c r="AY1221" s="1488"/>
    </row>
    <row r="1222" spans="3:51" s="1502" customFormat="1">
      <c r="C1222" s="1498"/>
      <c r="D1222" s="1501"/>
      <c r="E1222" s="1500"/>
      <c r="F1222" s="814"/>
      <c r="G1222" s="1494"/>
      <c r="H1222" s="1493"/>
      <c r="I1222" s="1493"/>
      <c r="J1222" s="813"/>
      <c r="K1222" s="814"/>
      <c r="L1222" s="1499"/>
      <c r="M1222" s="1488"/>
      <c r="N1222" s="1488"/>
      <c r="O1222" s="1488"/>
      <c r="P1222" s="1488"/>
      <c r="Q1222" s="1489"/>
      <c r="R1222" s="1489"/>
      <c r="S1222" s="1489"/>
      <c r="T1222" s="1489"/>
      <c r="U1222" s="1489"/>
      <c r="V1222" s="1489"/>
      <c r="W1222" s="1489"/>
      <c r="X1222" s="1489"/>
      <c r="Y1222" s="1489"/>
      <c r="Z1222" s="1489"/>
      <c r="AA1222" s="1489"/>
      <c r="AB1222" s="1489"/>
      <c r="AC1222" s="1489"/>
      <c r="AD1222" s="1489"/>
      <c r="AE1222" s="1489"/>
      <c r="AF1222" s="1489"/>
      <c r="AG1222" s="1489"/>
      <c r="AH1222" s="1489"/>
      <c r="AI1222" s="1489"/>
      <c r="AJ1222" s="1489"/>
      <c r="AK1222" s="1489"/>
      <c r="AL1222" s="1489"/>
      <c r="AM1222" s="1489"/>
      <c r="AN1222" s="1489"/>
      <c r="AO1222" s="1489"/>
      <c r="AP1222" s="1489"/>
      <c r="AQ1222" s="1489"/>
      <c r="AR1222" s="1488"/>
      <c r="AS1222" s="1488"/>
      <c r="AT1222" s="1488"/>
      <c r="AU1222" s="1488"/>
      <c r="AV1222" s="1488"/>
      <c r="AW1222" s="1488"/>
      <c r="AX1222" s="1488"/>
      <c r="AY1222" s="1488"/>
    </row>
    <row r="1223" spans="3:51" s="1502" customFormat="1">
      <c r="C1223" s="1498"/>
      <c r="D1223" s="1501"/>
      <c r="E1223" s="1500"/>
      <c r="F1223" s="814"/>
      <c r="G1223" s="1494"/>
      <c r="H1223" s="1493"/>
      <c r="I1223" s="1493"/>
      <c r="J1223" s="813"/>
      <c r="K1223" s="814"/>
      <c r="L1223" s="1499"/>
      <c r="M1223" s="1488"/>
      <c r="N1223" s="1488"/>
      <c r="O1223" s="1488"/>
      <c r="P1223" s="1488"/>
      <c r="Q1223" s="1489"/>
      <c r="R1223" s="1489"/>
      <c r="S1223" s="1489"/>
      <c r="T1223" s="1489"/>
      <c r="U1223" s="1489"/>
      <c r="V1223" s="1489"/>
      <c r="W1223" s="1489"/>
      <c r="X1223" s="1489"/>
      <c r="Y1223" s="1489"/>
      <c r="Z1223" s="1489"/>
      <c r="AA1223" s="1489"/>
      <c r="AB1223" s="1489"/>
      <c r="AC1223" s="1489"/>
      <c r="AD1223" s="1489"/>
      <c r="AE1223" s="1489"/>
      <c r="AF1223" s="1489"/>
      <c r="AG1223" s="1489"/>
      <c r="AH1223" s="1489"/>
      <c r="AI1223" s="1489"/>
      <c r="AJ1223" s="1489"/>
      <c r="AK1223" s="1489"/>
      <c r="AL1223" s="1489"/>
      <c r="AM1223" s="1489"/>
      <c r="AN1223" s="1489"/>
      <c r="AO1223" s="1489"/>
      <c r="AP1223" s="1489"/>
      <c r="AQ1223" s="1489"/>
      <c r="AR1223" s="1488"/>
      <c r="AS1223" s="1488"/>
      <c r="AT1223" s="1488"/>
      <c r="AU1223" s="1488"/>
      <c r="AV1223" s="1488"/>
      <c r="AW1223" s="1488"/>
      <c r="AX1223" s="1488"/>
      <c r="AY1223" s="1488"/>
    </row>
    <row r="1224" spans="3:51" s="1502" customFormat="1">
      <c r="C1224" s="1498"/>
      <c r="D1224" s="1501"/>
      <c r="E1224" s="1500"/>
      <c r="F1224" s="814"/>
      <c r="G1224" s="1494"/>
      <c r="H1224" s="1493"/>
      <c r="I1224" s="1493"/>
      <c r="J1224" s="813"/>
      <c r="K1224" s="814"/>
      <c r="L1224" s="1499"/>
      <c r="M1224" s="1488"/>
      <c r="N1224" s="1488"/>
      <c r="O1224" s="1488"/>
      <c r="P1224" s="1488"/>
      <c r="Q1224" s="1489"/>
      <c r="R1224" s="1489"/>
      <c r="S1224" s="1489"/>
      <c r="T1224" s="1489"/>
      <c r="U1224" s="1489"/>
      <c r="V1224" s="1489"/>
      <c r="W1224" s="1489"/>
      <c r="X1224" s="1489"/>
      <c r="Y1224" s="1489"/>
      <c r="Z1224" s="1489"/>
      <c r="AA1224" s="1489"/>
      <c r="AB1224" s="1489"/>
      <c r="AC1224" s="1489"/>
      <c r="AD1224" s="1489"/>
      <c r="AE1224" s="1489"/>
      <c r="AF1224" s="1489"/>
      <c r="AG1224" s="1489"/>
      <c r="AH1224" s="1489"/>
      <c r="AI1224" s="1489"/>
      <c r="AJ1224" s="1489"/>
      <c r="AK1224" s="1489"/>
      <c r="AL1224" s="1489"/>
      <c r="AM1224" s="1489"/>
      <c r="AN1224" s="1489"/>
      <c r="AO1224" s="1489"/>
      <c r="AP1224" s="1489"/>
      <c r="AQ1224" s="1489"/>
      <c r="AR1224" s="1488"/>
      <c r="AS1224" s="1488"/>
      <c r="AT1224" s="1488"/>
      <c r="AU1224" s="1488"/>
      <c r="AV1224" s="1488"/>
      <c r="AW1224" s="1488"/>
      <c r="AX1224" s="1488"/>
      <c r="AY1224" s="1488"/>
    </row>
    <row r="1225" spans="3:51" s="1502" customFormat="1">
      <c r="C1225" s="1498"/>
      <c r="D1225" s="1501"/>
      <c r="E1225" s="1500"/>
      <c r="F1225" s="814"/>
      <c r="G1225" s="1494"/>
      <c r="H1225" s="1493"/>
      <c r="I1225" s="1493"/>
      <c r="J1225" s="813"/>
      <c r="K1225" s="814"/>
      <c r="L1225" s="1499"/>
      <c r="M1225" s="1488"/>
      <c r="N1225" s="1488"/>
      <c r="O1225" s="1488"/>
      <c r="P1225" s="1488"/>
      <c r="Q1225" s="1489"/>
      <c r="R1225" s="1489"/>
      <c r="S1225" s="1489"/>
      <c r="T1225" s="1489"/>
      <c r="U1225" s="1489"/>
      <c r="V1225" s="1489"/>
      <c r="W1225" s="1489"/>
      <c r="X1225" s="1489"/>
      <c r="Y1225" s="1489"/>
      <c r="Z1225" s="1489"/>
      <c r="AA1225" s="1489"/>
      <c r="AB1225" s="1489"/>
      <c r="AC1225" s="1489"/>
      <c r="AD1225" s="1489"/>
      <c r="AE1225" s="1489"/>
      <c r="AF1225" s="1489"/>
      <c r="AG1225" s="1489"/>
      <c r="AH1225" s="1489"/>
      <c r="AI1225" s="1489"/>
      <c r="AJ1225" s="1489"/>
      <c r="AK1225" s="1489"/>
      <c r="AL1225" s="1489"/>
      <c r="AM1225" s="1489"/>
      <c r="AN1225" s="1489"/>
      <c r="AO1225" s="1489"/>
      <c r="AP1225" s="1489"/>
      <c r="AQ1225" s="1489"/>
      <c r="AR1225" s="1488"/>
      <c r="AS1225" s="1488"/>
      <c r="AT1225" s="1488"/>
      <c r="AU1225" s="1488"/>
      <c r="AV1225" s="1488"/>
      <c r="AW1225" s="1488"/>
      <c r="AX1225" s="1488"/>
      <c r="AY1225" s="1488"/>
    </row>
    <row r="1226" spans="3:51" s="1502" customFormat="1">
      <c r="C1226" s="1498"/>
      <c r="D1226" s="1501"/>
      <c r="E1226" s="1500"/>
      <c r="F1226" s="814"/>
      <c r="G1226" s="1494"/>
      <c r="H1226" s="1493"/>
      <c r="I1226" s="1493"/>
      <c r="J1226" s="813"/>
      <c r="K1226" s="814"/>
      <c r="L1226" s="1499"/>
      <c r="M1226" s="1488"/>
      <c r="N1226" s="1488"/>
      <c r="O1226" s="1488"/>
      <c r="P1226" s="1488"/>
      <c r="Q1226" s="1489"/>
      <c r="R1226" s="1489"/>
      <c r="S1226" s="1489"/>
      <c r="T1226" s="1489"/>
      <c r="U1226" s="1489"/>
      <c r="V1226" s="1489"/>
      <c r="W1226" s="1489"/>
      <c r="X1226" s="1489"/>
      <c r="Y1226" s="1489"/>
      <c r="Z1226" s="1489"/>
      <c r="AA1226" s="1489"/>
      <c r="AB1226" s="1489"/>
      <c r="AC1226" s="1489"/>
      <c r="AD1226" s="1489"/>
      <c r="AE1226" s="1489"/>
      <c r="AF1226" s="1489"/>
      <c r="AG1226" s="1489"/>
      <c r="AH1226" s="1489"/>
      <c r="AI1226" s="1489"/>
      <c r="AJ1226" s="1489"/>
      <c r="AK1226" s="1489"/>
      <c r="AL1226" s="1489"/>
      <c r="AM1226" s="1489"/>
      <c r="AN1226" s="1489"/>
      <c r="AO1226" s="1489"/>
      <c r="AP1226" s="1489"/>
      <c r="AQ1226" s="1489"/>
      <c r="AR1226" s="1488"/>
      <c r="AS1226" s="1488"/>
      <c r="AT1226" s="1488"/>
      <c r="AU1226" s="1488"/>
      <c r="AV1226" s="1488"/>
      <c r="AW1226" s="1488"/>
      <c r="AX1226" s="1488"/>
      <c r="AY1226" s="1488"/>
    </row>
    <row r="1227" spans="3:51" s="1502" customFormat="1">
      <c r="C1227" s="1498"/>
      <c r="D1227" s="1501"/>
      <c r="E1227" s="1500"/>
      <c r="F1227" s="814"/>
      <c r="G1227" s="1494"/>
      <c r="H1227" s="1493"/>
      <c r="I1227" s="1493"/>
      <c r="J1227" s="813"/>
      <c r="K1227" s="814"/>
      <c r="L1227" s="1499"/>
      <c r="M1227" s="1488"/>
      <c r="N1227" s="1488"/>
      <c r="O1227" s="1488"/>
      <c r="P1227" s="1488"/>
      <c r="Q1227" s="1489"/>
      <c r="R1227" s="1489"/>
      <c r="S1227" s="1489"/>
      <c r="T1227" s="1489"/>
      <c r="U1227" s="1489"/>
      <c r="V1227" s="1489"/>
      <c r="W1227" s="1489"/>
      <c r="X1227" s="1489"/>
      <c r="Y1227" s="1489"/>
      <c r="Z1227" s="1489"/>
      <c r="AA1227" s="1489"/>
      <c r="AB1227" s="1489"/>
      <c r="AC1227" s="1489"/>
      <c r="AD1227" s="1489"/>
      <c r="AE1227" s="1489"/>
      <c r="AF1227" s="1489"/>
      <c r="AG1227" s="1489"/>
      <c r="AH1227" s="1489"/>
      <c r="AI1227" s="1489"/>
      <c r="AJ1227" s="1489"/>
      <c r="AK1227" s="1489"/>
      <c r="AL1227" s="1489"/>
      <c r="AM1227" s="1489"/>
      <c r="AN1227" s="1489"/>
      <c r="AO1227" s="1489"/>
      <c r="AP1227" s="1489"/>
      <c r="AQ1227" s="1489"/>
      <c r="AR1227" s="1488"/>
      <c r="AS1227" s="1488"/>
      <c r="AT1227" s="1488"/>
      <c r="AU1227" s="1488"/>
      <c r="AV1227" s="1488"/>
      <c r="AW1227" s="1488"/>
      <c r="AX1227" s="1488"/>
      <c r="AY1227" s="1488"/>
    </row>
    <row r="1228" spans="3:51" s="1502" customFormat="1">
      <c r="C1228" s="1498"/>
      <c r="D1228" s="1501"/>
      <c r="E1228" s="1500"/>
      <c r="F1228" s="814"/>
      <c r="G1228" s="1494"/>
      <c r="H1228" s="1493"/>
      <c r="I1228" s="1493"/>
      <c r="J1228" s="813"/>
      <c r="K1228" s="814"/>
      <c r="L1228" s="1499"/>
      <c r="M1228" s="1488"/>
      <c r="N1228" s="1488"/>
      <c r="O1228" s="1488"/>
      <c r="P1228" s="1488"/>
      <c r="Q1228" s="1489"/>
      <c r="R1228" s="1489"/>
      <c r="S1228" s="1489"/>
      <c r="T1228" s="1489"/>
      <c r="U1228" s="1489"/>
      <c r="V1228" s="1489"/>
      <c r="W1228" s="1489"/>
      <c r="X1228" s="1489"/>
      <c r="Y1228" s="1489"/>
      <c r="Z1228" s="1489"/>
      <c r="AA1228" s="1489"/>
      <c r="AB1228" s="1489"/>
      <c r="AC1228" s="1489"/>
      <c r="AD1228" s="1489"/>
      <c r="AE1228" s="1489"/>
      <c r="AF1228" s="1489"/>
      <c r="AG1228" s="1489"/>
      <c r="AH1228" s="1489"/>
      <c r="AI1228" s="1489"/>
      <c r="AJ1228" s="1489"/>
      <c r="AK1228" s="1489"/>
      <c r="AL1228" s="1489"/>
      <c r="AM1228" s="1489"/>
      <c r="AN1228" s="1489"/>
      <c r="AO1228" s="1489"/>
      <c r="AP1228" s="1489"/>
      <c r="AQ1228" s="1489"/>
      <c r="AR1228" s="1488"/>
      <c r="AS1228" s="1488"/>
      <c r="AT1228" s="1488"/>
      <c r="AU1228" s="1488"/>
      <c r="AV1228" s="1488"/>
      <c r="AW1228" s="1488"/>
      <c r="AX1228" s="1488"/>
      <c r="AY1228" s="1488"/>
    </row>
    <row r="1229" spans="3:51" s="1502" customFormat="1">
      <c r="C1229" s="1498"/>
      <c r="D1229" s="1501"/>
      <c r="E1229" s="1500"/>
      <c r="F1229" s="814"/>
      <c r="G1229" s="1494"/>
      <c r="H1229" s="1493"/>
      <c r="I1229" s="1493"/>
      <c r="J1229" s="813"/>
      <c r="K1229" s="814"/>
      <c r="L1229" s="1499"/>
      <c r="M1229" s="1488"/>
      <c r="N1229" s="1488"/>
      <c r="O1229" s="1488"/>
      <c r="P1229" s="1488"/>
      <c r="Q1229" s="1489"/>
      <c r="R1229" s="1489"/>
      <c r="S1229" s="1489"/>
      <c r="T1229" s="1489"/>
      <c r="U1229" s="1489"/>
      <c r="V1229" s="1489"/>
      <c r="W1229" s="1489"/>
      <c r="X1229" s="1489"/>
      <c r="Y1229" s="1489"/>
      <c r="Z1229" s="1489"/>
      <c r="AA1229" s="1489"/>
      <c r="AB1229" s="1489"/>
      <c r="AC1229" s="1489"/>
      <c r="AD1229" s="1489"/>
      <c r="AE1229" s="1489"/>
      <c r="AF1229" s="1489"/>
      <c r="AG1229" s="1489"/>
      <c r="AH1229" s="1489"/>
      <c r="AI1229" s="1489"/>
      <c r="AJ1229" s="1489"/>
      <c r="AK1229" s="1489"/>
      <c r="AL1229" s="1489"/>
      <c r="AM1229" s="1489"/>
      <c r="AN1229" s="1489"/>
      <c r="AO1229" s="1489"/>
      <c r="AP1229" s="1489"/>
      <c r="AQ1229" s="1489"/>
      <c r="AR1229" s="1488"/>
      <c r="AS1229" s="1488"/>
      <c r="AT1229" s="1488"/>
      <c r="AU1229" s="1488"/>
      <c r="AV1229" s="1488"/>
      <c r="AW1229" s="1488"/>
      <c r="AX1229" s="1488"/>
      <c r="AY1229" s="1488"/>
    </row>
    <row r="1230" spans="3:51" s="1502" customFormat="1">
      <c r="C1230" s="1498"/>
      <c r="D1230" s="1501"/>
      <c r="E1230" s="1500"/>
      <c r="F1230" s="814"/>
      <c r="G1230" s="1494"/>
      <c r="H1230" s="1493"/>
      <c r="I1230" s="1493"/>
      <c r="J1230" s="813"/>
      <c r="K1230" s="814"/>
      <c r="L1230" s="1499"/>
      <c r="M1230" s="1488"/>
      <c r="N1230" s="1488"/>
      <c r="O1230" s="1488"/>
      <c r="P1230" s="1488"/>
      <c r="Q1230" s="1489"/>
      <c r="R1230" s="1489"/>
      <c r="S1230" s="1489"/>
      <c r="T1230" s="1489"/>
      <c r="U1230" s="1489"/>
      <c r="V1230" s="1489"/>
      <c r="W1230" s="1489"/>
      <c r="X1230" s="1489"/>
      <c r="Y1230" s="1489"/>
      <c r="Z1230" s="1489"/>
      <c r="AA1230" s="1489"/>
      <c r="AB1230" s="1489"/>
      <c r="AC1230" s="1489"/>
      <c r="AD1230" s="1489"/>
      <c r="AE1230" s="1489"/>
      <c r="AF1230" s="1489"/>
      <c r="AG1230" s="1489"/>
      <c r="AH1230" s="1489"/>
      <c r="AI1230" s="1489"/>
      <c r="AJ1230" s="1489"/>
      <c r="AK1230" s="1489"/>
      <c r="AL1230" s="1489"/>
      <c r="AM1230" s="1489"/>
      <c r="AN1230" s="1489"/>
      <c r="AO1230" s="1489"/>
      <c r="AP1230" s="1489"/>
      <c r="AQ1230" s="1489"/>
      <c r="AR1230" s="1488"/>
      <c r="AS1230" s="1488"/>
      <c r="AT1230" s="1488"/>
      <c r="AU1230" s="1488"/>
      <c r="AV1230" s="1488"/>
      <c r="AW1230" s="1488"/>
      <c r="AX1230" s="1488"/>
      <c r="AY1230" s="1488"/>
    </row>
    <row r="1231" spans="3:51" s="1502" customFormat="1">
      <c r="C1231" s="1498"/>
      <c r="D1231" s="1501"/>
      <c r="E1231" s="1500"/>
      <c r="F1231" s="814"/>
      <c r="G1231" s="1494"/>
      <c r="H1231" s="1493"/>
      <c r="I1231" s="1493"/>
      <c r="J1231" s="813"/>
      <c r="K1231" s="814"/>
      <c r="L1231" s="1499"/>
      <c r="M1231" s="1488"/>
      <c r="N1231" s="1488"/>
      <c r="O1231" s="1488"/>
      <c r="P1231" s="1488"/>
      <c r="Q1231" s="1489"/>
      <c r="R1231" s="1489"/>
      <c r="S1231" s="1489"/>
      <c r="T1231" s="1489"/>
      <c r="U1231" s="1489"/>
      <c r="V1231" s="1489"/>
      <c r="W1231" s="1489"/>
      <c r="X1231" s="1489"/>
      <c r="Y1231" s="1489"/>
      <c r="Z1231" s="1489"/>
      <c r="AA1231" s="1489"/>
      <c r="AB1231" s="1489"/>
      <c r="AC1231" s="1489"/>
      <c r="AD1231" s="1489"/>
      <c r="AE1231" s="1489"/>
      <c r="AF1231" s="1489"/>
      <c r="AG1231" s="1489"/>
      <c r="AH1231" s="1489"/>
      <c r="AI1231" s="1489"/>
      <c r="AJ1231" s="1489"/>
      <c r="AK1231" s="1489"/>
      <c r="AL1231" s="1489"/>
      <c r="AM1231" s="1489"/>
      <c r="AN1231" s="1489"/>
      <c r="AO1231" s="1489"/>
      <c r="AP1231" s="1489"/>
      <c r="AQ1231" s="1489"/>
      <c r="AR1231" s="1488"/>
      <c r="AS1231" s="1488"/>
      <c r="AT1231" s="1488"/>
      <c r="AU1231" s="1488"/>
      <c r="AV1231" s="1488"/>
      <c r="AW1231" s="1488"/>
      <c r="AX1231" s="1488"/>
      <c r="AY1231" s="1488"/>
    </row>
    <row r="1232" spans="3:51" s="1502" customFormat="1">
      <c r="C1232" s="1498"/>
      <c r="D1232" s="1501"/>
      <c r="E1232" s="1500"/>
      <c r="F1232" s="814"/>
      <c r="G1232" s="1494"/>
      <c r="H1232" s="1493"/>
      <c r="I1232" s="1493"/>
      <c r="J1232" s="813"/>
      <c r="K1232" s="814"/>
      <c r="L1232" s="1499"/>
      <c r="M1232" s="1488"/>
      <c r="N1232" s="1488"/>
      <c r="O1232" s="1488"/>
      <c r="P1232" s="1488"/>
      <c r="Q1232" s="1489"/>
      <c r="R1232" s="1489"/>
      <c r="S1232" s="1489"/>
      <c r="T1232" s="1489"/>
      <c r="U1232" s="1489"/>
      <c r="V1232" s="1489"/>
      <c r="W1232" s="1489"/>
      <c r="X1232" s="1489"/>
      <c r="Y1232" s="1489"/>
      <c r="Z1232" s="1489"/>
      <c r="AA1232" s="1489"/>
      <c r="AB1232" s="1489"/>
      <c r="AC1232" s="1489"/>
      <c r="AD1232" s="1489"/>
      <c r="AE1232" s="1489"/>
      <c r="AF1232" s="1489"/>
      <c r="AG1232" s="1489"/>
      <c r="AH1232" s="1489"/>
      <c r="AI1232" s="1489"/>
      <c r="AJ1232" s="1489"/>
      <c r="AK1232" s="1489"/>
      <c r="AL1232" s="1489"/>
      <c r="AM1232" s="1489"/>
      <c r="AN1232" s="1489"/>
      <c r="AO1232" s="1489"/>
      <c r="AP1232" s="1489"/>
      <c r="AQ1232" s="1489"/>
      <c r="AR1232" s="1488"/>
      <c r="AS1232" s="1488"/>
      <c r="AT1232" s="1488"/>
      <c r="AU1232" s="1488"/>
      <c r="AV1232" s="1488"/>
      <c r="AW1232" s="1488"/>
      <c r="AX1232" s="1488"/>
      <c r="AY1232" s="1488"/>
    </row>
    <row r="1233" spans="3:51" s="1502" customFormat="1">
      <c r="C1233" s="1498"/>
      <c r="D1233" s="1501"/>
      <c r="E1233" s="1500"/>
      <c r="F1233" s="814"/>
      <c r="G1233" s="1494"/>
      <c r="H1233" s="1493"/>
      <c r="I1233" s="1493"/>
      <c r="J1233" s="813"/>
      <c r="K1233" s="814"/>
      <c r="L1233" s="1499"/>
      <c r="M1233" s="1488"/>
      <c r="N1233" s="1488"/>
      <c r="O1233" s="1488"/>
      <c r="P1233" s="1488"/>
      <c r="Q1233" s="1489"/>
      <c r="R1233" s="1489"/>
      <c r="S1233" s="1489"/>
      <c r="T1233" s="1489"/>
      <c r="U1233" s="1489"/>
      <c r="V1233" s="1489"/>
      <c r="W1233" s="1489"/>
      <c r="X1233" s="1489"/>
      <c r="Y1233" s="1489"/>
      <c r="Z1233" s="1489"/>
      <c r="AA1233" s="1489"/>
      <c r="AB1233" s="1489"/>
      <c r="AC1233" s="1489"/>
      <c r="AD1233" s="1489"/>
      <c r="AE1233" s="1489"/>
      <c r="AF1233" s="1489"/>
      <c r="AG1233" s="1489"/>
      <c r="AH1233" s="1489"/>
      <c r="AI1233" s="1489"/>
      <c r="AJ1233" s="1489"/>
      <c r="AK1233" s="1489"/>
      <c r="AL1233" s="1489"/>
      <c r="AM1233" s="1489"/>
      <c r="AN1233" s="1489"/>
      <c r="AO1233" s="1489"/>
      <c r="AP1233" s="1489"/>
      <c r="AQ1233" s="1489"/>
      <c r="AR1233" s="1488"/>
      <c r="AS1233" s="1488"/>
      <c r="AT1233" s="1488"/>
      <c r="AU1233" s="1488"/>
      <c r="AV1233" s="1488"/>
      <c r="AW1233" s="1488"/>
      <c r="AX1233" s="1488"/>
      <c r="AY1233" s="1488"/>
    </row>
    <row r="1234" spans="3:51" s="1502" customFormat="1">
      <c r="C1234" s="1498"/>
      <c r="D1234" s="1501"/>
      <c r="E1234" s="1500"/>
      <c r="F1234" s="814"/>
      <c r="G1234" s="1494"/>
      <c r="H1234" s="1493"/>
      <c r="I1234" s="1493"/>
      <c r="J1234" s="813"/>
      <c r="K1234" s="814"/>
      <c r="L1234" s="1499"/>
      <c r="M1234" s="1488"/>
      <c r="N1234" s="1488"/>
      <c r="O1234" s="1488"/>
      <c r="P1234" s="1488"/>
      <c r="Q1234" s="1489"/>
      <c r="R1234" s="1489"/>
      <c r="S1234" s="1489"/>
      <c r="T1234" s="1489"/>
      <c r="U1234" s="1489"/>
      <c r="V1234" s="1489"/>
      <c r="W1234" s="1489"/>
      <c r="X1234" s="1489"/>
      <c r="Y1234" s="1489"/>
      <c r="Z1234" s="1489"/>
      <c r="AA1234" s="1489"/>
      <c r="AB1234" s="1489"/>
      <c r="AC1234" s="1489"/>
      <c r="AD1234" s="1489"/>
      <c r="AE1234" s="1489"/>
      <c r="AF1234" s="1489"/>
      <c r="AG1234" s="1489"/>
      <c r="AH1234" s="1489"/>
      <c r="AI1234" s="1489"/>
      <c r="AJ1234" s="1489"/>
      <c r="AK1234" s="1489"/>
      <c r="AL1234" s="1489"/>
      <c r="AM1234" s="1489"/>
      <c r="AN1234" s="1489"/>
      <c r="AO1234" s="1489"/>
      <c r="AP1234" s="1489"/>
      <c r="AQ1234" s="1489"/>
      <c r="AR1234" s="1488"/>
      <c r="AS1234" s="1488"/>
      <c r="AT1234" s="1488"/>
      <c r="AU1234" s="1488"/>
      <c r="AV1234" s="1488"/>
      <c r="AW1234" s="1488"/>
      <c r="AX1234" s="1488"/>
      <c r="AY1234" s="1488"/>
    </row>
    <row r="1235" spans="3:51" s="1502" customFormat="1">
      <c r="C1235" s="1498"/>
      <c r="D1235" s="1501"/>
      <c r="E1235" s="1500"/>
      <c r="F1235" s="814"/>
      <c r="G1235" s="1494"/>
      <c r="H1235" s="1493"/>
      <c r="I1235" s="1493"/>
      <c r="J1235" s="813"/>
      <c r="K1235" s="814"/>
      <c r="L1235" s="1499"/>
      <c r="M1235" s="1488"/>
      <c r="N1235" s="1488"/>
      <c r="O1235" s="1488"/>
      <c r="P1235" s="1488"/>
      <c r="Q1235" s="1489"/>
      <c r="R1235" s="1489"/>
      <c r="S1235" s="1489"/>
      <c r="T1235" s="1489"/>
      <c r="U1235" s="1489"/>
      <c r="V1235" s="1489"/>
      <c r="W1235" s="1489"/>
      <c r="X1235" s="1489"/>
      <c r="Y1235" s="1489"/>
      <c r="Z1235" s="1489"/>
      <c r="AA1235" s="1489"/>
      <c r="AB1235" s="1489"/>
      <c r="AC1235" s="1489"/>
      <c r="AD1235" s="1489"/>
      <c r="AE1235" s="1489"/>
      <c r="AF1235" s="1489"/>
      <c r="AG1235" s="1489"/>
      <c r="AH1235" s="1489"/>
      <c r="AI1235" s="1489"/>
      <c r="AJ1235" s="1489"/>
      <c r="AK1235" s="1489"/>
      <c r="AL1235" s="1489"/>
      <c r="AM1235" s="1489"/>
      <c r="AN1235" s="1489"/>
      <c r="AO1235" s="1489"/>
      <c r="AP1235" s="1489"/>
      <c r="AQ1235" s="1489"/>
      <c r="AR1235" s="1488"/>
      <c r="AS1235" s="1488"/>
      <c r="AT1235" s="1488"/>
      <c r="AU1235" s="1488"/>
      <c r="AV1235" s="1488"/>
      <c r="AW1235" s="1488"/>
      <c r="AX1235" s="1488"/>
      <c r="AY1235" s="1488"/>
    </row>
    <row r="1236" spans="3:51" s="1502" customFormat="1">
      <c r="C1236" s="1498"/>
      <c r="D1236" s="1501"/>
      <c r="E1236" s="1500"/>
      <c r="F1236" s="814"/>
      <c r="G1236" s="1494"/>
      <c r="H1236" s="1493"/>
      <c r="I1236" s="1493"/>
      <c r="J1236" s="813"/>
      <c r="K1236" s="814"/>
      <c r="L1236" s="1499"/>
      <c r="M1236" s="1488"/>
      <c r="N1236" s="1488"/>
      <c r="O1236" s="1488"/>
      <c r="P1236" s="1488"/>
      <c r="Q1236" s="1489"/>
      <c r="R1236" s="1489"/>
      <c r="S1236" s="1489"/>
      <c r="T1236" s="1489"/>
      <c r="U1236" s="1489"/>
      <c r="V1236" s="1489"/>
      <c r="W1236" s="1489"/>
      <c r="X1236" s="1489"/>
      <c r="Y1236" s="1489"/>
      <c r="Z1236" s="1489"/>
      <c r="AA1236" s="1489"/>
      <c r="AB1236" s="1489"/>
      <c r="AC1236" s="1489"/>
      <c r="AD1236" s="1489"/>
      <c r="AE1236" s="1489"/>
      <c r="AF1236" s="1489"/>
      <c r="AG1236" s="1489"/>
      <c r="AH1236" s="1489"/>
      <c r="AI1236" s="1489"/>
      <c r="AJ1236" s="1489"/>
      <c r="AK1236" s="1489"/>
      <c r="AL1236" s="1489"/>
      <c r="AM1236" s="1489"/>
      <c r="AN1236" s="1489"/>
      <c r="AO1236" s="1489"/>
      <c r="AP1236" s="1489"/>
      <c r="AQ1236" s="1489"/>
      <c r="AR1236" s="1488"/>
      <c r="AS1236" s="1488"/>
      <c r="AT1236" s="1488"/>
      <c r="AU1236" s="1488"/>
      <c r="AV1236" s="1488"/>
      <c r="AW1236" s="1488"/>
      <c r="AX1236" s="1488"/>
      <c r="AY1236" s="1488"/>
    </row>
    <row r="1237" spans="3:51" s="1502" customFormat="1">
      <c r="C1237" s="1498"/>
      <c r="D1237" s="1501"/>
      <c r="E1237" s="1500"/>
      <c r="F1237" s="814"/>
      <c r="G1237" s="1494"/>
      <c r="H1237" s="1493"/>
      <c r="I1237" s="1493"/>
      <c r="J1237" s="813"/>
      <c r="K1237" s="814"/>
      <c r="L1237" s="1499"/>
      <c r="M1237" s="1488"/>
      <c r="N1237" s="1488"/>
      <c r="O1237" s="1488"/>
      <c r="P1237" s="1488"/>
      <c r="Q1237" s="1489"/>
      <c r="R1237" s="1489"/>
      <c r="S1237" s="1489"/>
      <c r="T1237" s="1489"/>
      <c r="U1237" s="1489"/>
      <c r="V1237" s="1489"/>
      <c r="W1237" s="1489"/>
      <c r="X1237" s="1489"/>
      <c r="Y1237" s="1489"/>
      <c r="Z1237" s="1489"/>
      <c r="AA1237" s="1489"/>
      <c r="AB1237" s="1489"/>
      <c r="AC1237" s="1489"/>
      <c r="AD1237" s="1489"/>
      <c r="AE1237" s="1489"/>
      <c r="AF1237" s="1489"/>
      <c r="AG1237" s="1489"/>
      <c r="AH1237" s="1489"/>
      <c r="AI1237" s="1489"/>
      <c r="AJ1237" s="1489"/>
      <c r="AK1237" s="1489"/>
      <c r="AL1237" s="1489"/>
      <c r="AM1237" s="1489"/>
      <c r="AN1237" s="1489"/>
      <c r="AO1237" s="1489"/>
      <c r="AP1237" s="1489"/>
      <c r="AQ1237" s="1489"/>
      <c r="AR1237" s="1488"/>
      <c r="AS1237" s="1488"/>
      <c r="AT1237" s="1488"/>
      <c r="AU1237" s="1488"/>
      <c r="AV1237" s="1488"/>
      <c r="AW1237" s="1488"/>
      <c r="AX1237" s="1488"/>
      <c r="AY1237" s="1488"/>
    </row>
    <row r="1238" spans="3:51" s="1502" customFormat="1">
      <c r="C1238" s="1498"/>
      <c r="D1238" s="1501"/>
      <c r="E1238" s="1500"/>
      <c r="F1238" s="814"/>
      <c r="G1238" s="1494"/>
      <c r="H1238" s="1493"/>
      <c r="I1238" s="1493"/>
      <c r="J1238" s="813"/>
      <c r="K1238" s="814"/>
      <c r="L1238" s="1499"/>
      <c r="M1238" s="1488"/>
      <c r="N1238" s="1488"/>
      <c r="O1238" s="1488"/>
      <c r="P1238" s="1488"/>
      <c r="Q1238" s="1489"/>
      <c r="R1238" s="1489"/>
      <c r="S1238" s="1489"/>
      <c r="T1238" s="1489"/>
      <c r="U1238" s="1489"/>
      <c r="V1238" s="1489"/>
      <c r="W1238" s="1489"/>
      <c r="X1238" s="1489"/>
      <c r="Y1238" s="1489"/>
      <c r="Z1238" s="1489"/>
      <c r="AA1238" s="1489"/>
      <c r="AB1238" s="1489"/>
      <c r="AC1238" s="1489"/>
      <c r="AD1238" s="1489"/>
      <c r="AE1238" s="1489"/>
      <c r="AF1238" s="1489"/>
      <c r="AG1238" s="1489"/>
      <c r="AH1238" s="1489"/>
      <c r="AI1238" s="1489"/>
      <c r="AJ1238" s="1489"/>
      <c r="AK1238" s="1489"/>
      <c r="AL1238" s="1489"/>
      <c r="AM1238" s="1489"/>
      <c r="AN1238" s="1489"/>
      <c r="AO1238" s="1489"/>
      <c r="AP1238" s="1489"/>
      <c r="AQ1238" s="1489"/>
      <c r="AR1238" s="1488"/>
      <c r="AS1238" s="1488"/>
      <c r="AT1238" s="1488"/>
      <c r="AU1238" s="1488"/>
      <c r="AV1238" s="1488"/>
      <c r="AW1238" s="1488"/>
      <c r="AX1238" s="1488"/>
      <c r="AY1238" s="1488"/>
    </row>
    <row r="1239" spans="3:51" s="1502" customFormat="1">
      <c r="C1239" s="1498"/>
      <c r="D1239" s="1501"/>
      <c r="E1239" s="1500"/>
      <c r="F1239" s="814"/>
      <c r="G1239" s="1494"/>
      <c r="H1239" s="1493"/>
      <c r="I1239" s="1493"/>
      <c r="J1239" s="813"/>
      <c r="K1239" s="814"/>
      <c r="L1239" s="1499"/>
      <c r="M1239" s="1488"/>
      <c r="N1239" s="1488"/>
      <c r="O1239" s="1488"/>
      <c r="P1239" s="1488"/>
      <c r="Q1239" s="1489"/>
      <c r="R1239" s="1489"/>
      <c r="S1239" s="1489"/>
      <c r="T1239" s="1489"/>
      <c r="U1239" s="1489"/>
      <c r="V1239" s="1489"/>
      <c r="W1239" s="1489"/>
      <c r="X1239" s="1489"/>
      <c r="Y1239" s="1489"/>
      <c r="Z1239" s="1489"/>
      <c r="AA1239" s="1489"/>
      <c r="AB1239" s="1489"/>
      <c r="AC1239" s="1489"/>
      <c r="AD1239" s="1489"/>
      <c r="AE1239" s="1489"/>
      <c r="AF1239" s="1489"/>
      <c r="AG1239" s="1489"/>
      <c r="AH1239" s="1489"/>
      <c r="AI1239" s="1489"/>
      <c r="AJ1239" s="1489"/>
      <c r="AK1239" s="1489"/>
      <c r="AL1239" s="1489"/>
      <c r="AM1239" s="1489"/>
      <c r="AN1239" s="1489"/>
      <c r="AO1239" s="1489"/>
      <c r="AP1239" s="1489"/>
      <c r="AQ1239" s="1489"/>
      <c r="AR1239" s="1488"/>
      <c r="AS1239" s="1488"/>
      <c r="AT1239" s="1488"/>
      <c r="AU1239" s="1488"/>
      <c r="AV1239" s="1488"/>
      <c r="AW1239" s="1488"/>
      <c r="AX1239" s="1488"/>
      <c r="AY1239" s="1488"/>
    </row>
    <row r="1240" spans="3:51" s="1502" customFormat="1">
      <c r="C1240" s="1498"/>
      <c r="D1240" s="1501"/>
      <c r="E1240" s="1500"/>
      <c r="F1240" s="814"/>
      <c r="G1240" s="1494"/>
      <c r="H1240" s="1493"/>
      <c r="I1240" s="1493"/>
      <c r="J1240" s="813"/>
      <c r="K1240" s="814"/>
      <c r="L1240" s="1499"/>
      <c r="M1240" s="1488"/>
      <c r="N1240" s="1488"/>
      <c r="O1240" s="1488"/>
      <c r="P1240" s="1488"/>
      <c r="Q1240" s="1489"/>
      <c r="R1240" s="1489"/>
      <c r="S1240" s="1489"/>
      <c r="T1240" s="1489"/>
      <c r="U1240" s="1489"/>
      <c r="V1240" s="1489"/>
      <c r="W1240" s="1489"/>
      <c r="X1240" s="1489"/>
      <c r="Y1240" s="1489"/>
      <c r="Z1240" s="1489"/>
      <c r="AA1240" s="1489"/>
      <c r="AB1240" s="1489"/>
      <c r="AC1240" s="1489"/>
      <c r="AD1240" s="1489"/>
      <c r="AE1240" s="1489"/>
      <c r="AF1240" s="1489"/>
      <c r="AG1240" s="1489"/>
      <c r="AH1240" s="1489"/>
      <c r="AI1240" s="1489"/>
      <c r="AJ1240" s="1489"/>
      <c r="AK1240" s="1489"/>
      <c r="AL1240" s="1489"/>
      <c r="AM1240" s="1489"/>
      <c r="AN1240" s="1489"/>
      <c r="AO1240" s="1489"/>
      <c r="AP1240" s="1489"/>
      <c r="AQ1240" s="1489"/>
      <c r="AR1240" s="1488"/>
      <c r="AS1240" s="1488"/>
      <c r="AT1240" s="1488"/>
      <c r="AU1240" s="1488"/>
      <c r="AV1240" s="1488"/>
      <c r="AW1240" s="1488"/>
      <c r="AX1240" s="1488"/>
      <c r="AY1240" s="1488"/>
    </row>
    <row r="1241" spans="3:51" s="1502" customFormat="1">
      <c r="C1241" s="1498"/>
      <c r="D1241" s="1501"/>
      <c r="E1241" s="1500"/>
      <c r="F1241" s="814"/>
      <c r="G1241" s="1494"/>
      <c r="H1241" s="1493"/>
      <c r="I1241" s="1493"/>
      <c r="J1241" s="813"/>
      <c r="K1241" s="814"/>
      <c r="L1241" s="1499"/>
      <c r="M1241" s="1488"/>
      <c r="N1241" s="1488"/>
      <c r="O1241" s="1488"/>
      <c r="P1241" s="1488"/>
      <c r="Q1241" s="1489"/>
      <c r="R1241" s="1489"/>
      <c r="S1241" s="1489"/>
      <c r="T1241" s="1489"/>
      <c r="U1241" s="1489"/>
      <c r="V1241" s="1489"/>
      <c r="W1241" s="1489"/>
      <c r="X1241" s="1489"/>
      <c r="Y1241" s="1489"/>
      <c r="Z1241" s="1489"/>
      <c r="AA1241" s="1489"/>
      <c r="AB1241" s="1489"/>
      <c r="AC1241" s="1489"/>
      <c r="AD1241" s="1489"/>
      <c r="AE1241" s="1489"/>
      <c r="AF1241" s="1489"/>
      <c r="AG1241" s="1489"/>
      <c r="AH1241" s="1489"/>
      <c r="AI1241" s="1489"/>
      <c r="AJ1241" s="1489"/>
      <c r="AK1241" s="1489"/>
      <c r="AL1241" s="1489"/>
      <c r="AM1241" s="1489"/>
      <c r="AN1241" s="1489"/>
      <c r="AO1241" s="1489"/>
      <c r="AP1241" s="1489"/>
      <c r="AQ1241" s="1489"/>
      <c r="AR1241" s="1488"/>
      <c r="AS1241" s="1488"/>
      <c r="AT1241" s="1488"/>
      <c r="AU1241" s="1488"/>
      <c r="AV1241" s="1488"/>
      <c r="AW1241" s="1488"/>
      <c r="AX1241" s="1488"/>
      <c r="AY1241" s="1488"/>
    </row>
    <row r="1242" spans="3:51" s="1502" customFormat="1">
      <c r="C1242" s="1498"/>
      <c r="D1242" s="1501"/>
      <c r="E1242" s="1500"/>
      <c r="F1242" s="814"/>
      <c r="G1242" s="1494"/>
      <c r="H1242" s="1493"/>
      <c r="I1242" s="1493"/>
      <c r="J1242" s="813"/>
      <c r="K1242" s="814"/>
      <c r="L1242" s="1499"/>
      <c r="M1242" s="1488"/>
      <c r="N1242" s="1488"/>
      <c r="O1242" s="1488"/>
      <c r="P1242" s="1488"/>
      <c r="Q1242" s="1489"/>
      <c r="R1242" s="1489"/>
      <c r="S1242" s="1489"/>
      <c r="T1242" s="1489"/>
      <c r="U1242" s="1489"/>
      <c r="V1242" s="1489"/>
      <c r="W1242" s="1489"/>
      <c r="X1242" s="1489"/>
      <c r="Y1242" s="1489"/>
      <c r="Z1242" s="1489"/>
      <c r="AA1242" s="1489"/>
      <c r="AB1242" s="1489"/>
      <c r="AC1242" s="1489"/>
      <c r="AD1242" s="1489"/>
      <c r="AE1242" s="1489"/>
      <c r="AF1242" s="1489"/>
      <c r="AG1242" s="1489"/>
      <c r="AH1242" s="1489"/>
      <c r="AI1242" s="1489"/>
      <c r="AJ1242" s="1489"/>
      <c r="AK1242" s="1489"/>
      <c r="AL1242" s="1489"/>
      <c r="AM1242" s="1489"/>
      <c r="AN1242" s="1489"/>
      <c r="AO1242" s="1489"/>
      <c r="AP1242" s="1489"/>
      <c r="AQ1242" s="1489"/>
      <c r="AR1242" s="1488"/>
      <c r="AS1242" s="1488"/>
      <c r="AT1242" s="1488"/>
      <c r="AU1242" s="1488"/>
      <c r="AV1242" s="1488"/>
      <c r="AW1242" s="1488"/>
      <c r="AX1242" s="1488"/>
      <c r="AY1242" s="1488"/>
    </row>
    <row r="1243" spans="3:51" s="1502" customFormat="1">
      <c r="C1243" s="1498"/>
      <c r="D1243" s="1501"/>
      <c r="E1243" s="1500"/>
      <c r="F1243" s="814"/>
      <c r="G1243" s="1494"/>
      <c r="H1243" s="1493"/>
      <c r="I1243" s="1493"/>
      <c r="J1243" s="813"/>
      <c r="K1243" s="814"/>
      <c r="L1243" s="1499"/>
      <c r="M1243" s="1488"/>
      <c r="N1243" s="1488"/>
      <c r="O1243" s="1488"/>
      <c r="P1243" s="1488"/>
      <c r="Q1243" s="1489"/>
      <c r="R1243" s="1489"/>
      <c r="S1243" s="1489"/>
      <c r="T1243" s="1489"/>
      <c r="U1243" s="1489"/>
      <c r="V1243" s="1489"/>
      <c r="W1243" s="1489"/>
      <c r="X1243" s="1489"/>
      <c r="Y1243" s="1489"/>
      <c r="Z1243" s="1489"/>
      <c r="AA1243" s="1489"/>
      <c r="AB1243" s="1489"/>
      <c r="AC1243" s="1489"/>
      <c r="AD1243" s="1489"/>
      <c r="AE1243" s="1489"/>
      <c r="AF1243" s="1489"/>
      <c r="AG1243" s="1489"/>
      <c r="AH1243" s="1489"/>
      <c r="AI1243" s="1489"/>
      <c r="AJ1243" s="1489"/>
      <c r="AK1243" s="1489"/>
      <c r="AL1243" s="1489"/>
      <c r="AM1243" s="1489"/>
      <c r="AN1243" s="1489"/>
      <c r="AO1243" s="1489"/>
      <c r="AP1243" s="1489"/>
      <c r="AQ1243" s="1489"/>
      <c r="AR1243" s="1488"/>
      <c r="AS1243" s="1488"/>
      <c r="AT1243" s="1488"/>
      <c r="AU1243" s="1488"/>
      <c r="AV1243" s="1488"/>
      <c r="AW1243" s="1488"/>
      <c r="AX1243" s="1488"/>
      <c r="AY1243" s="1488"/>
    </row>
    <row r="1244" spans="3:51" s="1502" customFormat="1">
      <c r="C1244" s="1498"/>
      <c r="D1244" s="1501"/>
      <c r="E1244" s="1500"/>
      <c r="F1244" s="814"/>
      <c r="G1244" s="1494"/>
      <c r="H1244" s="1493"/>
      <c r="I1244" s="1493"/>
      <c r="J1244" s="813"/>
      <c r="K1244" s="814"/>
      <c r="L1244" s="1499"/>
      <c r="M1244" s="1488"/>
      <c r="N1244" s="1488"/>
      <c r="O1244" s="1488"/>
      <c r="P1244" s="1488"/>
      <c r="Q1244" s="1489"/>
      <c r="R1244" s="1489"/>
      <c r="S1244" s="1489"/>
      <c r="T1244" s="1489"/>
      <c r="U1244" s="1489"/>
      <c r="V1244" s="1489"/>
      <c r="W1244" s="1489"/>
      <c r="X1244" s="1489"/>
      <c r="Y1244" s="1489"/>
      <c r="Z1244" s="1489"/>
      <c r="AA1244" s="1489"/>
      <c r="AB1244" s="1489"/>
      <c r="AC1244" s="1489"/>
      <c r="AD1244" s="1489"/>
      <c r="AE1244" s="1489"/>
      <c r="AF1244" s="1489"/>
      <c r="AG1244" s="1489"/>
      <c r="AH1244" s="1489"/>
      <c r="AI1244" s="1489"/>
      <c r="AJ1244" s="1489"/>
      <c r="AK1244" s="1489"/>
      <c r="AL1244" s="1489"/>
      <c r="AM1244" s="1489"/>
      <c r="AN1244" s="1489"/>
      <c r="AO1244" s="1489"/>
      <c r="AP1244" s="1489"/>
      <c r="AQ1244" s="1489"/>
      <c r="AR1244" s="1488"/>
      <c r="AS1244" s="1488"/>
      <c r="AT1244" s="1488"/>
      <c r="AU1244" s="1488"/>
      <c r="AV1244" s="1488"/>
      <c r="AW1244" s="1488"/>
      <c r="AX1244" s="1488"/>
      <c r="AY1244" s="1488"/>
    </row>
    <row r="1245" spans="3:51" s="1502" customFormat="1">
      <c r="C1245" s="1498"/>
      <c r="D1245" s="1501"/>
      <c r="E1245" s="1500"/>
      <c r="F1245" s="814"/>
      <c r="G1245" s="1494"/>
      <c r="H1245" s="1493"/>
      <c r="I1245" s="1493"/>
      <c r="J1245" s="813"/>
      <c r="K1245" s="814"/>
      <c r="L1245" s="1499"/>
      <c r="M1245" s="1488"/>
      <c r="N1245" s="1488"/>
      <c r="O1245" s="1488"/>
      <c r="P1245" s="1488"/>
      <c r="Q1245" s="1489"/>
      <c r="R1245" s="1489"/>
      <c r="S1245" s="1489"/>
      <c r="T1245" s="1489"/>
      <c r="U1245" s="1489"/>
      <c r="V1245" s="1489"/>
      <c r="W1245" s="1489"/>
      <c r="X1245" s="1489"/>
      <c r="Y1245" s="1489"/>
      <c r="Z1245" s="1489"/>
      <c r="AA1245" s="1489"/>
      <c r="AB1245" s="1489"/>
      <c r="AC1245" s="1489"/>
      <c r="AD1245" s="1489"/>
      <c r="AE1245" s="1489"/>
      <c r="AF1245" s="1489"/>
      <c r="AG1245" s="1489"/>
      <c r="AH1245" s="1489"/>
      <c r="AI1245" s="1489"/>
      <c r="AJ1245" s="1489"/>
      <c r="AK1245" s="1489"/>
      <c r="AL1245" s="1489"/>
      <c r="AM1245" s="1489"/>
      <c r="AN1245" s="1489"/>
      <c r="AO1245" s="1489"/>
      <c r="AP1245" s="1489"/>
      <c r="AQ1245" s="1489"/>
      <c r="AR1245" s="1488"/>
      <c r="AS1245" s="1488"/>
      <c r="AT1245" s="1488"/>
      <c r="AU1245" s="1488"/>
      <c r="AV1245" s="1488"/>
      <c r="AW1245" s="1488"/>
      <c r="AX1245" s="1488"/>
      <c r="AY1245" s="1488"/>
    </row>
    <row r="1246" spans="3:51" s="1502" customFormat="1">
      <c r="C1246" s="1498"/>
      <c r="D1246" s="1501"/>
      <c r="E1246" s="1500"/>
      <c r="F1246" s="814"/>
      <c r="G1246" s="1494"/>
      <c r="H1246" s="1493"/>
      <c r="I1246" s="1493"/>
      <c r="J1246" s="813"/>
      <c r="K1246" s="814"/>
      <c r="L1246" s="1499"/>
      <c r="M1246" s="1488"/>
      <c r="N1246" s="1488"/>
      <c r="O1246" s="1488"/>
      <c r="P1246" s="1488"/>
      <c r="Q1246" s="1489"/>
      <c r="R1246" s="1489"/>
      <c r="S1246" s="1489"/>
      <c r="T1246" s="1489"/>
      <c r="U1246" s="1489"/>
      <c r="V1246" s="1489"/>
      <c r="W1246" s="1489"/>
      <c r="X1246" s="1489"/>
      <c r="Y1246" s="1489"/>
      <c r="Z1246" s="1489"/>
      <c r="AA1246" s="1489"/>
      <c r="AB1246" s="1489"/>
      <c r="AC1246" s="1489"/>
      <c r="AD1246" s="1489"/>
      <c r="AE1246" s="1489"/>
      <c r="AF1246" s="1489"/>
      <c r="AG1246" s="1489"/>
      <c r="AH1246" s="1489"/>
      <c r="AI1246" s="1489"/>
      <c r="AJ1246" s="1489"/>
      <c r="AK1246" s="1489"/>
      <c r="AL1246" s="1489"/>
      <c r="AM1246" s="1489"/>
      <c r="AN1246" s="1489"/>
      <c r="AO1246" s="1489"/>
      <c r="AP1246" s="1489"/>
      <c r="AQ1246" s="1489"/>
      <c r="AR1246" s="1488"/>
      <c r="AS1246" s="1488"/>
      <c r="AT1246" s="1488"/>
      <c r="AU1246" s="1488"/>
      <c r="AV1246" s="1488"/>
      <c r="AW1246" s="1488"/>
      <c r="AX1246" s="1488"/>
      <c r="AY1246" s="1488"/>
    </row>
    <row r="1247" spans="3:51" s="1502" customFormat="1">
      <c r="C1247" s="1498"/>
      <c r="D1247" s="1501"/>
      <c r="E1247" s="1500"/>
      <c r="F1247" s="814"/>
      <c r="G1247" s="1494"/>
      <c r="H1247" s="1493"/>
      <c r="I1247" s="1493"/>
      <c r="J1247" s="813"/>
      <c r="K1247" s="814"/>
      <c r="L1247" s="1499"/>
      <c r="M1247" s="1488"/>
      <c r="N1247" s="1488"/>
      <c r="O1247" s="1488"/>
      <c r="P1247" s="1488"/>
      <c r="Q1247" s="1489"/>
      <c r="R1247" s="1489"/>
      <c r="S1247" s="1489"/>
      <c r="T1247" s="1489"/>
      <c r="U1247" s="1489"/>
      <c r="V1247" s="1489"/>
      <c r="W1247" s="1489"/>
      <c r="X1247" s="1489"/>
      <c r="Y1247" s="1489"/>
      <c r="Z1247" s="1489"/>
      <c r="AA1247" s="1489"/>
      <c r="AB1247" s="1489"/>
      <c r="AC1247" s="1489"/>
      <c r="AD1247" s="1489"/>
      <c r="AE1247" s="1489"/>
      <c r="AF1247" s="1489"/>
      <c r="AG1247" s="1489"/>
      <c r="AH1247" s="1489"/>
      <c r="AI1247" s="1489"/>
      <c r="AJ1247" s="1489"/>
      <c r="AK1247" s="1489"/>
      <c r="AL1247" s="1489"/>
      <c r="AM1247" s="1489"/>
      <c r="AN1247" s="1489"/>
      <c r="AO1247" s="1489"/>
      <c r="AP1247" s="1489"/>
      <c r="AQ1247" s="1489"/>
      <c r="AR1247" s="1488"/>
      <c r="AS1247" s="1488"/>
      <c r="AT1247" s="1488"/>
      <c r="AU1247" s="1488"/>
      <c r="AV1247" s="1488"/>
      <c r="AW1247" s="1488"/>
      <c r="AX1247" s="1488"/>
      <c r="AY1247" s="1488"/>
    </row>
    <row r="1248" spans="3:51" s="1502" customFormat="1">
      <c r="C1248" s="1498"/>
      <c r="D1248" s="1501"/>
      <c r="E1248" s="1500"/>
      <c r="F1248" s="814"/>
      <c r="G1248" s="1494"/>
      <c r="H1248" s="1493"/>
      <c r="I1248" s="1493"/>
      <c r="J1248" s="813"/>
      <c r="K1248" s="814"/>
      <c r="L1248" s="1499"/>
      <c r="M1248" s="1488"/>
      <c r="N1248" s="1488"/>
      <c r="O1248" s="1488"/>
      <c r="P1248" s="1488"/>
      <c r="Q1248" s="1489"/>
      <c r="R1248" s="1489"/>
      <c r="S1248" s="1489"/>
      <c r="T1248" s="1489"/>
      <c r="U1248" s="1489"/>
      <c r="V1248" s="1489"/>
      <c r="W1248" s="1489"/>
      <c r="X1248" s="1489"/>
      <c r="Y1248" s="1489"/>
      <c r="Z1248" s="1489"/>
      <c r="AA1248" s="1489"/>
      <c r="AB1248" s="1489"/>
      <c r="AC1248" s="1489"/>
      <c r="AD1248" s="1489"/>
      <c r="AE1248" s="1489"/>
      <c r="AF1248" s="1489"/>
      <c r="AG1248" s="1489"/>
      <c r="AH1248" s="1489"/>
      <c r="AI1248" s="1489"/>
      <c r="AJ1248" s="1489"/>
      <c r="AK1248" s="1489"/>
      <c r="AL1248" s="1489"/>
      <c r="AM1248" s="1489"/>
      <c r="AN1248" s="1489"/>
      <c r="AO1248" s="1489"/>
      <c r="AP1248" s="1489"/>
      <c r="AQ1248" s="1489"/>
      <c r="AR1248" s="1488"/>
      <c r="AS1248" s="1488"/>
      <c r="AT1248" s="1488"/>
      <c r="AU1248" s="1488"/>
      <c r="AV1248" s="1488"/>
      <c r="AW1248" s="1488"/>
      <c r="AX1248" s="1488"/>
      <c r="AY1248" s="1488"/>
    </row>
    <row r="1249" spans="3:51" s="1502" customFormat="1">
      <c r="C1249" s="1498"/>
      <c r="D1249" s="1501"/>
      <c r="E1249" s="1500"/>
      <c r="F1249" s="814"/>
      <c r="G1249" s="1494"/>
      <c r="H1249" s="1493"/>
      <c r="I1249" s="1493"/>
      <c r="J1249" s="813"/>
      <c r="K1249" s="814"/>
      <c r="L1249" s="1499"/>
      <c r="M1249" s="1488"/>
      <c r="N1249" s="1488"/>
      <c r="O1249" s="1488"/>
      <c r="P1249" s="1488"/>
      <c r="Q1249" s="1489"/>
      <c r="R1249" s="1489"/>
      <c r="S1249" s="1489"/>
      <c r="T1249" s="1489"/>
      <c r="U1249" s="1489"/>
      <c r="V1249" s="1489"/>
      <c r="W1249" s="1489"/>
      <c r="X1249" s="1489"/>
      <c r="Y1249" s="1489"/>
      <c r="Z1249" s="1489"/>
      <c r="AA1249" s="1489"/>
      <c r="AB1249" s="1489"/>
      <c r="AC1249" s="1489"/>
      <c r="AD1249" s="1489"/>
      <c r="AE1249" s="1489"/>
      <c r="AF1249" s="1489"/>
      <c r="AG1249" s="1489"/>
      <c r="AH1249" s="1489"/>
      <c r="AI1249" s="1489"/>
      <c r="AJ1249" s="1489"/>
      <c r="AK1249" s="1489"/>
      <c r="AL1249" s="1489"/>
      <c r="AM1249" s="1489"/>
      <c r="AN1249" s="1489"/>
      <c r="AO1249" s="1489"/>
      <c r="AP1249" s="1489"/>
      <c r="AQ1249" s="1489"/>
      <c r="AR1249" s="1488"/>
      <c r="AS1249" s="1488"/>
      <c r="AT1249" s="1488"/>
      <c r="AU1249" s="1488"/>
      <c r="AV1249" s="1488"/>
      <c r="AW1249" s="1488"/>
      <c r="AX1249" s="1488"/>
      <c r="AY1249" s="1488"/>
    </row>
    <row r="1250" spans="3:51" s="1502" customFormat="1">
      <c r="C1250" s="1498"/>
      <c r="D1250" s="1501"/>
      <c r="E1250" s="1500"/>
      <c r="F1250" s="814"/>
      <c r="G1250" s="1494"/>
      <c r="H1250" s="1493"/>
      <c r="I1250" s="1493"/>
      <c r="J1250" s="813"/>
      <c r="K1250" s="814"/>
      <c r="L1250" s="1499"/>
      <c r="M1250" s="1488"/>
      <c r="N1250" s="1488"/>
      <c r="O1250" s="1488"/>
      <c r="P1250" s="1488"/>
      <c r="Q1250" s="1489"/>
      <c r="R1250" s="1489"/>
      <c r="S1250" s="1489"/>
      <c r="T1250" s="1489"/>
      <c r="U1250" s="1489"/>
      <c r="V1250" s="1489"/>
      <c r="W1250" s="1489"/>
      <c r="X1250" s="1489"/>
      <c r="Y1250" s="1489"/>
      <c r="Z1250" s="1489"/>
      <c r="AA1250" s="1489"/>
      <c r="AB1250" s="1489"/>
      <c r="AC1250" s="1489"/>
      <c r="AD1250" s="1489"/>
      <c r="AE1250" s="1489"/>
      <c r="AF1250" s="1489"/>
      <c r="AG1250" s="1489"/>
      <c r="AH1250" s="1489"/>
      <c r="AI1250" s="1489"/>
      <c r="AJ1250" s="1489"/>
      <c r="AK1250" s="1489"/>
      <c r="AL1250" s="1489"/>
      <c r="AM1250" s="1489"/>
      <c r="AN1250" s="1489"/>
      <c r="AO1250" s="1489"/>
      <c r="AP1250" s="1489"/>
      <c r="AQ1250" s="1489"/>
      <c r="AR1250" s="1488"/>
      <c r="AS1250" s="1488"/>
      <c r="AT1250" s="1488"/>
      <c r="AU1250" s="1488"/>
      <c r="AV1250" s="1488"/>
      <c r="AW1250" s="1488"/>
      <c r="AX1250" s="1488"/>
      <c r="AY1250" s="1488"/>
    </row>
    <row r="1251" spans="3:51" s="1502" customFormat="1">
      <c r="C1251" s="1498"/>
      <c r="D1251" s="1501"/>
      <c r="E1251" s="1500"/>
      <c r="F1251" s="814"/>
      <c r="G1251" s="1494"/>
      <c r="H1251" s="1493"/>
      <c r="I1251" s="1493"/>
      <c r="J1251" s="813"/>
      <c r="K1251" s="814"/>
      <c r="L1251" s="1499"/>
      <c r="M1251" s="1488"/>
      <c r="N1251" s="1488"/>
      <c r="O1251" s="1488"/>
      <c r="P1251" s="1488"/>
      <c r="Q1251" s="1489"/>
      <c r="R1251" s="1489"/>
      <c r="S1251" s="1489"/>
      <c r="T1251" s="1489"/>
      <c r="U1251" s="1489"/>
      <c r="V1251" s="1489"/>
      <c r="W1251" s="1489"/>
      <c r="X1251" s="1489"/>
      <c r="Y1251" s="1489"/>
      <c r="Z1251" s="1489"/>
      <c r="AA1251" s="1489"/>
      <c r="AB1251" s="1489"/>
      <c r="AC1251" s="1489"/>
      <c r="AD1251" s="1489"/>
      <c r="AE1251" s="1489"/>
      <c r="AF1251" s="1489"/>
      <c r="AG1251" s="1489"/>
      <c r="AH1251" s="1489"/>
      <c r="AI1251" s="1489"/>
      <c r="AJ1251" s="1489"/>
      <c r="AK1251" s="1489"/>
      <c r="AL1251" s="1489"/>
      <c r="AM1251" s="1489"/>
      <c r="AN1251" s="1489"/>
      <c r="AO1251" s="1489"/>
      <c r="AP1251" s="1489"/>
      <c r="AQ1251" s="1489"/>
      <c r="AR1251" s="1488"/>
      <c r="AS1251" s="1488"/>
      <c r="AT1251" s="1488"/>
      <c r="AU1251" s="1488"/>
      <c r="AV1251" s="1488"/>
      <c r="AW1251" s="1488"/>
      <c r="AX1251" s="1488"/>
      <c r="AY1251" s="1488"/>
    </row>
    <row r="1252" spans="3:51" s="1502" customFormat="1">
      <c r="C1252" s="1498"/>
      <c r="D1252" s="1501"/>
      <c r="E1252" s="1500"/>
      <c r="F1252" s="814"/>
      <c r="G1252" s="1494"/>
      <c r="H1252" s="1493"/>
      <c r="I1252" s="1493"/>
      <c r="J1252" s="813"/>
      <c r="K1252" s="814"/>
      <c r="L1252" s="1499"/>
      <c r="M1252" s="1488"/>
      <c r="N1252" s="1488"/>
      <c r="O1252" s="1488"/>
      <c r="P1252" s="1488"/>
      <c r="Q1252" s="1489"/>
      <c r="R1252" s="1489"/>
      <c r="S1252" s="1489"/>
      <c r="T1252" s="1489"/>
      <c r="U1252" s="1489"/>
      <c r="V1252" s="1489"/>
      <c r="W1252" s="1489"/>
      <c r="X1252" s="1489"/>
      <c r="Y1252" s="1489"/>
      <c r="Z1252" s="1489"/>
      <c r="AA1252" s="1489"/>
      <c r="AB1252" s="1489"/>
      <c r="AC1252" s="1489"/>
      <c r="AD1252" s="1489"/>
      <c r="AE1252" s="1489"/>
      <c r="AF1252" s="1489"/>
      <c r="AG1252" s="1489"/>
      <c r="AH1252" s="1489"/>
      <c r="AI1252" s="1489"/>
      <c r="AJ1252" s="1489"/>
      <c r="AK1252" s="1489"/>
      <c r="AL1252" s="1489"/>
      <c r="AM1252" s="1489"/>
      <c r="AN1252" s="1489"/>
      <c r="AO1252" s="1489"/>
      <c r="AP1252" s="1489"/>
      <c r="AQ1252" s="1489"/>
      <c r="AR1252" s="1488"/>
      <c r="AS1252" s="1488"/>
      <c r="AT1252" s="1488"/>
      <c r="AU1252" s="1488"/>
      <c r="AV1252" s="1488"/>
      <c r="AW1252" s="1488"/>
      <c r="AX1252" s="1488"/>
      <c r="AY1252" s="1488"/>
    </row>
    <row r="1253" spans="3:51" s="1502" customFormat="1">
      <c r="C1253" s="1498"/>
      <c r="D1253" s="1501"/>
      <c r="E1253" s="1500"/>
      <c r="F1253" s="814"/>
      <c r="G1253" s="1494"/>
      <c r="H1253" s="1493"/>
      <c r="I1253" s="1493"/>
      <c r="J1253" s="813"/>
      <c r="K1253" s="814"/>
      <c r="L1253" s="1499"/>
      <c r="M1253" s="1488"/>
      <c r="N1253" s="1488"/>
      <c r="O1253" s="1488"/>
      <c r="P1253" s="1488"/>
      <c r="Q1253" s="1489"/>
      <c r="R1253" s="1489"/>
      <c r="S1253" s="1489"/>
      <c r="T1253" s="1489"/>
      <c r="U1253" s="1489"/>
      <c r="V1253" s="1489"/>
      <c r="W1253" s="1489"/>
      <c r="X1253" s="1489"/>
      <c r="Y1253" s="1489"/>
      <c r="Z1253" s="1489"/>
      <c r="AA1253" s="1489"/>
      <c r="AB1253" s="1489"/>
      <c r="AC1253" s="1489"/>
      <c r="AD1253" s="1489"/>
      <c r="AE1253" s="1489"/>
      <c r="AF1253" s="1489"/>
      <c r="AG1253" s="1489"/>
      <c r="AH1253" s="1489"/>
      <c r="AI1253" s="1489"/>
      <c r="AJ1253" s="1489"/>
      <c r="AK1253" s="1489"/>
      <c r="AL1253" s="1489"/>
      <c r="AM1253" s="1489"/>
      <c r="AN1253" s="1489"/>
      <c r="AO1253" s="1489"/>
      <c r="AP1253" s="1489"/>
      <c r="AQ1253" s="1489"/>
      <c r="AR1253" s="1488"/>
      <c r="AS1253" s="1488"/>
      <c r="AT1253" s="1488"/>
      <c r="AU1253" s="1488"/>
      <c r="AV1253" s="1488"/>
      <c r="AW1253" s="1488"/>
      <c r="AX1253" s="1488"/>
      <c r="AY1253" s="1488"/>
    </row>
    <row r="1254" spans="3:51" s="1502" customFormat="1">
      <c r="C1254" s="1498"/>
      <c r="D1254" s="1501"/>
      <c r="E1254" s="1500"/>
      <c r="F1254" s="814"/>
      <c r="G1254" s="1494"/>
      <c r="H1254" s="1493"/>
      <c r="I1254" s="1493"/>
      <c r="J1254" s="813"/>
      <c r="K1254" s="814"/>
      <c r="L1254" s="1499"/>
      <c r="M1254" s="1488"/>
      <c r="N1254" s="1488"/>
      <c r="O1254" s="1488"/>
      <c r="P1254" s="1488"/>
      <c r="Q1254" s="1489"/>
      <c r="R1254" s="1489"/>
      <c r="S1254" s="1489"/>
      <c r="T1254" s="1489"/>
      <c r="U1254" s="1489"/>
      <c r="V1254" s="1489"/>
      <c r="W1254" s="1489"/>
      <c r="X1254" s="1489"/>
      <c r="Y1254" s="1489"/>
      <c r="Z1254" s="1489"/>
      <c r="AA1254" s="1489"/>
      <c r="AB1254" s="1489"/>
      <c r="AC1254" s="1489"/>
      <c r="AD1254" s="1489"/>
      <c r="AE1254" s="1489"/>
      <c r="AF1254" s="1489"/>
      <c r="AG1254" s="1489"/>
      <c r="AH1254" s="1489"/>
      <c r="AI1254" s="1489"/>
      <c r="AJ1254" s="1489"/>
      <c r="AK1254" s="1489"/>
      <c r="AL1254" s="1489"/>
      <c r="AM1254" s="1489"/>
      <c r="AN1254" s="1489"/>
      <c r="AO1254" s="1489"/>
      <c r="AP1254" s="1489"/>
      <c r="AQ1254" s="1489"/>
      <c r="AR1254" s="1488"/>
      <c r="AS1254" s="1488"/>
      <c r="AT1254" s="1488"/>
      <c r="AU1254" s="1488"/>
      <c r="AV1254" s="1488"/>
      <c r="AW1254" s="1488"/>
      <c r="AX1254" s="1488"/>
      <c r="AY1254" s="1488"/>
    </row>
    <row r="1255" spans="3:51" s="1502" customFormat="1">
      <c r="C1255" s="1498"/>
      <c r="D1255" s="1501"/>
      <c r="E1255" s="1500"/>
      <c r="F1255" s="814"/>
      <c r="G1255" s="1494"/>
      <c r="H1255" s="1493"/>
      <c r="I1255" s="1493"/>
      <c r="J1255" s="813"/>
      <c r="K1255" s="814"/>
      <c r="L1255" s="1499"/>
      <c r="M1255" s="1488"/>
      <c r="N1255" s="1488"/>
      <c r="O1255" s="1488"/>
      <c r="P1255" s="1488"/>
      <c r="Q1255" s="1489"/>
      <c r="R1255" s="1489"/>
      <c r="S1255" s="1489"/>
      <c r="T1255" s="1489"/>
      <c r="U1255" s="1489"/>
      <c r="V1255" s="1489"/>
      <c r="W1255" s="1489"/>
      <c r="X1255" s="1489"/>
      <c r="Y1255" s="1489"/>
      <c r="Z1255" s="1489"/>
      <c r="AA1255" s="1489"/>
      <c r="AB1255" s="1489"/>
      <c r="AC1255" s="1489"/>
      <c r="AD1255" s="1489"/>
      <c r="AE1255" s="1489"/>
      <c r="AF1255" s="1489"/>
      <c r="AG1255" s="1489"/>
      <c r="AH1255" s="1489"/>
      <c r="AI1255" s="1489"/>
      <c r="AJ1255" s="1489"/>
      <c r="AK1255" s="1489"/>
      <c r="AL1255" s="1489"/>
      <c r="AM1255" s="1489"/>
      <c r="AN1255" s="1489"/>
      <c r="AO1255" s="1489"/>
      <c r="AP1255" s="1489"/>
      <c r="AQ1255" s="1489"/>
      <c r="AR1255" s="1488"/>
      <c r="AS1255" s="1488"/>
      <c r="AT1255" s="1488"/>
      <c r="AU1255" s="1488"/>
      <c r="AV1255" s="1488"/>
      <c r="AW1255" s="1488"/>
      <c r="AX1255" s="1488"/>
      <c r="AY1255" s="1488"/>
    </row>
    <row r="1256" spans="3:51" s="1502" customFormat="1">
      <c r="C1256" s="1498"/>
      <c r="D1256" s="1501"/>
      <c r="E1256" s="1500"/>
      <c r="F1256" s="814"/>
      <c r="G1256" s="1494"/>
      <c r="H1256" s="1493"/>
      <c r="I1256" s="1493"/>
      <c r="J1256" s="813"/>
      <c r="K1256" s="814"/>
      <c r="L1256" s="1499"/>
      <c r="M1256" s="1488"/>
      <c r="N1256" s="1488"/>
      <c r="O1256" s="1488"/>
      <c r="P1256" s="1488"/>
      <c r="Q1256" s="1489"/>
      <c r="R1256" s="1489"/>
      <c r="S1256" s="1489"/>
      <c r="T1256" s="1489"/>
      <c r="U1256" s="1489"/>
      <c r="V1256" s="1489"/>
      <c r="W1256" s="1489"/>
      <c r="X1256" s="1489"/>
      <c r="Y1256" s="1489"/>
      <c r="Z1256" s="1489"/>
      <c r="AA1256" s="1489"/>
      <c r="AB1256" s="1489"/>
      <c r="AC1256" s="1489"/>
      <c r="AD1256" s="1489"/>
      <c r="AE1256" s="1489"/>
      <c r="AF1256" s="1489"/>
      <c r="AG1256" s="1489"/>
      <c r="AH1256" s="1489"/>
      <c r="AI1256" s="1489"/>
      <c r="AJ1256" s="1489"/>
      <c r="AK1256" s="1489"/>
      <c r="AL1256" s="1489"/>
      <c r="AM1256" s="1489"/>
      <c r="AN1256" s="1489"/>
      <c r="AO1256" s="1489"/>
      <c r="AP1256" s="1489"/>
      <c r="AQ1256" s="1489"/>
      <c r="AR1256" s="1488"/>
      <c r="AS1256" s="1488"/>
      <c r="AT1256" s="1488"/>
      <c r="AU1256" s="1488"/>
      <c r="AV1256" s="1488"/>
      <c r="AW1256" s="1488"/>
      <c r="AX1256" s="1488"/>
      <c r="AY1256" s="1488"/>
    </row>
    <row r="1257" spans="3:51" s="1502" customFormat="1">
      <c r="C1257" s="1498"/>
      <c r="D1257" s="1501"/>
      <c r="E1257" s="1500"/>
      <c r="F1257" s="814"/>
      <c r="G1257" s="1494"/>
      <c r="H1257" s="1493"/>
      <c r="I1257" s="1493"/>
      <c r="J1257" s="813"/>
      <c r="K1257" s="814"/>
      <c r="L1257" s="1499"/>
      <c r="M1257" s="1488"/>
      <c r="N1257" s="1488"/>
      <c r="O1257" s="1488"/>
      <c r="P1257" s="1488"/>
      <c r="Q1257" s="1489"/>
      <c r="R1257" s="1489"/>
      <c r="S1257" s="1489"/>
      <c r="T1257" s="1489"/>
      <c r="U1257" s="1489"/>
      <c r="V1257" s="1489"/>
      <c r="W1257" s="1489"/>
      <c r="X1257" s="1489"/>
      <c r="Y1257" s="1489"/>
      <c r="Z1257" s="1489"/>
      <c r="AA1257" s="1489"/>
      <c r="AB1257" s="1489"/>
      <c r="AC1257" s="1489"/>
      <c r="AD1257" s="1489"/>
      <c r="AE1257" s="1489"/>
      <c r="AF1257" s="1489"/>
      <c r="AG1257" s="1489"/>
      <c r="AH1257" s="1489"/>
      <c r="AI1257" s="1489"/>
      <c r="AJ1257" s="1489"/>
      <c r="AK1257" s="1489"/>
      <c r="AL1257" s="1489"/>
      <c r="AM1257" s="1489"/>
      <c r="AN1257" s="1489"/>
      <c r="AO1257" s="1489"/>
      <c r="AP1257" s="1489"/>
      <c r="AQ1257" s="1489"/>
      <c r="AR1257" s="1488"/>
      <c r="AS1257" s="1488"/>
      <c r="AT1257" s="1488"/>
      <c r="AU1257" s="1488"/>
      <c r="AV1257" s="1488"/>
      <c r="AW1257" s="1488"/>
      <c r="AX1257" s="1488"/>
      <c r="AY1257" s="1488"/>
    </row>
    <row r="1258" spans="3:51" s="1502" customFormat="1">
      <c r="C1258" s="1498"/>
      <c r="D1258" s="1501"/>
      <c r="E1258" s="1500"/>
      <c r="F1258" s="814"/>
      <c r="G1258" s="1494"/>
      <c r="H1258" s="1493"/>
      <c r="I1258" s="1493"/>
      <c r="J1258" s="813"/>
      <c r="K1258" s="814"/>
      <c r="L1258" s="1499"/>
      <c r="M1258" s="1488"/>
      <c r="N1258" s="1488"/>
      <c r="O1258" s="1488"/>
      <c r="P1258" s="1488"/>
      <c r="Q1258" s="1489"/>
      <c r="R1258" s="1489"/>
      <c r="S1258" s="1489"/>
      <c r="T1258" s="1489"/>
      <c r="U1258" s="1489"/>
      <c r="V1258" s="1489"/>
      <c r="W1258" s="1489"/>
      <c r="X1258" s="1489"/>
      <c r="Y1258" s="1489"/>
      <c r="Z1258" s="1489"/>
      <c r="AA1258" s="1489"/>
      <c r="AB1258" s="1489"/>
      <c r="AC1258" s="1489"/>
      <c r="AD1258" s="1489"/>
      <c r="AE1258" s="1489"/>
      <c r="AF1258" s="1489"/>
      <c r="AG1258" s="1489"/>
      <c r="AH1258" s="1489"/>
      <c r="AI1258" s="1489"/>
      <c r="AJ1258" s="1489"/>
      <c r="AK1258" s="1489"/>
      <c r="AL1258" s="1489"/>
      <c r="AM1258" s="1489"/>
      <c r="AN1258" s="1489"/>
      <c r="AO1258" s="1489"/>
      <c r="AP1258" s="1489"/>
      <c r="AQ1258" s="1489"/>
      <c r="AR1258" s="1488"/>
      <c r="AS1258" s="1488"/>
      <c r="AT1258" s="1488"/>
      <c r="AU1258" s="1488"/>
      <c r="AV1258" s="1488"/>
      <c r="AW1258" s="1488"/>
      <c r="AX1258" s="1488"/>
      <c r="AY1258" s="1488"/>
    </row>
    <row r="1259" spans="3:51" s="1502" customFormat="1">
      <c r="C1259" s="1498"/>
      <c r="D1259" s="1501"/>
      <c r="E1259" s="1500"/>
      <c r="F1259" s="814"/>
      <c r="G1259" s="1494"/>
      <c r="H1259" s="1493"/>
      <c r="I1259" s="1493"/>
      <c r="J1259" s="813"/>
      <c r="K1259" s="814"/>
      <c r="L1259" s="1499"/>
      <c r="M1259" s="1488"/>
      <c r="N1259" s="1488"/>
      <c r="O1259" s="1488"/>
      <c r="P1259" s="1488"/>
      <c r="Q1259" s="1489"/>
      <c r="R1259" s="1489"/>
      <c r="S1259" s="1489"/>
      <c r="T1259" s="1489"/>
      <c r="U1259" s="1489"/>
      <c r="V1259" s="1489"/>
      <c r="W1259" s="1489"/>
      <c r="X1259" s="1489"/>
      <c r="Y1259" s="1489"/>
      <c r="Z1259" s="1489"/>
      <c r="AA1259" s="1489"/>
      <c r="AB1259" s="1489"/>
      <c r="AC1259" s="1489"/>
      <c r="AD1259" s="1489"/>
      <c r="AE1259" s="1489"/>
      <c r="AF1259" s="1489"/>
      <c r="AG1259" s="1489"/>
      <c r="AH1259" s="1489"/>
      <c r="AI1259" s="1489"/>
      <c r="AJ1259" s="1489"/>
      <c r="AK1259" s="1489"/>
      <c r="AL1259" s="1489"/>
      <c r="AM1259" s="1489"/>
      <c r="AN1259" s="1489"/>
      <c r="AO1259" s="1489"/>
      <c r="AP1259" s="1489"/>
      <c r="AQ1259" s="1489"/>
      <c r="AR1259" s="1488"/>
      <c r="AS1259" s="1488"/>
      <c r="AT1259" s="1488"/>
      <c r="AU1259" s="1488"/>
      <c r="AV1259" s="1488"/>
      <c r="AW1259" s="1488"/>
      <c r="AX1259" s="1488"/>
      <c r="AY1259" s="1488"/>
    </row>
    <row r="1260" spans="3:51" s="1502" customFormat="1">
      <c r="C1260" s="1498"/>
      <c r="D1260" s="1501"/>
      <c r="E1260" s="1500"/>
      <c r="F1260" s="814"/>
      <c r="G1260" s="1494"/>
      <c r="H1260" s="1493"/>
      <c r="I1260" s="1493"/>
      <c r="J1260" s="813"/>
      <c r="K1260" s="814"/>
      <c r="L1260" s="1499"/>
      <c r="M1260" s="1488"/>
      <c r="N1260" s="1488"/>
      <c r="O1260" s="1488"/>
      <c r="P1260" s="1488"/>
      <c r="Q1260" s="1489"/>
      <c r="R1260" s="1489"/>
      <c r="S1260" s="1489"/>
      <c r="T1260" s="1489"/>
      <c r="U1260" s="1489"/>
      <c r="V1260" s="1489"/>
      <c r="W1260" s="1489"/>
      <c r="X1260" s="1489"/>
      <c r="Y1260" s="1489"/>
      <c r="Z1260" s="1489"/>
      <c r="AA1260" s="1489"/>
      <c r="AB1260" s="1489"/>
      <c r="AC1260" s="1489"/>
      <c r="AD1260" s="1489"/>
      <c r="AE1260" s="1489"/>
      <c r="AF1260" s="1489"/>
      <c r="AG1260" s="1489"/>
      <c r="AH1260" s="1489"/>
      <c r="AI1260" s="1489"/>
      <c r="AJ1260" s="1489"/>
      <c r="AK1260" s="1489"/>
      <c r="AL1260" s="1489"/>
      <c r="AM1260" s="1489"/>
      <c r="AN1260" s="1489"/>
      <c r="AO1260" s="1489"/>
      <c r="AP1260" s="1489"/>
      <c r="AQ1260" s="1489"/>
      <c r="AR1260" s="1488"/>
      <c r="AS1260" s="1488"/>
      <c r="AT1260" s="1488"/>
      <c r="AU1260" s="1488"/>
      <c r="AV1260" s="1488"/>
      <c r="AW1260" s="1488"/>
      <c r="AX1260" s="1488"/>
      <c r="AY1260" s="1488"/>
    </row>
    <row r="1261" spans="3:51" s="1502" customFormat="1">
      <c r="C1261" s="1498"/>
      <c r="D1261" s="1501"/>
      <c r="E1261" s="1500"/>
      <c r="F1261" s="814"/>
      <c r="G1261" s="1494"/>
      <c r="H1261" s="1493"/>
      <c r="I1261" s="1493"/>
      <c r="J1261" s="813"/>
      <c r="K1261" s="814"/>
      <c r="L1261" s="1499"/>
      <c r="M1261" s="1488"/>
      <c r="N1261" s="1488"/>
      <c r="O1261" s="1488"/>
      <c r="P1261" s="1488"/>
      <c r="Q1261" s="1489"/>
      <c r="R1261" s="1489"/>
      <c r="S1261" s="1489"/>
      <c r="T1261" s="1489"/>
      <c r="U1261" s="1489"/>
      <c r="V1261" s="1489"/>
      <c r="W1261" s="1489"/>
      <c r="X1261" s="1489"/>
      <c r="Y1261" s="1489"/>
      <c r="Z1261" s="1489"/>
      <c r="AA1261" s="1489"/>
      <c r="AB1261" s="1489"/>
      <c r="AC1261" s="1489"/>
      <c r="AD1261" s="1489"/>
      <c r="AE1261" s="1489"/>
      <c r="AF1261" s="1489"/>
      <c r="AG1261" s="1489"/>
      <c r="AH1261" s="1489"/>
      <c r="AI1261" s="1489"/>
      <c r="AJ1261" s="1489"/>
      <c r="AK1261" s="1489"/>
      <c r="AL1261" s="1489"/>
      <c r="AM1261" s="1489"/>
      <c r="AN1261" s="1489"/>
      <c r="AO1261" s="1489"/>
      <c r="AP1261" s="1489"/>
      <c r="AQ1261" s="1489"/>
      <c r="AR1261" s="1488"/>
      <c r="AS1261" s="1488"/>
      <c r="AT1261" s="1488"/>
      <c r="AU1261" s="1488"/>
      <c r="AV1261" s="1488"/>
      <c r="AW1261" s="1488"/>
      <c r="AX1261" s="1488"/>
      <c r="AY1261" s="1488"/>
    </row>
    <row r="1262" spans="3:51" s="1502" customFormat="1">
      <c r="C1262" s="1498"/>
      <c r="D1262" s="1501"/>
      <c r="E1262" s="1500"/>
      <c r="F1262" s="814"/>
      <c r="G1262" s="1494"/>
      <c r="H1262" s="1493"/>
      <c r="I1262" s="1493"/>
      <c r="J1262" s="813"/>
      <c r="K1262" s="814"/>
      <c r="L1262" s="1499"/>
      <c r="M1262" s="1488"/>
      <c r="N1262" s="1488"/>
      <c r="O1262" s="1488"/>
      <c r="P1262" s="1488"/>
      <c r="Q1262" s="1489"/>
      <c r="R1262" s="1489"/>
      <c r="S1262" s="1489"/>
      <c r="T1262" s="1489"/>
      <c r="U1262" s="1489"/>
      <c r="V1262" s="1489"/>
      <c r="W1262" s="1489"/>
      <c r="X1262" s="1489"/>
      <c r="Y1262" s="1489"/>
      <c r="Z1262" s="1489"/>
      <c r="AA1262" s="1489"/>
      <c r="AB1262" s="1489"/>
      <c r="AC1262" s="1489"/>
      <c r="AD1262" s="1489"/>
      <c r="AE1262" s="1489"/>
      <c r="AF1262" s="1489"/>
      <c r="AG1262" s="1489"/>
      <c r="AH1262" s="1489"/>
      <c r="AI1262" s="1489"/>
      <c r="AJ1262" s="1489"/>
      <c r="AK1262" s="1489"/>
      <c r="AL1262" s="1489"/>
      <c r="AM1262" s="1489"/>
      <c r="AN1262" s="1489"/>
      <c r="AO1262" s="1489"/>
      <c r="AP1262" s="1489"/>
      <c r="AQ1262" s="1489"/>
      <c r="AR1262" s="1488"/>
      <c r="AS1262" s="1488"/>
      <c r="AT1262" s="1488"/>
      <c r="AU1262" s="1488"/>
      <c r="AV1262" s="1488"/>
      <c r="AW1262" s="1488"/>
      <c r="AX1262" s="1488"/>
      <c r="AY1262" s="1488"/>
    </row>
    <row r="1263" spans="3:51" s="1502" customFormat="1">
      <c r="C1263" s="1498"/>
      <c r="D1263" s="1501"/>
      <c r="E1263" s="1500"/>
      <c r="F1263" s="814"/>
      <c r="G1263" s="1494"/>
      <c r="H1263" s="1493"/>
      <c r="I1263" s="1493"/>
      <c r="J1263" s="813"/>
      <c r="K1263" s="814"/>
      <c r="L1263" s="1499"/>
      <c r="M1263" s="1488"/>
      <c r="N1263" s="1488"/>
      <c r="O1263" s="1488"/>
      <c r="P1263" s="1488"/>
      <c r="Q1263" s="1489"/>
      <c r="R1263" s="1489"/>
      <c r="S1263" s="1489"/>
      <c r="T1263" s="1489"/>
      <c r="U1263" s="1489"/>
      <c r="V1263" s="1489"/>
      <c r="W1263" s="1489"/>
      <c r="X1263" s="1489"/>
      <c r="Y1263" s="1489"/>
      <c r="Z1263" s="1489"/>
      <c r="AA1263" s="1489"/>
      <c r="AB1263" s="1489"/>
      <c r="AC1263" s="1489"/>
      <c r="AD1263" s="1489"/>
      <c r="AE1263" s="1489"/>
      <c r="AF1263" s="1489"/>
      <c r="AG1263" s="1489"/>
      <c r="AH1263" s="1489"/>
      <c r="AI1263" s="1489"/>
      <c r="AJ1263" s="1489"/>
      <c r="AK1263" s="1489"/>
      <c r="AL1263" s="1489"/>
      <c r="AM1263" s="1489"/>
      <c r="AN1263" s="1489"/>
      <c r="AO1263" s="1489"/>
      <c r="AP1263" s="1489"/>
      <c r="AQ1263" s="1489"/>
      <c r="AR1263" s="1488"/>
      <c r="AS1263" s="1488"/>
      <c r="AT1263" s="1488"/>
      <c r="AU1263" s="1488"/>
      <c r="AV1263" s="1488"/>
      <c r="AW1263" s="1488"/>
      <c r="AX1263" s="1488"/>
      <c r="AY1263" s="1488"/>
    </row>
    <row r="1264" spans="3:51" s="1502" customFormat="1">
      <c r="C1264" s="1498"/>
      <c r="D1264" s="1501"/>
      <c r="E1264" s="1500"/>
      <c r="F1264" s="814"/>
      <c r="G1264" s="1494"/>
      <c r="H1264" s="1493"/>
      <c r="I1264" s="1493"/>
      <c r="J1264" s="813"/>
      <c r="K1264" s="814"/>
      <c r="L1264" s="1499"/>
      <c r="M1264" s="1488"/>
      <c r="N1264" s="1488"/>
      <c r="O1264" s="1488"/>
      <c r="P1264" s="1488"/>
      <c r="Q1264" s="1489"/>
      <c r="R1264" s="1489"/>
      <c r="S1264" s="1489"/>
      <c r="T1264" s="1489"/>
      <c r="U1264" s="1489"/>
      <c r="V1264" s="1489"/>
      <c r="W1264" s="1489"/>
      <c r="X1264" s="1489"/>
      <c r="Y1264" s="1489"/>
      <c r="Z1264" s="1489"/>
      <c r="AA1264" s="1489"/>
      <c r="AB1264" s="1489"/>
      <c r="AC1264" s="1489"/>
      <c r="AD1264" s="1489"/>
      <c r="AE1264" s="1489"/>
      <c r="AF1264" s="1489"/>
      <c r="AG1264" s="1489"/>
      <c r="AH1264" s="1489"/>
      <c r="AI1264" s="1489"/>
      <c r="AJ1264" s="1489"/>
      <c r="AK1264" s="1489"/>
      <c r="AL1264" s="1489"/>
      <c r="AM1264" s="1489"/>
      <c r="AN1264" s="1489"/>
      <c r="AO1264" s="1489"/>
      <c r="AP1264" s="1489"/>
      <c r="AQ1264" s="1489"/>
      <c r="AR1264" s="1488"/>
      <c r="AS1264" s="1488"/>
      <c r="AT1264" s="1488"/>
      <c r="AU1264" s="1488"/>
      <c r="AV1264" s="1488"/>
      <c r="AW1264" s="1488"/>
      <c r="AX1264" s="1488"/>
      <c r="AY1264" s="1488"/>
    </row>
    <row r="1265" spans="3:51" s="1502" customFormat="1">
      <c r="C1265" s="1498"/>
      <c r="D1265" s="1501"/>
      <c r="E1265" s="1500"/>
      <c r="F1265" s="814"/>
      <c r="G1265" s="1494"/>
      <c r="H1265" s="1493"/>
      <c r="I1265" s="1493"/>
      <c r="J1265" s="813"/>
      <c r="K1265" s="814"/>
      <c r="L1265" s="1499"/>
      <c r="M1265" s="1488"/>
      <c r="N1265" s="1488"/>
      <c r="O1265" s="1488"/>
      <c r="P1265" s="1488"/>
      <c r="Q1265" s="1489"/>
      <c r="R1265" s="1489"/>
      <c r="S1265" s="1489"/>
      <c r="T1265" s="1489"/>
      <c r="U1265" s="1489"/>
      <c r="V1265" s="1489"/>
      <c r="W1265" s="1489"/>
      <c r="X1265" s="1489"/>
      <c r="Y1265" s="1489"/>
      <c r="Z1265" s="1489"/>
      <c r="AA1265" s="1489"/>
      <c r="AB1265" s="1489"/>
      <c r="AC1265" s="1489"/>
      <c r="AD1265" s="1489"/>
      <c r="AE1265" s="1489"/>
      <c r="AF1265" s="1489"/>
      <c r="AG1265" s="1489"/>
      <c r="AH1265" s="1489"/>
      <c r="AI1265" s="1489"/>
      <c r="AJ1265" s="1489"/>
      <c r="AK1265" s="1489"/>
      <c r="AL1265" s="1489"/>
      <c r="AM1265" s="1489"/>
      <c r="AN1265" s="1489"/>
      <c r="AO1265" s="1489"/>
      <c r="AP1265" s="1489"/>
      <c r="AQ1265" s="1489"/>
      <c r="AR1265" s="1488"/>
      <c r="AS1265" s="1488"/>
      <c r="AT1265" s="1488"/>
      <c r="AU1265" s="1488"/>
      <c r="AV1265" s="1488"/>
      <c r="AW1265" s="1488"/>
      <c r="AX1265" s="1488"/>
      <c r="AY1265" s="1488"/>
    </row>
    <row r="1266" spans="3:51" s="1502" customFormat="1">
      <c r="C1266" s="1498"/>
      <c r="D1266" s="1501"/>
      <c r="E1266" s="1500"/>
      <c r="F1266" s="814"/>
      <c r="G1266" s="1494"/>
      <c r="H1266" s="1493"/>
      <c r="I1266" s="1493"/>
      <c r="J1266" s="813"/>
      <c r="K1266" s="814"/>
      <c r="L1266" s="1499"/>
      <c r="M1266" s="1488"/>
      <c r="N1266" s="1488"/>
      <c r="O1266" s="1488"/>
      <c r="P1266" s="1488"/>
      <c r="Q1266" s="1489"/>
      <c r="R1266" s="1489"/>
      <c r="S1266" s="1489"/>
      <c r="T1266" s="1489"/>
      <c r="U1266" s="1489"/>
      <c r="V1266" s="1489"/>
      <c r="W1266" s="1489"/>
      <c r="X1266" s="1489"/>
      <c r="Y1266" s="1489"/>
      <c r="Z1266" s="1489"/>
      <c r="AA1266" s="1489"/>
      <c r="AB1266" s="1489"/>
      <c r="AC1266" s="1489"/>
      <c r="AD1266" s="1489"/>
      <c r="AE1266" s="1489"/>
      <c r="AF1266" s="1489"/>
      <c r="AG1266" s="1489"/>
      <c r="AH1266" s="1489"/>
      <c r="AI1266" s="1489"/>
      <c r="AJ1266" s="1489"/>
      <c r="AK1266" s="1489"/>
      <c r="AL1266" s="1489"/>
      <c r="AM1266" s="1489"/>
      <c r="AN1266" s="1489"/>
      <c r="AO1266" s="1489"/>
      <c r="AP1266" s="1489"/>
      <c r="AQ1266" s="1489"/>
      <c r="AR1266" s="1488"/>
      <c r="AS1266" s="1488"/>
      <c r="AT1266" s="1488"/>
      <c r="AU1266" s="1488"/>
      <c r="AV1266" s="1488"/>
      <c r="AW1266" s="1488"/>
      <c r="AX1266" s="1488"/>
      <c r="AY1266" s="1488"/>
    </row>
    <row r="1267" spans="3:51" s="1502" customFormat="1">
      <c r="C1267" s="1498"/>
      <c r="D1267" s="1501"/>
      <c r="E1267" s="1500"/>
      <c r="F1267" s="814"/>
      <c r="G1267" s="1494"/>
      <c r="H1267" s="1493"/>
      <c r="I1267" s="1493"/>
      <c r="J1267" s="813"/>
      <c r="K1267" s="814"/>
      <c r="L1267" s="1499"/>
      <c r="M1267" s="1488"/>
      <c r="N1267" s="1488"/>
      <c r="O1267" s="1488"/>
      <c r="P1267" s="1488"/>
      <c r="Q1267" s="1489"/>
      <c r="R1267" s="1489"/>
      <c r="S1267" s="1489"/>
      <c r="T1267" s="1489"/>
      <c r="U1267" s="1489"/>
      <c r="V1267" s="1489"/>
      <c r="W1267" s="1489"/>
      <c r="X1267" s="1489"/>
      <c r="Y1267" s="1489"/>
      <c r="Z1267" s="1489"/>
      <c r="AA1267" s="1489"/>
      <c r="AB1267" s="1489"/>
      <c r="AC1267" s="1489"/>
      <c r="AD1267" s="1489"/>
      <c r="AE1267" s="1489"/>
      <c r="AF1267" s="1489"/>
      <c r="AG1267" s="1489"/>
      <c r="AH1267" s="1489"/>
      <c r="AI1267" s="1489"/>
      <c r="AJ1267" s="1489"/>
      <c r="AK1267" s="1489"/>
      <c r="AL1267" s="1489"/>
      <c r="AM1267" s="1489"/>
      <c r="AN1267" s="1489"/>
      <c r="AO1267" s="1489"/>
      <c r="AP1267" s="1489"/>
      <c r="AQ1267" s="1489"/>
      <c r="AR1267" s="1488"/>
      <c r="AS1267" s="1488"/>
      <c r="AT1267" s="1488"/>
      <c r="AU1267" s="1488"/>
      <c r="AV1267" s="1488"/>
      <c r="AW1267" s="1488"/>
      <c r="AX1267" s="1488"/>
      <c r="AY1267" s="1488"/>
    </row>
    <row r="1268" spans="3:51" s="1502" customFormat="1">
      <c r="C1268" s="1498"/>
      <c r="D1268" s="1501"/>
      <c r="E1268" s="1500"/>
      <c r="F1268" s="814"/>
      <c r="G1268" s="1494"/>
      <c r="H1268" s="1493"/>
      <c r="I1268" s="1493"/>
      <c r="J1268" s="813"/>
      <c r="K1268" s="814"/>
      <c r="L1268" s="1499"/>
      <c r="M1268" s="1488"/>
      <c r="N1268" s="1488"/>
      <c r="O1268" s="1488"/>
      <c r="P1268" s="1488"/>
      <c r="Q1268" s="1489"/>
      <c r="R1268" s="1489"/>
      <c r="S1268" s="1489"/>
      <c r="T1268" s="1489"/>
      <c r="U1268" s="1489"/>
      <c r="V1268" s="1489"/>
      <c r="W1268" s="1489"/>
      <c r="X1268" s="1489"/>
      <c r="Y1268" s="1489"/>
      <c r="Z1268" s="1489"/>
      <c r="AA1268" s="1489"/>
      <c r="AB1268" s="1489"/>
      <c r="AC1268" s="1489"/>
      <c r="AD1268" s="1489"/>
      <c r="AE1268" s="1489"/>
      <c r="AF1268" s="1489"/>
      <c r="AG1268" s="1489"/>
      <c r="AH1268" s="1489"/>
      <c r="AI1268" s="1489"/>
      <c r="AJ1268" s="1489"/>
      <c r="AK1268" s="1489"/>
      <c r="AL1268" s="1489"/>
      <c r="AM1268" s="1489"/>
      <c r="AN1268" s="1489"/>
      <c r="AO1268" s="1489"/>
      <c r="AP1268" s="1489"/>
      <c r="AQ1268" s="1489"/>
      <c r="AR1268" s="1488"/>
      <c r="AS1268" s="1488"/>
      <c r="AT1268" s="1488"/>
      <c r="AU1268" s="1488"/>
      <c r="AV1268" s="1488"/>
      <c r="AW1268" s="1488"/>
      <c r="AX1268" s="1488"/>
      <c r="AY1268" s="1488"/>
    </row>
    <row r="1269" spans="3:51" s="1502" customFormat="1">
      <c r="C1269" s="1498"/>
      <c r="D1269" s="1501"/>
      <c r="E1269" s="1500"/>
      <c r="F1269" s="814"/>
      <c r="G1269" s="1494"/>
      <c r="H1269" s="1493"/>
      <c r="I1269" s="1493"/>
      <c r="J1269" s="813"/>
      <c r="K1269" s="814"/>
      <c r="L1269" s="1499"/>
      <c r="M1269" s="1488"/>
      <c r="N1269" s="1488"/>
      <c r="O1269" s="1488"/>
      <c r="P1269" s="1488"/>
      <c r="Q1269" s="1489"/>
      <c r="R1269" s="1489"/>
      <c r="S1269" s="1489"/>
      <c r="T1269" s="1489"/>
      <c r="U1269" s="1489"/>
      <c r="V1269" s="1489"/>
      <c r="W1269" s="1489"/>
      <c r="X1269" s="1489"/>
      <c r="Y1269" s="1489"/>
      <c r="Z1269" s="1489"/>
      <c r="AA1269" s="1489"/>
      <c r="AB1269" s="1489"/>
      <c r="AC1269" s="1489"/>
      <c r="AD1269" s="1489"/>
      <c r="AE1269" s="1489"/>
      <c r="AF1269" s="1489"/>
      <c r="AG1269" s="1489"/>
      <c r="AH1269" s="1489"/>
      <c r="AI1269" s="1489"/>
      <c r="AJ1269" s="1489"/>
      <c r="AK1269" s="1489"/>
      <c r="AL1269" s="1489"/>
      <c r="AM1269" s="1489"/>
      <c r="AN1269" s="1489"/>
      <c r="AO1269" s="1489"/>
      <c r="AP1269" s="1489"/>
      <c r="AQ1269" s="1489"/>
      <c r="AR1269" s="1488"/>
      <c r="AS1269" s="1488"/>
      <c r="AT1269" s="1488"/>
      <c r="AU1269" s="1488"/>
      <c r="AV1269" s="1488"/>
      <c r="AW1269" s="1488"/>
      <c r="AX1269" s="1488"/>
      <c r="AY1269" s="1488"/>
    </row>
    <row r="1270" spans="3:51" s="1502" customFormat="1">
      <c r="C1270" s="1498"/>
      <c r="D1270" s="1501"/>
      <c r="E1270" s="1500"/>
      <c r="F1270" s="814"/>
      <c r="G1270" s="1494"/>
      <c r="H1270" s="1493"/>
      <c r="I1270" s="1493"/>
      <c r="J1270" s="813"/>
      <c r="K1270" s="814"/>
      <c r="L1270" s="1499"/>
      <c r="M1270" s="1488"/>
      <c r="N1270" s="1488"/>
      <c r="O1270" s="1488"/>
      <c r="P1270" s="1488"/>
      <c r="Q1270" s="1489"/>
      <c r="R1270" s="1489"/>
      <c r="S1270" s="1489"/>
      <c r="T1270" s="1489"/>
      <c r="U1270" s="1489"/>
      <c r="V1270" s="1489"/>
      <c r="W1270" s="1489"/>
      <c r="X1270" s="1489"/>
      <c r="Y1270" s="1489"/>
      <c r="Z1270" s="1489"/>
      <c r="AA1270" s="1489"/>
      <c r="AB1270" s="1489"/>
      <c r="AC1270" s="1489"/>
      <c r="AD1270" s="1489"/>
      <c r="AE1270" s="1489"/>
      <c r="AF1270" s="1489"/>
      <c r="AG1270" s="1489"/>
      <c r="AH1270" s="1489"/>
      <c r="AI1270" s="1489"/>
      <c r="AJ1270" s="1489"/>
      <c r="AK1270" s="1489"/>
      <c r="AL1270" s="1489"/>
      <c r="AM1270" s="1489"/>
      <c r="AN1270" s="1489"/>
      <c r="AO1270" s="1489"/>
      <c r="AP1270" s="1489"/>
      <c r="AQ1270" s="1489"/>
      <c r="AR1270" s="1488"/>
      <c r="AS1270" s="1488"/>
      <c r="AT1270" s="1488"/>
      <c r="AU1270" s="1488"/>
      <c r="AV1270" s="1488"/>
      <c r="AW1270" s="1488"/>
      <c r="AX1270" s="1488"/>
      <c r="AY1270" s="1488"/>
    </row>
    <row r="1271" spans="3:51" s="1502" customFormat="1">
      <c r="C1271" s="1498"/>
      <c r="D1271" s="1501"/>
      <c r="E1271" s="1500"/>
      <c r="F1271" s="814"/>
      <c r="G1271" s="1494"/>
      <c r="H1271" s="1493"/>
      <c r="I1271" s="1493"/>
      <c r="J1271" s="813"/>
      <c r="K1271" s="814"/>
      <c r="L1271" s="1499"/>
      <c r="M1271" s="1488"/>
      <c r="N1271" s="1488"/>
      <c r="O1271" s="1488"/>
      <c r="P1271" s="1488"/>
      <c r="Q1271" s="1489"/>
      <c r="R1271" s="1489"/>
      <c r="S1271" s="1489"/>
      <c r="T1271" s="1489"/>
      <c r="U1271" s="1489"/>
      <c r="V1271" s="1489"/>
      <c r="W1271" s="1489"/>
      <c r="X1271" s="1489"/>
      <c r="Y1271" s="1489"/>
      <c r="Z1271" s="1489"/>
      <c r="AA1271" s="1489"/>
      <c r="AB1271" s="1489"/>
      <c r="AC1271" s="1489"/>
      <c r="AD1271" s="1489"/>
      <c r="AE1271" s="1489"/>
      <c r="AF1271" s="1489"/>
      <c r="AG1271" s="1489"/>
      <c r="AH1271" s="1489"/>
      <c r="AI1271" s="1489"/>
      <c r="AJ1271" s="1489"/>
      <c r="AK1271" s="1489"/>
      <c r="AL1271" s="1489"/>
      <c r="AM1271" s="1489"/>
      <c r="AN1271" s="1489"/>
      <c r="AO1271" s="1489"/>
      <c r="AP1271" s="1489"/>
      <c r="AQ1271" s="1489"/>
      <c r="AR1271" s="1488"/>
      <c r="AS1271" s="1488"/>
      <c r="AT1271" s="1488"/>
      <c r="AU1271" s="1488"/>
      <c r="AV1271" s="1488"/>
      <c r="AW1271" s="1488"/>
      <c r="AX1271" s="1488"/>
      <c r="AY1271" s="1488"/>
    </row>
    <row r="1272" spans="3:51" s="1502" customFormat="1">
      <c r="C1272" s="1498"/>
      <c r="D1272" s="1501"/>
      <c r="E1272" s="1500"/>
      <c r="F1272" s="814"/>
      <c r="G1272" s="1494"/>
      <c r="H1272" s="1493"/>
      <c r="I1272" s="1493"/>
      <c r="J1272" s="813"/>
      <c r="K1272" s="814"/>
      <c r="L1272" s="1499"/>
      <c r="M1272" s="1488"/>
      <c r="N1272" s="1488"/>
      <c r="O1272" s="1488"/>
      <c r="P1272" s="1488"/>
      <c r="Q1272" s="1489"/>
      <c r="R1272" s="1489"/>
      <c r="S1272" s="1489"/>
      <c r="T1272" s="1489"/>
      <c r="U1272" s="1489"/>
      <c r="V1272" s="1489"/>
      <c r="W1272" s="1489"/>
      <c r="X1272" s="1489"/>
      <c r="Y1272" s="1489"/>
      <c r="Z1272" s="1489"/>
      <c r="AA1272" s="1489"/>
      <c r="AB1272" s="1489"/>
      <c r="AC1272" s="1489"/>
      <c r="AD1272" s="1489"/>
      <c r="AE1272" s="1489"/>
      <c r="AF1272" s="1489"/>
      <c r="AG1272" s="1489"/>
      <c r="AH1272" s="1489"/>
      <c r="AI1272" s="1489"/>
      <c r="AJ1272" s="1489"/>
      <c r="AK1272" s="1489"/>
      <c r="AL1272" s="1489"/>
      <c r="AM1272" s="1489"/>
      <c r="AN1272" s="1489"/>
      <c r="AO1272" s="1489"/>
      <c r="AP1272" s="1489"/>
      <c r="AQ1272" s="1489"/>
      <c r="AR1272" s="1488"/>
      <c r="AS1272" s="1488"/>
      <c r="AT1272" s="1488"/>
      <c r="AU1272" s="1488"/>
      <c r="AV1272" s="1488"/>
      <c r="AW1272" s="1488"/>
      <c r="AX1272" s="1488"/>
      <c r="AY1272" s="1488"/>
    </row>
    <row r="1273" spans="3:51" s="1502" customFormat="1">
      <c r="C1273" s="1498"/>
      <c r="D1273" s="1501"/>
      <c r="E1273" s="1500"/>
      <c r="F1273" s="814"/>
      <c r="G1273" s="1494"/>
      <c r="H1273" s="1493"/>
      <c r="I1273" s="1493"/>
      <c r="J1273" s="813"/>
      <c r="K1273" s="814"/>
      <c r="L1273" s="1499"/>
      <c r="M1273" s="1488"/>
      <c r="N1273" s="1488"/>
      <c r="O1273" s="1488"/>
      <c r="P1273" s="1488"/>
      <c r="Q1273" s="1489"/>
      <c r="R1273" s="1489"/>
      <c r="S1273" s="1489"/>
      <c r="T1273" s="1489"/>
      <c r="U1273" s="1489"/>
      <c r="V1273" s="1489"/>
      <c r="W1273" s="1489"/>
      <c r="X1273" s="1489"/>
      <c r="Y1273" s="1489"/>
      <c r="Z1273" s="1489"/>
      <c r="AA1273" s="1489"/>
      <c r="AB1273" s="1489"/>
      <c r="AC1273" s="1489"/>
      <c r="AD1273" s="1489"/>
      <c r="AE1273" s="1489"/>
      <c r="AF1273" s="1489"/>
      <c r="AG1273" s="1489"/>
      <c r="AH1273" s="1489"/>
      <c r="AI1273" s="1489"/>
      <c r="AJ1273" s="1489"/>
      <c r="AK1273" s="1489"/>
      <c r="AL1273" s="1489"/>
      <c r="AM1273" s="1489"/>
      <c r="AN1273" s="1489"/>
      <c r="AO1273" s="1489"/>
      <c r="AP1273" s="1489"/>
      <c r="AQ1273" s="1489"/>
      <c r="AR1273" s="1488"/>
      <c r="AS1273" s="1488"/>
      <c r="AT1273" s="1488"/>
      <c r="AU1273" s="1488"/>
      <c r="AV1273" s="1488"/>
      <c r="AW1273" s="1488"/>
      <c r="AX1273" s="1488"/>
      <c r="AY1273" s="1488"/>
    </row>
    <row r="1274" spans="3:51" s="1502" customFormat="1">
      <c r="C1274" s="1498"/>
      <c r="D1274" s="1501"/>
      <c r="E1274" s="1500"/>
      <c r="F1274" s="814"/>
      <c r="G1274" s="1494"/>
      <c r="H1274" s="1493"/>
      <c r="I1274" s="1493"/>
      <c r="J1274" s="813"/>
      <c r="K1274" s="814"/>
      <c r="L1274" s="1499"/>
      <c r="M1274" s="1488"/>
      <c r="N1274" s="1488"/>
      <c r="O1274" s="1488"/>
      <c r="P1274" s="1488"/>
      <c r="Q1274" s="1489"/>
      <c r="R1274" s="1489"/>
      <c r="S1274" s="1489"/>
      <c r="T1274" s="1489"/>
      <c r="U1274" s="1489"/>
      <c r="V1274" s="1489"/>
      <c r="W1274" s="1489"/>
      <c r="X1274" s="1489"/>
      <c r="Y1274" s="1489"/>
      <c r="Z1274" s="1489"/>
      <c r="AA1274" s="1489"/>
      <c r="AB1274" s="1489"/>
      <c r="AC1274" s="1489"/>
      <c r="AD1274" s="1489"/>
      <c r="AE1274" s="1489"/>
      <c r="AF1274" s="1489"/>
      <c r="AG1274" s="1489"/>
      <c r="AH1274" s="1489"/>
      <c r="AI1274" s="1489"/>
      <c r="AJ1274" s="1489"/>
      <c r="AK1274" s="1489"/>
      <c r="AL1274" s="1489"/>
      <c r="AM1274" s="1489"/>
      <c r="AN1274" s="1489"/>
      <c r="AO1274" s="1489"/>
      <c r="AP1274" s="1489"/>
      <c r="AQ1274" s="1489"/>
      <c r="AR1274" s="1488"/>
      <c r="AS1274" s="1488"/>
      <c r="AT1274" s="1488"/>
      <c r="AU1274" s="1488"/>
      <c r="AV1274" s="1488"/>
      <c r="AW1274" s="1488"/>
      <c r="AX1274" s="1488"/>
      <c r="AY1274" s="1488"/>
    </row>
    <row r="1275" spans="3:51" s="1502" customFormat="1">
      <c r="C1275" s="1498"/>
      <c r="D1275" s="1501"/>
      <c r="E1275" s="1500"/>
      <c r="F1275" s="814"/>
      <c r="G1275" s="1494"/>
      <c r="H1275" s="1493"/>
      <c r="I1275" s="1493"/>
      <c r="J1275" s="813"/>
      <c r="K1275" s="814"/>
      <c r="L1275" s="1499"/>
      <c r="M1275" s="1488"/>
      <c r="N1275" s="1488"/>
      <c r="O1275" s="1488"/>
      <c r="P1275" s="1488"/>
      <c r="Q1275" s="1489"/>
      <c r="R1275" s="1489"/>
      <c r="S1275" s="1489"/>
      <c r="T1275" s="1489"/>
      <c r="U1275" s="1489"/>
      <c r="V1275" s="1489"/>
      <c r="W1275" s="1489"/>
      <c r="X1275" s="1489"/>
      <c r="Y1275" s="1489"/>
      <c r="Z1275" s="1489"/>
      <c r="AA1275" s="1489"/>
      <c r="AB1275" s="1489"/>
      <c r="AC1275" s="1489"/>
      <c r="AD1275" s="1489"/>
      <c r="AE1275" s="1489"/>
      <c r="AF1275" s="1489"/>
      <c r="AG1275" s="1489"/>
      <c r="AH1275" s="1489"/>
      <c r="AI1275" s="1489"/>
      <c r="AJ1275" s="1489"/>
      <c r="AK1275" s="1489"/>
      <c r="AL1275" s="1489"/>
      <c r="AM1275" s="1489"/>
      <c r="AN1275" s="1489"/>
      <c r="AO1275" s="1489"/>
      <c r="AP1275" s="1489"/>
      <c r="AQ1275" s="1489"/>
      <c r="AR1275" s="1488"/>
      <c r="AS1275" s="1488"/>
      <c r="AT1275" s="1488"/>
      <c r="AU1275" s="1488"/>
      <c r="AV1275" s="1488"/>
      <c r="AW1275" s="1488"/>
      <c r="AX1275" s="1488"/>
      <c r="AY1275" s="1488"/>
    </row>
    <row r="1276" spans="3:51" s="1502" customFormat="1">
      <c r="C1276" s="1498"/>
      <c r="D1276" s="1501"/>
      <c r="E1276" s="1500"/>
      <c r="F1276" s="814"/>
      <c r="G1276" s="1494"/>
      <c r="H1276" s="1493"/>
      <c r="I1276" s="1493"/>
      <c r="J1276" s="813"/>
      <c r="K1276" s="814"/>
      <c r="L1276" s="1499"/>
      <c r="M1276" s="1488"/>
      <c r="N1276" s="1488"/>
      <c r="O1276" s="1488"/>
      <c r="P1276" s="1488"/>
      <c r="Q1276" s="1489"/>
      <c r="R1276" s="1489"/>
      <c r="S1276" s="1489"/>
      <c r="T1276" s="1489"/>
      <c r="U1276" s="1489"/>
      <c r="V1276" s="1489"/>
      <c r="W1276" s="1489"/>
      <c r="X1276" s="1489"/>
      <c r="Y1276" s="1489"/>
      <c r="Z1276" s="1489"/>
      <c r="AA1276" s="1489"/>
      <c r="AB1276" s="1489"/>
      <c r="AC1276" s="1489"/>
      <c r="AD1276" s="1489"/>
      <c r="AE1276" s="1489"/>
      <c r="AF1276" s="1489"/>
      <c r="AG1276" s="1489"/>
      <c r="AH1276" s="1489"/>
      <c r="AI1276" s="1489"/>
      <c r="AJ1276" s="1489"/>
      <c r="AK1276" s="1489"/>
      <c r="AL1276" s="1489"/>
      <c r="AM1276" s="1489"/>
      <c r="AN1276" s="1489"/>
      <c r="AO1276" s="1489"/>
      <c r="AP1276" s="1489"/>
      <c r="AQ1276" s="1489"/>
      <c r="AR1276" s="1488"/>
      <c r="AS1276" s="1488"/>
      <c r="AT1276" s="1488"/>
      <c r="AU1276" s="1488"/>
      <c r="AV1276" s="1488"/>
      <c r="AW1276" s="1488"/>
      <c r="AX1276" s="1488"/>
      <c r="AY1276" s="1488"/>
    </row>
    <row r="1277" spans="3:51" s="1502" customFormat="1">
      <c r="C1277" s="1498"/>
      <c r="D1277" s="1501"/>
      <c r="E1277" s="1500"/>
      <c r="F1277" s="814"/>
      <c r="G1277" s="1494"/>
      <c r="H1277" s="1493"/>
      <c r="I1277" s="1493"/>
      <c r="J1277" s="813"/>
      <c r="K1277" s="814"/>
      <c r="L1277" s="1499"/>
      <c r="M1277" s="1488"/>
      <c r="N1277" s="1488"/>
      <c r="O1277" s="1488"/>
      <c r="P1277" s="1488"/>
      <c r="Q1277" s="1489"/>
      <c r="R1277" s="1489"/>
      <c r="S1277" s="1489"/>
      <c r="T1277" s="1489"/>
      <c r="U1277" s="1489"/>
      <c r="V1277" s="1489"/>
      <c r="W1277" s="1489"/>
      <c r="X1277" s="1489"/>
      <c r="Y1277" s="1489"/>
      <c r="Z1277" s="1489"/>
      <c r="AA1277" s="1489"/>
      <c r="AB1277" s="1489"/>
      <c r="AC1277" s="1489"/>
      <c r="AD1277" s="1489"/>
      <c r="AE1277" s="1489"/>
      <c r="AF1277" s="1489"/>
      <c r="AG1277" s="1489"/>
      <c r="AH1277" s="1489"/>
      <c r="AI1277" s="1489"/>
      <c r="AJ1277" s="1489"/>
      <c r="AK1277" s="1489"/>
      <c r="AL1277" s="1489"/>
      <c r="AM1277" s="1489"/>
      <c r="AN1277" s="1489"/>
      <c r="AO1277" s="1489"/>
      <c r="AP1277" s="1489"/>
      <c r="AQ1277" s="1489"/>
      <c r="AR1277" s="1488"/>
      <c r="AS1277" s="1488"/>
      <c r="AT1277" s="1488"/>
      <c r="AU1277" s="1488"/>
      <c r="AV1277" s="1488"/>
      <c r="AW1277" s="1488"/>
      <c r="AX1277" s="1488"/>
      <c r="AY1277" s="1488"/>
    </row>
    <row r="1278" spans="3:51" s="1502" customFormat="1">
      <c r="C1278" s="1498"/>
      <c r="D1278" s="1501"/>
      <c r="E1278" s="1500"/>
      <c r="F1278" s="814"/>
      <c r="G1278" s="1494"/>
      <c r="H1278" s="1493"/>
      <c r="I1278" s="1493"/>
      <c r="J1278" s="813"/>
      <c r="K1278" s="814"/>
      <c r="L1278" s="1499"/>
      <c r="M1278" s="1488"/>
      <c r="N1278" s="1488"/>
      <c r="O1278" s="1488"/>
      <c r="P1278" s="1488"/>
      <c r="Q1278" s="1489"/>
      <c r="R1278" s="1489"/>
      <c r="S1278" s="1489"/>
      <c r="T1278" s="1489"/>
      <c r="U1278" s="1489"/>
      <c r="V1278" s="1489"/>
      <c r="W1278" s="1489"/>
      <c r="X1278" s="1489"/>
      <c r="Y1278" s="1489"/>
      <c r="Z1278" s="1489"/>
      <c r="AA1278" s="1489"/>
      <c r="AB1278" s="1489"/>
      <c r="AC1278" s="1489"/>
      <c r="AD1278" s="1489"/>
      <c r="AE1278" s="1489"/>
      <c r="AF1278" s="1489"/>
      <c r="AG1278" s="1489"/>
      <c r="AH1278" s="1489"/>
      <c r="AI1278" s="1489"/>
      <c r="AJ1278" s="1489"/>
      <c r="AK1278" s="1489"/>
      <c r="AL1278" s="1489"/>
      <c r="AM1278" s="1489"/>
      <c r="AN1278" s="1489"/>
      <c r="AO1278" s="1489"/>
      <c r="AP1278" s="1489"/>
      <c r="AQ1278" s="1489"/>
      <c r="AR1278" s="1488"/>
      <c r="AS1278" s="1488"/>
      <c r="AT1278" s="1488"/>
      <c r="AU1278" s="1488"/>
      <c r="AV1278" s="1488"/>
      <c r="AW1278" s="1488"/>
      <c r="AX1278" s="1488"/>
      <c r="AY1278" s="1488"/>
    </row>
    <row r="1279" spans="3:51" s="1502" customFormat="1">
      <c r="C1279" s="1498"/>
      <c r="D1279" s="1501"/>
      <c r="E1279" s="1500"/>
      <c r="F1279" s="814"/>
      <c r="G1279" s="1494"/>
      <c r="H1279" s="1493"/>
      <c r="I1279" s="1493"/>
      <c r="J1279" s="813"/>
      <c r="K1279" s="814"/>
      <c r="L1279" s="1499"/>
      <c r="M1279" s="1488"/>
      <c r="N1279" s="1488"/>
      <c r="O1279" s="1488"/>
      <c r="P1279" s="1488"/>
      <c r="Q1279" s="1489"/>
      <c r="R1279" s="1489"/>
      <c r="S1279" s="1489"/>
      <c r="T1279" s="1489"/>
      <c r="U1279" s="1489"/>
      <c r="V1279" s="1489"/>
      <c r="W1279" s="1489"/>
      <c r="X1279" s="1489"/>
      <c r="Y1279" s="1489"/>
      <c r="Z1279" s="1489"/>
      <c r="AA1279" s="1489"/>
      <c r="AB1279" s="1489"/>
      <c r="AC1279" s="1489"/>
      <c r="AD1279" s="1489"/>
      <c r="AE1279" s="1489"/>
      <c r="AF1279" s="1489"/>
      <c r="AG1279" s="1489"/>
      <c r="AH1279" s="1489"/>
      <c r="AI1279" s="1489"/>
      <c r="AJ1279" s="1489"/>
      <c r="AK1279" s="1489"/>
      <c r="AL1279" s="1489"/>
      <c r="AM1279" s="1489"/>
      <c r="AN1279" s="1489"/>
      <c r="AO1279" s="1489"/>
      <c r="AP1279" s="1489"/>
      <c r="AQ1279" s="1489"/>
      <c r="AR1279" s="1488"/>
      <c r="AS1279" s="1488"/>
      <c r="AT1279" s="1488"/>
      <c r="AU1279" s="1488"/>
      <c r="AV1279" s="1488"/>
      <c r="AW1279" s="1488"/>
      <c r="AX1279" s="1488"/>
      <c r="AY1279" s="1488"/>
    </row>
    <row r="1280" spans="3:51" s="1502" customFormat="1">
      <c r="C1280" s="1498"/>
      <c r="D1280" s="1501"/>
      <c r="E1280" s="1500"/>
      <c r="F1280" s="814"/>
      <c r="G1280" s="1494"/>
      <c r="H1280" s="1493"/>
      <c r="I1280" s="1493"/>
      <c r="J1280" s="813"/>
      <c r="K1280" s="814"/>
      <c r="L1280" s="1499"/>
      <c r="M1280" s="1488"/>
      <c r="N1280" s="1488"/>
      <c r="O1280" s="1488"/>
      <c r="P1280" s="1488"/>
      <c r="Q1280" s="1489"/>
      <c r="R1280" s="1489"/>
      <c r="S1280" s="1489"/>
      <c r="T1280" s="1489"/>
      <c r="U1280" s="1489"/>
      <c r="V1280" s="1489"/>
      <c r="W1280" s="1489"/>
      <c r="X1280" s="1489"/>
      <c r="Y1280" s="1489"/>
      <c r="Z1280" s="1489"/>
      <c r="AA1280" s="1489"/>
      <c r="AB1280" s="1489"/>
      <c r="AC1280" s="1489"/>
      <c r="AD1280" s="1489"/>
      <c r="AE1280" s="1489"/>
      <c r="AF1280" s="1489"/>
      <c r="AG1280" s="1489"/>
      <c r="AH1280" s="1489"/>
      <c r="AI1280" s="1489"/>
      <c r="AJ1280" s="1489"/>
      <c r="AK1280" s="1489"/>
      <c r="AL1280" s="1489"/>
      <c r="AM1280" s="1489"/>
      <c r="AN1280" s="1489"/>
      <c r="AO1280" s="1489"/>
      <c r="AP1280" s="1489"/>
      <c r="AQ1280" s="1489"/>
      <c r="AR1280" s="1488"/>
      <c r="AS1280" s="1488"/>
      <c r="AT1280" s="1488"/>
      <c r="AU1280" s="1488"/>
      <c r="AV1280" s="1488"/>
      <c r="AW1280" s="1488"/>
      <c r="AX1280" s="1488"/>
      <c r="AY1280" s="1488"/>
    </row>
    <row r="1281" spans="3:51" s="1502" customFormat="1">
      <c r="C1281" s="1498"/>
      <c r="D1281" s="1501"/>
      <c r="E1281" s="1500"/>
      <c r="F1281" s="814"/>
      <c r="G1281" s="1494"/>
      <c r="H1281" s="1493"/>
      <c r="I1281" s="1493"/>
      <c r="J1281" s="813"/>
      <c r="K1281" s="814"/>
      <c r="L1281" s="1499"/>
      <c r="M1281" s="1488"/>
      <c r="N1281" s="1488"/>
      <c r="O1281" s="1488"/>
      <c r="P1281" s="1488"/>
      <c r="Q1281" s="1489"/>
      <c r="R1281" s="1489"/>
      <c r="S1281" s="1489"/>
      <c r="T1281" s="1489"/>
      <c r="U1281" s="1489"/>
      <c r="V1281" s="1489"/>
      <c r="W1281" s="1489"/>
      <c r="X1281" s="1489"/>
      <c r="Y1281" s="1489"/>
      <c r="Z1281" s="1489"/>
      <c r="AA1281" s="1489"/>
      <c r="AB1281" s="1489"/>
      <c r="AC1281" s="1489"/>
      <c r="AD1281" s="1489"/>
      <c r="AE1281" s="1489"/>
      <c r="AF1281" s="1489"/>
      <c r="AG1281" s="1489"/>
      <c r="AH1281" s="1489"/>
      <c r="AI1281" s="1489"/>
      <c r="AJ1281" s="1489"/>
      <c r="AK1281" s="1489"/>
      <c r="AL1281" s="1489"/>
      <c r="AM1281" s="1489"/>
      <c r="AN1281" s="1489"/>
      <c r="AO1281" s="1489"/>
      <c r="AP1281" s="1489"/>
      <c r="AQ1281" s="1489"/>
      <c r="AR1281" s="1488"/>
      <c r="AS1281" s="1488"/>
      <c r="AT1281" s="1488"/>
      <c r="AU1281" s="1488"/>
      <c r="AV1281" s="1488"/>
      <c r="AW1281" s="1488"/>
      <c r="AX1281" s="1488"/>
      <c r="AY1281" s="1488"/>
    </row>
    <row r="1282" spans="3:51" s="1502" customFormat="1">
      <c r="C1282" s="1498"/>
      <c r="D1282" s="1501"/>
      <c r="E1282" s="1500"/>
      <c r="F1282" s="814"/>
      <c r="G1282" s="1494"/>
      <c r="H1282" s="1493"/>
      <c r="I1282" s="1493"/>
      <c r="J1282" s="813"/>
      <c r="K1282" s="814"/>
      <c r="L1282" s="1499"/>
      <c r="M1282" s="1488"/>
      <c r="N1282" s="1488"/>
      <c r="O1282" s="1488"/>
      <c r="P1282" s="1488"/>
      <c r="Q1282" s="1489"/>
      <c r="R1282" s="1489"/>
      <c r="S1282" s="1489"/>
      <c r="T1282" s="1489"/>
      <c r="U1282" s="1489"/>
      <c r="V1282" s="1489"/>
      <c r="W1282" s="1489"/>
      <c r="X1282" s="1489"/>
      <c r="Y1282" s="1489"/>
      <c r="Z1282" s="1489"/>
      <c r="AA1282" s="1489"/>
      <c r="AB1282" s="1489"/>
      <c r="AC1282" s="1489"/>
      <c r="AD1282" s="1489"/>
      <c r="AE1282" s="1489"/>
      <c r="AF1282" s="1489"/>
      <c r="AG1282" s="1489"/>
      <c r="AH1282" s="1489"/>
      <c r="AI1282" s="1489"/>
      <c r="AJ1282" s="1489"/>
      <c r="AK1282" s="1489"/>
      <c r="AL1282" s="1489"/>
      <c r="AM1282" s="1489"/>
      <c r="AN1282" s="1489"/>
      <c r="AO1282" s="1489"/>
      <c r="AP1282" s="1489"/>
      <c r="AQ1282" s="1489"/>
      <c r="AR1282" s="1488"/>
      <c r="AS1282" s="1488"/>
      <c r="AT1282" s="1488"/>
      <c r="AU1282" s="1488"/>
      <c r="AV1282" s="1488"/>
      <c r="AW1282" s="1488"/>
      <c r="AX1282" s="1488"/>
      <c r="AY1282" s="1488"/>
    </row>
    <row r="1283" spans="3:51" s="1502" customFormat="1">
      <c r="C1283" s="1498"/>
      <c r="D1283" s="1501"/>
      <c r="E1283" s="1500"/>
      <c r="F1283" s="814"/>
      <c r="G1283" s="1494"/>
      <c r="H1283" s="1493"/>
      <c r="I1283" s="1493"/>
      <c r="J1283" s="813"/>
      <c r="K1283" s="814"/>
      <c r="L1283" s="1499"/>
      <c r="M1283" s="1488"/>
      <c r="N1283" s="1488"/>
      <c r="O1283" s="1488"/>
      <c r="P1283" s="1488"/>
      <c r="Q1283" s="1489"/>
      <c r="R1283" s="1489"/>
      <c r="S1283" s="1489"/>
      <c r="T1283" s="1489"/>
      <c r="U1283" s="1489"/>
      <c r="V1283" s="1489"/>
      <c r="W1283" s="1489"/>
      <c r="X1283" s="1489"/>
      <c r="Y1283" s="1489"/>
      <c r="Z1283" s="1489"/>
      <c r="AA1283" s="1489"/>
      <c r="AB1283" s="1489"/>
      <c r="AC1283" s="1489"/>
      <c r="AD1283" s="1489"/>
      <c r="AE1283" s="1489"/>
      <c r="AF1283" s="1489"/>
      <c r="AG1283" s="1489"/>
      <c r="AH1283" s="1489"/>
      <c r="AI1283" s="1489"/>
      <c r="AJ1283" s="1489"/>
      <c r="AK1283" s="1489"/>
      <c r="AL1283" s="1489"/>
      <c r="AM1283" s="1489"/>
      <c r="AN1283" s="1489"/>
      <c r="AO1283" s="1489"/>
      <c r="AP1283" s="1489"/>
      <c r="AQ1283" s="1489"/>
      <c r="AR1283" s="1488"/>
      <c r="AS1283" s="1488"/>
      <c r="AT1283" s="1488"/>
      <c r="AU1283" s="1488"/>
      <c r="AV1283" s="1488"/>
      <c r="AW1283" s="1488"/>
      <c r="AX1283" s="1488"/>
      <c r="AY1283" s="1488"/>
    </row>
    <row r="1284" spans="3:51" s="1502" customFormat="1">
      <c r="C1284" s="1498"/>
      <c r="D1284" s="1501"/>
      <c r="E1284" s="1500"/>
      <c r="F1284" s="814"/>
      <c r="G1284" s="1494"/>
      <c r="H1284" s="1493"/>
      <c r="I1284" s="1493"/>
      <c r="J1284" s="813"/>
      <c r="K1284" s="814"/>
      <c r="L1284" s="1499"/>
      <c r="M1284" s="1488"/>
      <c r="N1284" s="1488"/>
      <c r="O1284" s="1488"/>
      <c r="P1284" s="1488"/>
      <c r="Q1284" s="1489"/>
      <c r="R1284" s="1489"/>
      <c r="S1284" s="1489"/>
      <c r="T1284" s="1489"/>
      <c r="U1284" s="1489"/>
      <c r="V1284" s="1489"/>
      <c r="W1284" s="1489"/>
      <c r="X1284" s="1489"/>
      <c r="Y1284" s="1489"/>
      <c r="Z1284" s="1489"/>
      <c r="AA1284" s="1489"/>
      <c r="AB1284" s="1489"/>
      <c r="AC1284" s="1489"/>
      <c r="AD1284" s="1489"/>
      <c r="AE1284" s="1489"/>
      <c r="AF1284" s="1489"/>
      <c r="AG1284" s="1489"/>
      <c r="AH1284" s="1489"/>
      <c r="AI1284" s="1489"/>
      <c r="AJ1284" s="1489"/>
      <c r="AK1284" s="1489"/>
      <c r="AL1284" s="1489"/>
      <c r="AM1284" s="1489"/>
      <c r="AN1284" s="1489"/>
      <c r="AO1284" s="1489"/>
      <c r="AP1284" s="1489"/>
      <c r="AQ1284" s="1489"/>
      <c r="AR1284" s="1488"/>
      <c r="AS1284" s="1488"/>
      <c r="AT1284" s="1488"/>
      <c r="AU1284" s="1488"/>
      <c r="AV1284" s="1488"/>
      <c r="AW1284" s="1488"/>
      <c r="AX1284" s="1488"/>
      <c r="AY1284" s="1488"/>
    </row>
    <row r="1285" spans="3:51" s="1502" customFormat="1">
      <c r="C1285" s="1498"/>
      <c r="D1285" s="1501"/>
      <c r="E1285" s="1500"/>
      <c r="F1285" s="814"/>
      <c r="G1285" s="1494"/>
      <c r="H1285" s="1493"/>
      <c r="I1285" s="1493"/>
      <c r="J1285" s="813"/>
      <c r="K1285" s="814"/>
      <c r="L1285" s="1499"/>
      <c r="M1285" s="1488"/>
      <c r="N1285" s="1488"/>
      <c r="O1285" s="1488"/>
      <c r="P1285" s="1488"/>
      <c r="Q1285" s="1489"/>
      <c r="R1285" s="1489"/>
      <c r="S1285" s="1489"/>
      <c r="T1285" s="1489"/>
      <c r="U1285" s="1489"/>
      <c r="V1285" s="1489"/>
      <c r="W1285" s="1489"/>
      <c r="X1285" s="1489"/>
      <c r="Y1285" s="1489"/>
      <c r="Z1285" s="1489"/>
      <c r="AA1285" s="1489"/>
      <c r="AB1285" s="1489"/>
      <c r="AC1285" s="1489"/>
      <c r="AD1285" s="1489"/>
      <c r="AE1285" s="1489"/>
      <c r="AF1285" s="1489"/>
      <c r="AG1285" s="1489"/>
      <c r="AH1285" s="1489"/>
      <c r="AI1285" s="1489"/>
      <c r="AJ1285" s="1489"/>
      <c r="AK1285" s="1489"/>
      <c r="AL1285" s="1489"/>
      <c r="AM1285" s="1489"/>
      <c r="AN1285" s="1489"/>
      <c r="AO1285" s="1489"/>
      <c r="AP1285" s="1489"/>
      <c r="AQ1285" s="1489"/>
      <c r="AR1285" s="1488"/>
      <c r="AS1285" s="1488"/>
      <c r="AT1285" s="1488"/>
      <c r="AU1285" s="1488"/>
      <c r="AV1285" s="1488"/>
      <c r="AW1285" s="1488"/>
      <c r="AX1285" s="1488"/>
      <c r="AY1285" s="1488"/>
    </row>
    <row r="1286" spans="3:51" s="1502" customFormat="1">
      <c r="C1286" s="1498"/>
      <c r="D1286" s="1501"/>
      <c r="E1286" s="1500"/>
      <c r="F1286" s="814"/>
      <c r="G1286" s="1494"/>
      <c r="H1286" s="1493"/>
      <c r="I1286" s="1493"/>
      <c r="J1286" s="813"/>
      <c r="K1286" s="814"/>
      <c r="L1286" s="1499"/>
      <c r="M1286" s="1488"/>
      <c r="N1286" s="1488"/>
      <c r="O1286" s="1488"/>
      <c r="P1286" s="1488"/>
      <c r="Q1286" s="1489"/>
      <c r="R1286" s="1489"/>
      <c r="S1286" s="1489"/>
      <c r="T1286" s="1489"/>
      <c r="U1286" s="1489"/>
      <c r="V1286" s="1489"/>
      <c r="W1286" s="1489"/>
      <c r="X1286" s="1489"/>
      <c r="Y1286" s="1489"/>
      <c r="Z1286" s="1489"/>
      <c r="AA1286" s="1489"/>
      <c r="AB1286" s="1489"/>
      <c r="AC1286" s="1489"/>
      <c r="AD1286" s="1489"/>
      <c r="AE1286" s="1489"/>
      <c r="AF1286" s="1489"/>
      <c r="AG1286" s="1489"/>
      <c r="AH1286" s="1489"/>
      <c r="AI1286" s="1489"/>
      <c r="AJ1286" s="1489"/>
      <c r="AK1286" s="1489"/>
      <c r="AL1286" s="1489"/>
      <c r="AM1286" s="1489"/>
      <c r="AN1286" s="1489"/>
      <c r="AO1286" s="1489"/>
      <c r="AP1286" s="1489"/>
      <c r="AQ1286" s="1489"/>
      <c r="AR1286" s="1488"/>
      <c r="AS1286" s="1488"/>
      <c r="AT1286" s="1488"/>
      <c r="AU1286" s="1488"/>
      <c r="AV1286" s="1488"/>
      <c r="AW1286" s="1488"/>
      <c r="AX1286" s="1488"/>
      <c r="AY1286" s="1488"/>
    </row>
    <row r="1287" spans="3:51" s="1502" customFormat="1">
      <c r="C1287" s="1498"/>
      <c r="D1287" s="1501"/>
      <c r="E1287" s="1500"/>
      <c r="F1287" s="814"/>
      <c r="G1287" s="1494"/>
      <c r="H1287" s="1493"/>
      <c r="I1287" s="1493"/>
      <c r="J1287" s="813"/>
      <c r="K1287" s="814"/>
      <c r="L1287" s="1499"/>
      <c r="M1287" s="1488"/>
      <c r="N1287" s="1488"/>
      <c r="O1287" s="1488"/>
      <c r="P1287" s="1488"/>
      <c r="Q1287" s="1489"/>
      <c r="R1287" s="1489"/>
      <c r="S1287" s="1489"/>
      <c r="T1287" s="1489"/>
      <c r="U1287" s="1489"/>
      <c r="V1287" s="1489"/>
      <c r="W1287" s="1489"/>
      <c r="X1287" s="1489"/>
      <c r="Y1287" s="1489"/>
      <c r="Z1287" s="1489"/>
      <c r="AA1287" s="1489"/>
      <c r="AB1287" s="1489"/>
      <c r="AC1287" s="1489"/>
      <c r="AD1287" s="1489"/>
      <c r="AE1287" s="1489"/>
      <c r="AF1287" s="1489"/>
      <c r="AG1287" s="1489"/>
      <c r="AH1287" s="1489"/>
      <c r="AI1287" s="1489"/>
      <c r="AJ1287" s="1489"/>
      <c r="AK1287" s="1489"/>
      <c r="AL1287" s="1489"/>
      <c r="AM1287" s="1489"/>
      <c r="AN1287" s="1489"/>
      <c r="AO1287" s="1489"/>
      <c r="AP1287" s="1489"/>
      <c r="AQ1287" s="1489"/>
      <c r="AR1287" s="1488"/>
      <c r="AS1287" s="1488"/>
      <c r="AT1287" s="1488"/>
      <c r="AU1287" s="1488"/>
      <c r="AV1287" s="1488"/>
      <c r="AW1287" s="1488"/>
      <c r="AX1287" s="1488"/>
      <c r="AY1287" s="1488"/>
    </row>
    <row r="1288" spans="3:51" s="1502" customFormat="1">
      <c r="C1288" s="1498"/>
      <c r="D1288" s="1501"/>
      <c r="E1288" s="1500"/>
      <c r="F1288" s="814"/>
      <c r="G1288" s="1494"/>
      <c r="H1288" s="1493"/>
      <c r="I1288" s="1493"/>
      <c r="J1288" s="813"/>
      <c r="K1288" s="814"/>
      <c r="L1288" s="1499"/>
      <c r="M1288" s="1488"/>
      <c r="N1288" s="1488"/>
      <c r="O1288" s="1488"/>
      <c r="P1288" s="1488"/>
      <c r="Q1288" s="1489"/>
      <c r="R1288" s="1489"/>
      <c r="S1288" s="1489"/>
      <c r="T1288" s="1489"/>
      <c r="U1288" s="1489"/>
      <c r="V1288" s="1489"/>
      <c r="W1288" s="1489"/>
      <c r="X1288" s="1489"/>
      <c r="Y1288" s="1489"/>
      <c r="Z1288" s="1489"/>
      <c r="AA1288" s="1489"/>
      <c r="AB1288" s="1489"/>
      <c r="AC1288" s="1489"/>
      <c r="AD1288" s="1489"/>
      <c r="AE1288" s="1489"/>
      <c r="AF1288" s="1489"/>
      <c r="AG1288" s="1489"/>
      <c r="AH1288" s="1489"/>
      <c r="AI1288" s="1489"/>
      <c r="AJ1288" s="1489"/>
      <c r="AK1288" s="1489"/>
      <c r="AL1288" s="1489"/>
      <c r="AM1288" s="1489"/>
      <c r="AN1288" s="1489"/>
      <c r="AO1288" s="1489"/>
      <c r="AP1288" s="1489"/>
      <c r="AQ1288" s="1489"/>
      <c r="AR1288" s="1488"/>
      <c r="AS1288" s="1488"/>
      <c r="AT1288" s="1488"/>
      <c r="AU1288" s="1488"/>
      <c r="AV1288" s="1488"/>
      <c r="AW1288" s="1488"/>
      <c r="AX1288" s="1488"/>
      <c r="AY1288" s="1488"/>
    </row>
    <row r="1289" spans="3:51" s="1502" customFormat="1">
      <c r="C1289" s="1498"/>
      <c r="D1289" s="1501"/>
      <c r="E1289" s="1500"/>
      <c r="F1289" s="814"/>
      <c r="G1289" s="1494"/>
      <c r="H1289" s="1493"/>
      <c r="I1289" s="1493"/>
      <c r="J1289" s="813"/>
      <c r="K1289" s="814"/>
      <c r="L1289" s="1499"/>
      <c r="M1289" s="1488"/>
      <c r="N1289" s="1488"/>
      <c r="O1289" s="1488"/>
      <c r="P1289" s="1488"/>
      <c r="Q1289" s="1489"/>
      <c r="R1289" s="1489"/>
      <c r="S1289" s="1489"/>
      <c r="T1289" s="1489"/>
      <c r="U1289" s="1489"/>
      <c r="V1289" s="1489"/>
      <c r="W1289" s="1489"/>
      <c r="X1289" s="1489"/>
      <c r="Y1289" s="1489"/>
      <c r="Z1289" s="1489"/>
      <c r="AA1289" s="1489"/>
      <c r="AB1289" s="1489"/>
      <c r="AC1289" s="1489"/>
      <c r="AD1289" s="1489"/>
      <c r="AE1289" s="1489"/>
      <c r="AF1289" s="1489"/>
      <c r="AG1289" s="1489"/>
      <c r="AH1289" s="1489"/>
      <c r="AI1289" s="1489"/>
      <c r="AJ1289" s="1489"/>
      <c r="AK1289" s="1489"/>
      <c r="AL1289" s="1489"/>
      <c r="AM1289" s="1489"/>
      <c r="AN1289" s="1489"/>
      <c r="AO1289" s="1489"/>
      <c r="AP1289" s="1489"/>
      <c r="AQ1289" s="1489"/>
      <c r="AR1289" s="1488"/>
      <c r="AS1289" s="1488"/>
      <c r="AT1289" s="1488"/>
      <c r="AU1289" s="1488"/>
      <c r="AV1289" s="1488"/>
      <c r="AW1289" s="1488"/>
      <c r="AX1289" s="1488"/>
      <c r="AY1289" s="1488"/>
    </row>
    <row r="1290" spans="3:51" s="1502" customFormat="1">
      <c r="C1290" s="1498"/>
      <c r="D1290" s="1501"/>
      <c r="E1290" s="1500"/>
      <c r="F1290" s="814"/>
      <c r="G1290" s="1494"/>
      <c r="H1290" s="1493"/>
      <c r="I1290" s="1493"/>
      <c r="J1290" s="813"/>
      <c r="K1290" s="814"/>
      <c r="L1290" s="1499"/>
      <c r="M1290" s="1488"/>
      <c r="N1290" s="1488"/>
      <c r="O1290" s="1488"/>
      <c r="P1290" s="1488"/>
      <c r="Q1290" s="1489"/>
      <c r="R1290" s="1489"/>
      <c r="S1290" s="1489"/>
      <c r="T1290" s="1489"/>
      <c r="U1290" s="1489"/>
      <c r="V1290" s="1489"/>
      <c r="W1290" s="1489"/>
      <c r="X1290" s="1489"/>
      <c r="Y1290" s="1489"/>
      <c r="Z1290" s="1489"/>
      <c r="AA1290" s="1489"/>
      <c r="AB1290" s="1489"/>
      <c r="AC1290" s="1489"/>
      <c r="AD1290" s="1489"/>
      <c r="AE1290" s="1489"/>
      <c r="AF1290" s="1489"/>
      <c r="AG1290" s="1489"/>
      <c r="AH1290" s="1489"/>
      <c r="AI1290" s="1489"/>
      <c r="AJ1290" s="1489"/>
      <c r="AK1290" s="1489"/>
      <c r="AL1290" s="1489"/>
      <c r="AM1290" s="1489"/>
      <c r="AN1290" s="1489"/>
      <c r="AO1290" s="1489"/>
      <c r="AP1290" s="1489"/>
      <c r="AQ1290" s="1489"/>
      <c r="AR1290" s="1488"/>
      <c r="AS1290" s="1488"/>
      <c r="AT1290" s="1488"/>
      <c r="AU1290" s="1488"/>
      <c r="AV1290" s="1488"/>
      <c r="AW1290" s="1488"/>
      <c r="AX1290" s="1488"/>
      <c r="AY1290" s="1488"/>
    </row>
    <row r="1291" spans="3:51" s="1502" customFormat="1">
      <c r="C1291" s="1498"/>
      <c r="D1291" s="1501"/>
      <c r="E1291" s="1500"/>
      <c r="F1291" s="814"/>
      <c r="G1291" s="1494"/>
      <c r="H1291" s="1493"/>
      <c r="I1291" s="1493"/>
      <c r="J1291" s="813"/>
      <c r="K1291" s="814"/>
      <c r="L1291" s="1499"/>
      <c r="M1291" s="1488"/>
      <c r="N1291" s="1488"/>
      <c r="O1291" s="1488"/>
      <c r="P1291" s="1488"/>
      <c r="Q1291" s="1489"/>
      <c r="R1291" s="1489"/>
      <c r="S1291" s="1489"/>
      <c r="T1291" s="1489"/>
      <c r="U1291" s="1489"/>
      <c r="V1291" s="1489"/>
      <c r="W1291" s="1489"/>
      <c r="X1291" s="1489"/>
      <c r="Y1291" s="1489"/>
      <c r="Z1291" s="1489"/>
      <c r="AA1291" s="1489"/>
      <c r="AB1291" s="1489"/>
      <c r="AC1291" s="1489"/>
      <c r="AD1291" s="1489"/>
      <c r="AE1291" s="1489"/>
      <c r="AF1291" s="1489"/>
      <c r="AG1291" s="1489"/>
      <c r="AH1291" s="1489"/>
      <c r="AI1291" s="1489"/>
      <c r="AJ1291" s="1489"/>
      <c r="AK1291" s="1489"/>
      <c r="AL1291" s="1489"/>
      <c r="AM1291" s="1489"/>
      <c r="AN1291" s="1489"/>
      <c r="AO1291" s="1489"/>
      <c r="AP1291" s="1489"/>
      <c r="AQ1291" s="1489"/>
      <c r="AR1291" s="1488"/>
      <c r="AS1291" s="1488"/>
      <c r="AT1291" s="1488"/>
      <c r="AU1291" s="1488"/>
      <c r="AV1291" s="1488"/>
      <c r="AW1291" s="1488"/>
      <c r="AX1291" s="1488"/>
      <c r="AY1291" s="1488"/>
    </row>
    <row r="1292" spans="3:51" s="1502" customFormat="1">
      <c r="C1292" s="1498"/>
      <c r="D1292" s="1501"/>
      <c r="E1292" s="1500"/>
      <c r="F1292" s="814"/>
      <c r="G1292" s="1494"/>
      <c r="H1292" s="1493"/>
      <c r="I1292" s="1493"/>
      <c r="J1292" s="813"/>
      <c r="K1292" s="814"/>
      <c r="L1292" s="1499"/>
      <c r="M1292" s="1488"/>
      <c r="N1292" s="1488"/>
      <c r="O1292" s="1488"/>
      <c r="P1292" s="1488"/>
      <c r="Q1292" s="1489"/>
      <c r="R1292" s="1489"/>
      <c r="S1292" s="1489"/>
      <c r="T1292" s="1489"/>
      <c r="U1292" s="1489"/>
      <c r="V1292" s="1489"/>
      <c r="W1292" s="1489"/>
      <c r="X1292" s="1489"/>
      <c r="Y1292" s="1489"/>
      <c r="Z1292" s="1489"/>
      <c r="AA1292" s="1489"/>
      <c r="AB1292" s="1489"/>
      <c r="AC1292" s="1489"/>
      <c r="AD1292" s="1489"/>
      <c r="AE1292" s="1489"/>
      <c r="AF1292" s="1489"/>
      <c r="AG1292" s="1489"/>
      <c r="AH1292" s="1489"/>
      <c r="AI1292" s="1489"/>
      <c r="AJ1292" s="1489"/>
      <c r="AK1292" s="1489"/>
      <c r="AL1292" s="1489"/>
      <c r="AM1292" s="1489"/>
      <c r="AN1292" s="1489"/>
      <c r="AO1292" s="1489"/>
      <c r="AP1292" s="1489"/>
      <c r="AQ1292" s="1489"/>
      <c r="AR1292" s="1488"/>
      <c r="AS1292" s="1488"/>
      <c r="AT1292" s="1488"/>
      <c r="AU1292" s="1488"/>
      <c r="AV1292" s="1488"/>
      <c r="AW1292" s="1488"/>
      <c r="AX1292" s="1488"/>
      <c r="AY1292" s="1488"/>
    </row>
    <row r="1293" spans="3:51" s="1502" customFormat="1">
      <c r="C1293" s="1498"/>
      <c r="D1293" s="1501"/>
      <c r="E1293" s="1500"/>
      <c r="F1293" s="814"/>
      <c r="G1293" s="1494"/>
      <c r="H1293" s="1493"/>
      <c r="I1293" s="1493"/>
      <c r="J1293" s="813"/>
      <c r="K1293" s="814"/>
      <c r="L1293" s="1499"/>
      <c r="M1293" s="1488"/>
      <c r="N1293" s="1488"/>
      <c r="O1293" s="1488"/>
      <c r="P1293" s="1488"/>
      <c r="Q1293" s="1489"/>
      <c r="R1293" s="1489"/>
      <c r="S1293" s="1489"/>
      <c r="T1293" s="1489"/>
      <c r="U1293" s="1489"/>
      <c r="V1293" s="1489"/>
      <c r="W1293" s="1489"/>
      <c r="X1293" s="1489"/>
      <c r="Y1293" s="1489"/>
      <c r="Z1293" s="1489"/>
      <c r="AA1293" s="1489"/>
      <c r="AB1293" s="1489"/>
      <c r="AC1293" s="1489"/>
      <c r="AD1293" s="1489"/>
      <c r="AE1293" s="1489"/>
      <c r="AF1293" s="1489"/>
      <c r="AG1293" s="1489"/>
      <c r="AH1293" s="1489"/>
      <c r="AI1293" s="1489"/>
      <c r="AJ1293" s="1489"/>
      <c r="AK1293" s="1489"/>
      <c r="AL1293" s="1489"/>
      <c r="AM1293" s="1489"/>
      <c r="AN1293" s="1489"/>
      <c r="AO1293" s="1489"/>
      <c r="AP1293" s="1489"/>
      <c r="AQ1293" s="1489"/>
      <c r="AR1293" s="1488"/>
      <c r="AS1293" s="1488"/>
      <c r="AT1293" s="1488"/>
      <c r="AU1293" s="1488"/>
      <c r="AV1293" s="1488"/>
      <c r="AW1293" s="1488"/>
      <c r="AX1293" s="1488"/>
      <c r="AY1293" s="1488"/>
    </row>
    <row r="1294" spans="3:51" s="1502" customFormat="1">
      <c r="C1294" s="1498"/>
      <c r="D1294" s="1501"/>
      <c r="E1294" s="1500"/>
      <c r="F1294" s="814"/>
      <c r="G1294" s="1494"/>
      <c r="H1294" s="1493"/>
      <c r="I1294" s="1493"/>
      <c r="J1294" s="813"/>
      <c r="K1294" s="814"/>
      <c r="L1294" s="1499"/>
      <c r="M1294" s="1488"/>
      <c r="N1294" s="1488"/>
      <c r="O1294" s="1488"/>
      <c r="P1294" s="1488"/>
      <c r="Q1294" s="1489"/>
      <c r="R1294" s="1489"/>
      <c r="S1294" s="1489"/>
      <c r="T1294" s="1489"/>
      <c r="U1294" s="1489"/>
      <c r="V1294" s="1489"/>
      <c r="W1294" s="1489"/>
      <c r="X1294" s="1489"/>
      <c r="Y1294" s="1489"/>
      <c r="Z1294" s="1489"/>
      <c r="AA1294" s="1489"/>
      <c r="AB1294" s="1489"/>
      <c r="AC1294" s="1489"/>
      <c r="AD1294" s="1489"/>
      <c r="AE1294" s="1489"/>
      <c r="AF1294" s="1489"/>
      <c r="AG1294" s="1489"/>
      <c r="AH1294" s="1489"/>
      <c r="AI1294" s="1489"/>
      <c r="AJ1294" s="1489"/>
      <c r="AK1294" s="1489"/>
      <c r="AL1294" s="1489"/>
      <c r="AM1294" s="1489"/>
      <c r="AN1294" s="1489"/>
      <c r="AO1294" s="1489"/>
      <c r="AP1294" s="1489"/>
      <c r="AQ1294" s="1489"/>
      <c r="AR1294" s="1488"/>
      <c r="AS1294" s="1488"/>
      <c r="AT1294" s="1488"/>
      <c r="AU1294" s="1488"/>
      <c r="AV1294" s="1488"/>
      <c r="AW1294" s="1488"/>
      <c r="AX1294" s="1488"/>
      <c r="AY1294" s="1488"/>
    </row>
    <row r="1295" spans="3:51" s="1502" customFormat="1">
      <c r="C1295" s="1498"/>
      <c r="D1295" s="1501"/>
      <c r="E1295" s="1500"/>
      <c r="F1295" s="814"/>
      <c r="G1295" s="1494"/>
      <c r="H1295" s="1493"/>
      <c r="I1295" s="1493"/>
      <c r="J1295" s="813"/>
      <c r="K1295" s="814"/>
      <c r="L1295" s="1499"/>
      <c r="M1295" s="1488"/>
      <c r="N1295" s="1488"/>
      <c r="O1295" s="1488"/>
      <c r="P1295" s="1488"/>
      <c r="Q1295" s="1489"/>
      <c r="R1295" s="1489"/>
      <c r="S1295" s="1489"/>
      <c r="T1295" s="1489"/>
      <c r="U1295" s="1489"/>
      <c r="V1295" s="1489"/>
      <c r="W1295" s="1489"/>
      <c r="X1295" s="1489"/>
      <c r="Y1295" s="1489"/>
      <c r="Z1295" s="1489"/>
      <c r="AA1295" s="1489"/>
      <c r="AB1295" s="1489"/>
      <c r="AC1295" s="1489"/>
      <c r="AD1295" s="1489"/>
      <c r="AE1295" s="1489"/>
      <c r="AF1295" s="1489"/>
      <c r="AG1295" s="1489"/>
      <c r="AH1295" s="1489"/>
      <c r="AI1295" s="1489"/>
      <c r="AJ1295" s="1489"/>
      <c r="AK1295" s="1489"/>
      <c r="AL1295" s="1489"/>
      <c r="AM1295" s="1489"/>
      <c r="AN1295" s="1489"/>
      <c r="AO1295" s="1489"/>
      <c r="AP1295" s="1489"/>
      <c r="AQ1295" s="1489"/>
      <c r="AR1295" s="1488"/>
      <c r="AS1295" s="1488"/>
      <c r="AT1295" s="1488"/>
      <c r="AU1295" s="1488"/>
      <c r="AV1295" s="1488"/>
      <c r="AW1295" s="1488"/>
      <c r="AX1295" s="1488"/>
      <c r="AY1295" s="1488"/>
    </row>
    <row r="1296" spans="3:51" s="1502" customFormat="1">
      <c r="C1296" s="1498"/>
      <c r="D1296" s="1501"/>
      <c r="E1296" s="1500"/>
      <c r="F1296" s="814"/>
      <c r="G1296" s="1494"/>
      <c r="H1296" s="1493"/>
      <c r="I1296" s="1493"/>
      <c r="J1296" s="813"/>
      <c r="K1296" s="814"/>
      <c r="L1296" s="1499"/>
      <c r="M1296" s="1488"/>
      <c r="N1296" s="1488"/>
      <c r="O1296" s="1488"/>
      <c r="P1296" s="1488"/>
      <c r="Q1296" s="1489"/>
      <c r="R1296" s="1489"/>
      <c r="S1296" s="1489"/>
      <c r="T1296" s="1489"/>
      <c r="U1296" s="1489"/>
      <c r="V1296" s="1489"/>
      <c r="W1296" s="1489"/>
      <c r="X1296" s="1489"/>
      <c r="Y1296" s="1489"/>
      <c r="Z1296" s="1489"/>
      <c r="AA1296" s="1489"/>
      <c r="AB1296" s="1489"/>
      <c r="AC1296" s="1489"/>
      <c r="AD1296" s="1489"/>
      <c r="AE1296" s="1489"/>
      <c r="AF1296" s="1489"/>
      <c r="AG1296" s="1489"/>
      <c r="AH1296" s="1489"/>
      <c r="AI1296" s="1489"/>
      <c r="AJ1296" s="1489"/>
      <c r="AK1296" s="1489"/>
      <c r="AL1296" s="1489"/>
      <c r="AM1296" s="1489"/>
      <c r="AN1296" s="1489"/>
      <c r="AO1296" s="1489"/>
      <c r="AP1296" s="1489"/>
      <c r="AQ1296" s="1489"/>
      <c r="AR1296" s="1488"/>
      <c r="AS1296" s="1488"/>
      <c r="AT1296" s="1488"/>
      <c r="AU1296" s="1488"/>
      <c r="AV1296" s="1488"/>
      <c r="AW1296" s="1488"/>
      <c r="AX1296" s="1488"/>
      <c r="AY1296" s="1488"/>
    </row>
    <row r="1297" spans="3:51" s="1502" customFormat="1">
      <c r="C1297" s="1498"/>
      <c r="D1297" s="1501"/>
      <c r="E1297" s="1500"/>
      <c r="F1297" s="814"/>
      <c r="G1297" s="1494"/>
      <c r="H1297" s="1493"/>
      <c r="I1297" s="1493"/>
      <c r="J1297" s="813"/>
      <c r="K1297" s="814"/>
      <c r="L1297" s="1499"/>
      <c r="M1297" s="1488"/>
      <c r="N1297" s="1488"/>
      <c r="O1297" s="1488"/>
      <c r="P1297" s="1488"/>
      <c r="Q1297" s="1489"/>
      <c r="R1297" s="1489"/>
      <c r="S1297" s="1489"/>
      <c r="T1297" s="1489"/>
      <c r="U1297" s="1489"/>
      <c r="V1297" s="1489"/>
      <c r="W1297" s="1489"/>
      <c r="X1297" s="1489"/>
      <c r="Y1297" s="1489"/>
      <c r="Z1297" s="1489"/>
      <c r="AA1297" s="1489"/>
      <c r="AB1297" s="1489"/>
      <c r="AC1297" s="1489"/>
      <c r="AD1297" s="1489"/>
      <c r="AE1297" s="1489"/>
      <c r="AF1297" s="1489"/>
      <c r="AG1297" s="1489"/>
      <c r="AH1297" s="1489"/>
      <c r="AI1297" s="1489"/>
      <c r="AJ1297" s="1489"/>
      <c r="AK1297" s="1489"/>
      <c r="AL1297" s="1489"/>
      <c r="AM1297" s="1489"/>
      <c r="AN1297" s="1489"/>
      <c r="AO1297" s="1489"/>
      <c r="AP1297" s="1489"/>
      <c r="AQ1297" s="1489"/>
      <c r="AR1297" s="1488"/>
      <c r="AS1297" s="1488"/>
      <c r="AT1297" s="1488"/>
      <c r="AU1297" s="1488"/>
      <c r="AV1297" s="1488"/>
      <c r="AW1297" s="1488"/>
      <c r="AX1297" s="1488"/>
      <c r="AY1297" s="1488"/>
    </row>
    <row r="1298" spans="3:51" s="1502" customFormat="1">
      <c r="C1298" s="1498"/>
      <c r="D1298" s="1501"/>
      <c r="E1298" s="1500"/>
      <c r="F1298" s="814"/>
      <c r="G1298" s="1494"/>
      <c r="H1298" s="1493"/>
      <c r="I1298" s="1493"/>
      <c r="J1298" s="813"/>
      <c r="K1298" s="814"/>
      <c r="L1298" s="1499"/>
      <c r="M1298" s="1488"/>
      <c r="N1298" s="1488"/>
      <c r="O1298" s="1488"/>
      <c r="P1298" s="1488"/>
      <c r="Q1298" s="1489"/>
      <c r="R1298" s="1489"/>
      <c r="S1298" s="1489"/>
      <c r="T1298" s="1489"/>
      <c r="U1298" s="1489"/>
      <c r="V1298" s="1489"/>
      <c r="W1298" s="1489"/>
      <c r="X1298" s="1489"/>
      <c r="Y1298" s="1489"/>
      <c r="Z1298" s="1489"/>
      <c r="AA1298" s="1489"/>
      <c r="AB1298" s="1489"/>
      <c r="AC1298" s="1489"/>
      <c r="AD1298" s="1489"/>
      <c r="AE1298" s="1489"/>
      <c r="AF1298" s="1489"/>
      <c r="AG1298" s="1489"/>
      <c r="AH1298" s="1489"/>
      <c r="AI1298" s="1489"/>
      <c r="AJ1298" s="1489"/>
      <c r="AK1298" s="1489"/>
      <c r="AL1298" s="1489"/>
      <c r="AM1298" s="1489"/>
      <c r="AN1298" s="1489"/>
      <c r="AO1298" s="1489"/>
      <c r="AP1298" s="1489"/>
      <c r="AQ1298" s="1489"/>
      <c r="AR1298" s="1488"/>
      <c r="AS1298" s="1488"/>
      <c r="AT1298" s="1488"/>
      <c r="AU1298" s="1488"/>
      <c r="AV1298" s="1488"/>
      <c r="AW1298" s="1488"/>
      <c r="AX1298" s="1488"/>
      <c r="AY1298" s="1488"/>
    </row>
    <row r="1299" spans="3:51" s="1502" customFormat="1">
      <c r="C1299" s="1498"/>
      <c r="D1299" s="1501"/>
      <c r="E1299" s="1500"/>
      <c r="F1299" s="814"/>
      <c r="G1299" s="1494"/>
      <c r="H1299" s="1493"/>
      <c r="I1299" s="1493"/>
      <c r="J1299" s="813"/>
      <c r="K1299" s="814"/>
      <c r="L1299" s="1499"/>
      <c r="M1299" s="1488"/>
      <c r="N1299" s="1488"/>
      <c r="O1299" s="1488"/>
      <c r="P1299" s="1488"/>
      <c r="Q1299" s="1489"/>
      <c r="R1299" s="1489"/>
      <c r="S1299" s="1489"/>
      <c r="T1299" s="1489"/>
      <c r="U1299" s="1489"/>
      <c r="V1299" s="1489"/>
      <c r="W1299" s="1489"/>
      <c r="X1299" s="1489"/>
      <c r="Y1299" s="1489"/>
      <c r="Z1299" s="1489"/>
      <c r="AA1299" s="1489"/>
      <c r="AB1299" s="1489"/>
      <c r="AC1299" s="1489"/>
      <c r="AD1299" s="1489"/>
      <c r="AE1299" s="1489"/>
      <c r="AF1299" s="1489"/>
      <c r="AG1299" s="1489"/>
      <c r="AH1299" s="1489"/>
      <c r="AI1299" s="1489"/>
      <c r="AJ1299" s="1489"/>
      <c r="AK1299" s="1489"/>
      <c r="AL1299" s="1489"/>
      <c r="AM1299" s="1489"/>
      <c r="AN1299" s="1489"/>
      <c r="AO1299" s="1489"/>
      <c r="AP1299" s="1489"/>
      <c r="AQ1299" s="1489"/>
      <c r="AR1299" s="1488"/>
      <c r="AS1299" s="1488"/>
      <c r="AT1299" s="1488"/>
      <c r="AU1299" s="1488"/>
      <c r="AV1299" s="1488"/>
      <c r="AW1299" s="1488"/>
      <c r="AX1299" s="1488"/>
      <c r="AY1299" s="1488"/>
    </row>
    <row r="1300" spans="3:51" s="1502" customFormat="1">
      <c r="C1300" s="1498"/>
      <c r="D1300" s="1501"/>
      <c r="E1300" s="1500"/>
      <c r="F1300" s="814"/>
      <c r="G1300" s="1494"/>
      <c r="H1300" s="1493"/>
      <c r="I1300" s="1493"/>
      <c r="J1300" s="813"/>
      <c r="K1300" s="814"/>
      <c r="L1300" s="1499"/>
      <c r="M1300" s="1488"/>
      <c r="N1300" s="1488"/>
      <c r="O1300" s="1488"/>
      <c r="P1300" s="1488"/>
      <c r="Q1300" s="1489"/>
      <c r="R1300" s="1489"/>
      <c r="S1300" s="1489"/>
      <c r="T1300" s="1489"/>
      <c r="U1300" s="1489"/>
      <c r="V1300" s="1489"/>
      <c r="W1300" s="1489"/>
      <c r="X1300" s="1489"/>
      <c r="Y1300" s="1489"/>
      <c r="Z1300" s="1489"/>
      <c r="AA1300" s="1489"/>
      <c r="AB1300" s="1489"/>
      <c r="AC1300" s="1489"/>
      <c r="AD1300" s="1489"/>
      <c r="AE1300" s="1489"/>
      <c r="AF1300" s="1489"/>
      <c r="AG1300" s="1489"/>
      <c r="AH1300" s="1489"/>
      <c r="AI1300" s="1489"/>
      <c r="AJ1300" s="1489"/>
      <c r="AK1300" s="1489"/>
      <c r="AL1300" s="1489"/>
      <c r="AM1300" s="1489"/>
      <c r="AN1300" s="1489"/>
      <c r="AO1300" s="1489"/>
      <c r="AP1300" s="1489"/>
      <c r="AQ1300" s="1489"/>
      <c r="AR1300" s="1488"/>
      <c r="AS1300" s="1488"/>
      <c r="AT1300" s="1488"/>
      <c r="AU1300" s="1488"/>
      <c r="AV1300" s="1488"/>
      <c r="AW1300" s="1488"/>
      <c r="AX1300" s="1488"/>
      <c r="AY1300" s="1488"/>
    </row>
    <row r="1301" spans="3:51" s="1502" customFormat="1">
      <c r="C1301" s="1498"/>
      <c r="D1301" s="1501"/>
      <c r="E1301" s="1500"/>
      <c r="F1301" s="814"/>
      <c r="G1301" s="1494"/>
      <c r="H1301" s="1493"/>
      <c r="I1301" s="1493"/>
      <c r="J1301" s="813"/>
      <c r="K1301" s="814"/>
      <c r="L1301" s="1499"/>
      <c r="M1301" s="1488"/>
      <c r="N1301" s="1488"/>
      <c r="O1301" s="1488"/>
      <c r="P1301" s="1488"/>
      <c r="Q1301" s="1489"/>
      <c r="R1301" s="1489"/>
      <c r="S1301" s="1489"/>
      <c r="T1301" s="1489"/>
      <c r="U1301" s="1489"/>
      <c r="V1301" s="1489"/>
      <c r="W1301" s="1489"/>
      <c r="X1301" s="1489"/>
      <c r="Y1301" s="1489"/>
      <c r="Z1301" s="1489"/>
      <c r="AA1301" s="1489"/>
      <c r="AB1301" s="1489"/>
      <c r="AC1301" s="1489"/>
      <c r="AD1301" s="1489"/>
      <c r="AE1301" s="1489"/>
      <c r="AF1301" s="1489"/>
      <c r="AG1301" s="1489"/>
      <c r="AH1301" s="1489"/>
      <c r="AI1301" s="1489"/>
      <c r="AJ1301" s="1489"/>
      <c r="AK1301" s="1489"/>
      <c r="AL1301" s="1489"/>
      <c r="AM1301" s="1489"/>
      <c r="AN1301" s="1489"/>
      <c r="AO1301" s="1489"/>
      <c r="AP1301" s="1489"/>
      <c r="AQ1301" s="1489"/>
      <c r="AR1301" s="1488"/>
      <c r="AS1301" s="1488"/>
      <c r="AT1301" s="1488"/>
      <c r="AU1301" s="1488"/>
      <c r="AV1301" s="1488"/>
      <c r="AW1301" s="1488"/>
      <c r="AX1301" s="1488"/>
      <c r="AY1301" s="1488"/>
    </row>
    <row r="1302" spans="3:51" s="1502" customFormat="1">
      <c r="C1302" s="1498"/>
      <c r="D1302" s="1501"/>
      <c r="E1302" s="1500"/>
      <c r="F1302" s="814"/>
      <c r="G1302" s="1494"/>
      <c r="H1302" s="1493"/>
      <c r="I1302" s="1493"/>
      <c r="J1302" s="813"/>
      <c r="K1302" s="814"/>
      <c r="L1302" s="1499"/>
      <c r="M1302" s="1488"/>
      <c r="N1302" s="1488"/>
      <c r="O1302" s="1488"/>
      <c r="P1302" s="1488"/>
      <c r="Q1302" s="1489"/>
      <c r="R1302" s="1489"/>
      <c r="S1302" s="1489"/>
      <c r="T1302" s="1489"/>
      <c r="U1302" s="1489"/>
      <c r="V1302" s="1489"/>
      <c r="W1302" s="1489"/>
      <c r="X1302" s="1489"/>
      <c r="Y1302" s="1489"/>
      <c r="Z1302" s="1489"/>
      <c r="AA1302" s="1489"/>
      <c r="AB1302" s="1489"/>
      <c r="AC1302" s="1489"/>
      <c r="AD1302" s="1489"/>
      <c r="AE1302" s="1489"/>
      <c r="AF1302" s="1489"/>
      <c r="AG1302" s="1489"/>
      <c r="AH1302" s="1489"/>
      <c r="AI1302" s="1489"/>
      <c r="AJ1302" s="1489"/>
      <c r="AK1302" s="1489"/>
      <c r="AL1302" s="1489"/>
      <c r="AM1302" s="1489"/>
      <c r="AN1302" s="1489"/>
      <c r="AO1302" s="1489"/>
      <c r="AP1302" s="1489"/>
      <c r="AQ1302" s="1489"/>
      <c r="AR1302" s="1488"/>
      <c r="AS1302" s="1488"/>
      <c r="AT1302" s="1488"/>
      <c r="AU1302" s="1488"/>
      <c r="AV1302" s="1488"/>
      <c r="AW1302" s="1488"/>
      <c r="AX1302" s="1488"/>
      <c r="AY1302" s="1488"/>
    </row>
    <row r="1303" spans="3:51" s="1502" customFormat="1">
      <c r="C1303" s="1498"/>
      <c r="D1303" s="1501"/>
      <c r="E1303" s="1500"/>
      <c r="F1303" s="814"/>
      <c r="G1303" s="1494"/>
      <c r="H1303" s="1493"/>
      <c r="I1303" s="1493"/>
      <c r="J1303" s="813"/>
      <c r="K1303" s="814"/>
      <c r="L1303" s="1499"/>
      <c r="M1303" s="1488"/>
      <c r="N1303" s="1488"/>
      <c r="O1303" s="1488"/>
      <c r="P1303" s="1488"/>
      <c r="Q1303" s="1489"/>
      <c r="R1303" s="1489"/>
      <c r="S1303" s="1489"/>
      <c r="T1303" s="1489"/>
      <c r="U1303" s="1489"/>
      <c r="V1303" s="1489"/>
      <c r="W1303" s="1489"/>
      <c r="X1303" s="1489"/>
      <c r="Y1303" s="1489"/>
      <c r="Z1303" s="1489"/>
      <c r="AA1303" s="1489"/>
      <c r="AB1303" s="1489"/>
      <c r="AC1303" s="1489"/>
      <c r="AD1303" s="1489"/>
      <c r="AE1303" s="1489"/>
      <c r="AF1303" s="1489"/>
      <c r="AG1303" s="1489"/>
      <c r="AH1303" s="1489"/>
      <c r="AI1303" s="1489"/>
      <c r="AJ1303" s="1489"/>
      <c r="AK1303" s="1489"/>
      <c r="AL1303" s="1489"/>
      <c r="AM1303" s="1489"/>
      <c r="AN1303" s="1489"/>
      <c r="AO1303" s="1489"/>
      <c r="AP1303" s="1489"/>
      <c r="AQ1303" s="1489"/>
      <c r="AR1303" s="1488"/>
      <c r="AS1303" s="1488"/>
      <c r="AT1303" s="1488"/>
      <c r="AU1303" s="1488"/>
      <c r="AV1303" s="1488"/>
      <c r="AW1303" s="1488"/>
      <c r="AX1303" s="1488"/>
      <c r="AY1303" s="1488"/>
    </row>
    <row r="1304" spans="3:51" s="1502" customFormat="1">
      <c r="C1304" s="1498"/>
      <c r="D1304" s="1501"/>
      <c r="E1304" s="1500"/>
      <c r="F1304" s="814"/>
      <c r="G1304" s="1494"/>
      <c r="H1304" s="1493"/>
      <c r="I1304" s="1493"/>
      <c r="J1304" s="813"/>
      <c r="K1304" s="814"/>
      <c r="L1304" s="1499"/>
      <c r="M1304" s="1488"/>
      <c r="N1304" s="1488"/>
      <c r="O1304" s="1488"/>
      <c r="P1304" s="1488"/>
      <c r="Q1304" s="1489"/>
      <c r="R1304" s="1489"/>
      <c r="S1304" s="1489"/>
      <c r="T1304" s="1489"/>
      <c r="U1304" s="1489"/>
      <c r="V1304" s="1489"/>
      <c r="W1304" s="1489"/>
      <c r="X1304" s="1489"/>
      <c r="Y1304" s="1489"/>
      <c r="Z1304" s="1489"/>
      <c r="AA1304" s="1489"/>
      <c r="AB1304" s="1489"/>
      <c r="AC1304" s="1489"/>
      <c r="AD1304" s="1489"/>
      <c r="AE1304" s="1489"/>
      <c r="AF1304" s="1489"/>
      <c r="AG1304" s="1489"/>
      <c r="AH1304" s="1489"/>
      <c r="AI1304" s="1489"/>
      <c r="AJ1304" s="1489"/>
      <c r="AK1304" s="1489"/>
      <c r="AL1304" s="1489"/>
      <c r="AM1304" s="1489"/>
      <c r="AN1304" s="1489"/>
      <c r="AO1304" s="1489"/>
      <c r="AP1304" s="1489"/>
      <c r="AQ1304" s="1489"/>
      <c r="AR1304" s="1488"/>
      <c r="AS1304" s="1488"/>
      <c r="AT1304" s="1488"/>
      <c r="AU1304" s="1488"/>
      <c r="AV1304" s="1488"/>
      <c r="AW1304" s="1488"/>
      <c r="AX1304" s="1488"/>
      <c r="AY1304" s="1488"/>
    </row>
    <row r="1305" spans="3:51" s="1502" customFormat="1">
      <c r="C1305" s="1498"/>
      <c r="D1305" s="1501"/>
      <c r="E1305" s="1500"/>
      <c r="F1305" s="814"/>
      <c r="G1305" s="1494"/>
      <c r="H1305" s="1493"/>
      <c r="I1305" s="1493"/>
      <c r="J1305" s="813"/>
      <c r="K1305" s="814"/>
      <c r="L1305" s="1499"/>
      <c r="M1305" s="1488"/>
      <c r="N1305" s="1488"/>
      <c r="O1305" s="1488"/>
      <c r="P1305" s="1488"/>
      <c r="Q1305" s="1489"/>
      <c r="R1305" s="1489"/>
      <c r="S1305" s="1489"/>
      <c r="T1305" s="1489"/>
      <c r="U1305" s="1489"/>
      <c r="V1305" s="1489"/>
      <c r="W1305" s="1489"/>
      <c r="X1305" s="1489"/>
      <c r="Y1305" s="1489"/>
      <c r="Z1305" s="1489"/>
      <c r="AA1305" s="1489"/>
      <c r="AB1305" s="1489"/>
      <c r="AC1305" s="1489"/>
      <c r="AD1305" s="1489"/>
      <c r="AE1305" s="1489"/>
      <c r="AF1305" s="1489"/>
      <c r="AG1305" s="1489"/>
      <c r="AH1305" s="1489"/>
      <c r="AI1305" s="1489"/>
      <c r="AJ1305" s="1489"/>
      <c r="AK1305" s="1489"/>
      <c r="AL1305" s="1489"/>
      <c r="AM1305" s="1489"/>
      <c r="AN1305" s="1489"/>
      <c r="AO1305" s="1489"/>
      <c r="AP1305" s="1489"/>
      <c r="AQ1305" s="1489"/>
      <c r="AR1305" s="1488"/>
      <c r="AS1305" s="1488"/>
      <c r="AT1305" s="1488"/>
      <c r="AU1305" s="1488"/>
      <c r="AV1305" s="1488"/>
      <c r="AW1305" s="1488"/>
      <c r="AX1305" s="1488"/>
      <c r="AY1305" s="1488"/>
    </row>
    <row r="1306" spans="3:51" s="1502" customFormat="1">
      <c r="C1306" s="1498"/>
      <c r="D1306" s="1501"/>
      <c r="E1306" s="1500"/>
      <c r="F1306" s="814"/>
      <c r="G1306" s="1494"/>
      <c r="H1306" s="1493"/>
      <c r="I1306" s="1493"/>
      <c r="J1306" s="813"/>
      <c r="K1306" s="814"/>
      <c r="L1306" s="1499"/>
      <c r="M1306" s="1488"/>
      <c r="N1306" s="1488"/>
      <c r="O1306" s="1488"/>
      <c r="P1306" s="1488"/>
      <c r="Q1306" s="1489"/>
      <c r="R1306" s="1489"/>
      <c r="S1306" s="1489"/>
      <c r="T1306" s="1489"/>
      <c r="U1306" s="1489"/>
      <c r="V1306" s="1489"/>
      <c r="W1306" s="1489"/>
      <c r="X1306" s="1489"/>
      <c r="Y1306" s="1489"/>
      <c r="Z1306" s="1489"/>
      <c r="AA1306" s="1489"/>
      <c r="AB1306" s="1489"/>
      <c r="AC1306" s="1489"/>
      <c r="AD1306" s="1489"/>
      <c r="AE1306" s="1489"/>
      <c r="AF1306" s="1489"/>
      <c r="AG1306" s="1489"/>
      <c r="AH1306" s="1489"/>
      <c r="AI1306" s="1489"/>
      <c r="AJ1306" s="1489"/>
      <c r="AK1306" s="1489"/>
      <c r="AL1306" s="1489"/>
      <c r="AM1306" s="1489"/>
      <c r="AN1306" s="1489"/>
      <c r="AO1306" s="1489"/>
      <c r="AP1306" s="1489"/>
      <c r="AQ1306" s="1489"/>
      <c r="AR1306" s="1488"/>
      <c r="AS1306" s="1488"/>
      <c r="AT1306" s="1488"/>
      <c r="AU1306" s="1488"/>
      <c r="AV1306" s="1488"/>
      <c r="AW1306" s="1488"/>
      <c r="AX1306" s="1488"/>
      <c r="AY1306" s="1488"/>
    </row>
    <row r="1307" spans="3:51" s="1502" customFormat="1">
      <c r="C1307" s="1498"/>
      <c r="D1307" s="1501"/>
      <c r="E1307" s="1500"/>
      <c r="F1307" s="814"/>
      <c r="G1307" s="1494"/>
      <c r="H1307" s="1493"/>
      <c r="I1307" s="1493"/>
      <c r="J1307" s="813"/>
      <c r="K1307" s="814"/>
      <c r="L1307" s="1499"/>
      <c r="M1307" s="1488"/>
      <c r="N1307" s="1488"/>
      <c r="O1307" s="1488"/>
      <c r="P1307" s="1488"/>
      <c r="Q1307" s="1489"/>
      <c r="R1307" s="1489"/>
      <c r="S1307" s="1489"/>
      <c r="T1307" s="1489"/>
      <c r="U1307" s="1489"/>
      <c r="V1307" s="1489"/>
      <c r="W1307" s="1489"/>
      <c r="X1307" s="1489"/>
      <c r="Y1307" s="1489"/>
      <c r="Z1307" s="1489"/>
      <c r="AA1307" s="1489"/>
      <c r="AB1307" s="1489"/>
      <c r="AC1307" s="1489"/>
      <c r="AD1307" s="1489"/>
      <c r="AE1307" s="1489"/>
      <c r="AF1307" s="1489"/>
      <c r="AG1307" s="1489"/>
      <c r="AH1307" s="1489"/>
      <c r="AI1307" s="1489"/>
      <c r="AJ1307" s="1489"/>
      <c r="AK1307" s="1489"/>
      <c r="AL1307" s="1489"/>
      <c r="AM1307" s="1489"/>
      <c r="AN1307" s="1489"/>
      <c r="AO1307" s="1489"/>
      <c r="AP1307" s="1489"/>
      <c r="AQ1307" s="1489"/>
      <c r="AR1307" s="1488"/>
      <c r="AS1307" s="1488"/>
      <c r="AT1307" s="1488"/>
      <c r="AU1307" s="1488"/>
      <c r="AV1307" s="1488"/>
      <c r="AW1307" s="1488"/>
      <c r="AX1307" s="1488"/>
      <c r="AY1307" s="1488"/>
    </row>
    <row r="1308" spans="3:51" s="1502" customFormat="1">
      <c r="C1308" s="1498"/>
      <c r="D1308" s="1501"/>
      <c r="E1308" s="1500"/>
      <c r="F1308" s="814"/>
      <c r="G1308" s="1494"/>
      <c r="H1308" s="1493"/>
      <c r="I1308" s="1493"/>
      <c r="J1308" s="813"/>
      <c r="K1308" s="814"/>
      <c r="L1308" s="1499"/>
      <c r="M1308" s="1488"/>
      <c r="N1308" s="1488"/>
      <c r="O1308" s="1488"/>
      <c r="P1308" s="1488"/>
      <c r="Q1308" s="1489"/>
      <c r="R1308" s="1489"/>
      <c r="S1308" s="1489"/>
      <c r="T1308" s="1489"/>
      <c r="U1308" s="1489"/>
      <c r="V1308" s="1489"/>
      <c r="W1308" s="1489"/>
      <c r="X1308" s="1489"/>
      <c r="Y1308" s="1489"/>
      <c r="Z1308" s="1489"/>
      <c r="AA1308" s="1489"/>
      <c r="AB1308" s="1489"/>
      <c r="AC1308" s="1489"/>
      <c r="AD1308" s="1489"/>
      <c r="AE1308" s="1489"/>
      <c r="AF1308" s="1489"/>
      <c r="AG1308" s="1489"/>
      <c r="AH1308" s="1489"/>
      <c r="AI1308" s="1489"/>
      <c r="AJ1308" s="1489"/>
      <c r="AK1308" s="1489"/>
      <c r="AL1308" s="1489"/>
      <c r="AM1308" s="1489"/>
      <c r="AN1308" s="1489"/>
      <c r="AO1308" s="1489"/>
      <c r="AP1308" s="1489"/>
      <c r="AQ1308" s="1489"/>
      <c r="AR1308" s="1488"/>
      <c r="AS1308" s="1488"/>
      <c r="AT1308" s="1488"/>
      <c r="AU1308" s="1488"/>
      <c r="AV1308" s="1488"/>
      <c r="AW1308" s="1488"/>
      <c r="AX1308" s="1488"/>
      <c r="AY1308" s="1488"/>
    </row>
    <row r="1309" spans="3:51" s="1502" customFormat="1">
      <c r="C1309" s="1498"/>
      <c r="D1309" s="1501"/>
      <c r="E1309" s="1500"/>
      <c r="F1309" s="814"/>
      <c r="G1309" s="1494"/>
      <c r="H1309" s="1493"/>
      <c r="I1309" s="1493"/>
      <c r="J1309" s="813"/>
      <c r="K1309" s="814"/>
      <c r="L1309" s="1499"/>
      <c r="M1309" s="1488"/>
      <c r="N1309" s="1488"/>
      <c r="O1309" s="1488"/>
      <c r="P1309" s="1488"/>
      <c r="Q1309" s="1489"/>
      <c r="R1309" s="1489"/>
      <c r="S1309" s="1489"/>
      <c r="T1309" s="1489"/>
      <c r="U1309" s="1489"/>
      <c r="V1309" s="1489"/>
      <c r="W1309" s="1489"/>
      <c r="X1309" s="1489"/>
      <c r="Y1309" s="1489"/>
      <c r="Z1309" s="1489"/>
      <c r="AA1309" s="1489"/>
      <c r="AB1309" s="1489"/>
      <c r="AC1309" s="1489"/>
      <c r="AD1309" s="1489"/>
      <c r="AE1309" s="1489"/>
      <c r="AF1309" s="1489"/>
      <c r="AG1309" s="1489"/>
      <c r="AH1309" s="1489"/>
      <c r="AI1309" s="1489"/>
      <c r="AJ1309" s="1489"/>
      <c r="AK1309" s="1489"/>
      <c r="AL1309" s="1489"/>
      <c r="AM1309" s="1489"/>
      <c r="AN1309" s="1489"/>
      <c r="AO1309" s="1489"/>
      <c r="AP1309" s="1489"/>
      <c r="AQ1309" s="1489"/>
      <c r="AR1309" s="1488"/>
      <c r="AS1309" s="1488"/>
      <c r="AT1309" s="1488"/>
      <c r="AU1309" s="1488"/>
      <c r="AV1309" s="1488"/>
      <c r="AW1309" s="1488"/>
      <c r="AX1309" s="1488"/>
      <c r="AY1309" s="1488"/>
    </row>
    <row r="1310" spans="3:51" s="1502" customFormat="1">
      <c r="C1310" s="1498"/>
      <c r="D1310" s="1501"/>
      <c r="E1310" s="1500"/>
      <c r="F1310" s="814"/>
      <c r="G1310" s="1494"/>
      <c r="H1310" s="1493"/>
      <c r="I1310" s="1493"/>
      <c r="J1310" s="813"/>
      <c r="K1310" s="814"/>
      <c r="L1310" s="1499"/>
      <c r="M1310" s="1488"/>
      <c r="N1310" s="1488"/>
      <c r="O1310" s="1488"/>
      <c r="P1310" s="1488"/>
      <c r="Q1310" s="1489"/>
      <c r="R1310" s="1489"/>
      <c r="S1310" s="1489"/>
      <c r="T1310" s="1489"/>
      <c r="U1310" s="1489"/>
      <c r="V1310" s="1489"/>
      <c r="W1310" s="1489"/>
      <c r="X1310" s="1489"/>
      <c r="Y1310" s="1489"/>
      <c r="Z1310" s="1489"/>
      <c r="AA1310" s="1489"/>
      <c r="AB1310" s="1489"/>
      <c r="AC1310" s="1489"/>
      <c r="AD1310" s="1489"/>
      <c r="AE1310" s="1489"/>
      <c r="AF1310" s="1489"/>
      <c r="AG1310" s="1489"/>
      <c r="AH1310" s="1489"/>
      <c r="AI1310" s="1489"/>
      <c r="AJ1310" s="1489"/>
      <c r="AK1310" s="1489"/>
      <c r="AL1310" s="1489"/>
      <c r="AM1310" s="1489"/>
      <c r="AN1310" s="1489"/>
      <c r="AO1310" s="1489"/>
      <c r="AP1310" s="1489"/>
      <c r="AQ1310" s="1489"/>
      <c r="AR1310" s="1488"/>
      <c r="AS1310" s="1488"/>
      <c r="AT1310" s="1488"/>
      <c r="AU1310" s="1488"/>
      <c r="AV1310" s="1488"/>
      <c r="AW1310" s="1488"/>
      <c r="AX1310" s="1488"/>
      <c r="AY1310" s="1488"/>
    </row>
    <row r="1311" spans="3:51" s="1502" customFormat="1">
      <c r="C1311" s="1498"/>
      <c r="D1311" s="1501"/>
      <c r="E1311" s="1500"/>
      <c r="F1311" s="814"/>
      <c r="G1311" s="1494"/>
      <c r="H1311" s="1493"/>
      <c r="I1311" s="1493"/>
      <c r="J1311" s="813"/>
      <c r="K1311" s="814"/>
      <c r="L1311" s="1499"/>
      <c r="M1311" s="1488"/>
      <c r="N1311" s="1488"/>
      <c r="O1311" s="1488"/>
      <c r="P1311" s="1488"/>
      <c r="Q1311" s="1489"/>
      <c r="R1311" s="1489"/>
      <c r="S1311" s="1489"/>
      <c r="T1311" s="1489"/>
      <c r="U1311" s="1489"/>
      <c r="V1311" s="1489"/>
      <c r="W1311" s="1489"/>
      <c r="X1311" s="1489"/>
      <c r="Y1311" s="1489"/>
      <c r="Z1311" s="1489"/>
      <c r="AA1311" s="1489"/>
      <c r="AB1311" s="1489"/>
      <c r="AC1311" s="1489"/>
      <c r="AD1311" s="1489"/>
      <c r="AE1311" s="1489"/>
      <c r="AF1311" s="1489"/>
      <c r="AG1311" s="1489"/>
      <c r="AH1311" s="1489"/>
      <c r="AI1311" s="1489"/>
      <c r="AJ1311" s="1489"/>
      <c r="AK1311" s="1489"/>
      <c r="AL1311" s="1489"/>
      <c r="AM1311" s="1489"/>
      <c r="AN1311" s="1489"/>
      <c r="AO1311" s="1489"/>
      <c r="AP1311" s="1489"/>
      <c r="AQ1311" s="1489"/>
      <c r="AR1311" s="1488"/>
      <c r="AS1311" s="1488"/>
      <c r="AT1311" s="1488"/>
      <c r="AU1311" s="1488"/>
      <c r="AV1311" s="1488"/>
      <c r="AW1311" s="1488"/>
      <c r="AX1311" s="1488"/>
      <c r="AY1311" s="1488"/>
    </row>
    <row r="1312" spans="3:51" s="1502" customFormat="1">
      <c r="C1312" s="1498"/>
      <c r="D1312" s="1501"/>
      <c r="E1312" s="1500"/>
      <c r="F1312" s="814"/>
      <c r="G1312" s="1494"/>
      <c r="H1312" s="1493"/>
      <c r="I1312" s="1493"/>
      <c r="J1312" s="813"/>
      <c r="K1312" s="814"/>
      <c r="L1312" s="1499"/>
      <c r="M1312" s="1488"/>
      <c r="N1312" s="1488"/>
      <c r="O1312" s="1488"/>
      <c r="P1312" s="1488"/>
      <c r="Q1312" s="1489"/>
      <c r="R1312" s="1489"/>
      <c r="S1312" s="1489"/>
      <c r="T1312" s="1489"/>
      <c r="U1312" s="1489"/>
      <c r="V1312" s="1489"/>
      <c r="W1312" s="1489"/>
      <c r="X1312" s="1489"/>
      <c r="Y1312" s="1489"/>
      <c r="Z1312" s="1489"/>
      <c r="AA1312" s="1489"/>
      <c r="AB1312" s="1489"/>
      <c r="AC1312" s="1489"/>
      <c r="AD1312" s="1489"/>
      <c r="AE1312" s="1489"/>
      <c r="AF1312" s="1489"/>
      <c r="AG1312" s="1489"/>
      <c r="AH1312" s="1489"/>
      <c r="AI1312" s="1489"/>
      <c r="AJ1312" s="1489"/>
      <c r="AK1312" s="1489"/>
      <c r="AL1312" s="1489"/>
      <c r="AM1312" s="1489"/>
      <c r="AN1312" s="1489"/>
      <c r="AO1312" s="1489"/>
      <c r="AP1312" s="1489"/>
      <c r="AQ1312" s="1489"/>
      <c r="AR1312" s="1488"/>
      <c r="AS1312" s="1488"/>
      <c r="AT1312" s="1488"/>
      <c r="AU1312" s="1488"/>
      <c r="AV1312" s="1488"/>
      <c r="AW1312" s="1488"/>
      <c r="AX1312" s="1488"/>
      <c r="AY1312" s="1488"/>
    </row>
    <row r="1313" spans="3:51" s="1502" customFormat="1">
      <c r="C1313" s="1498"/>
      <c r="D1313" s="1501"/>
      <c r="E1313" s="1500"/>
      <c r="F1313" s="814"/>
      <c r="G1313" s="1494"/>
      <c r="H1313" s="1493"/>
      <c r="I1313" s="1493"/>
      <c r="J1313" s="813"/>
      <c r="K1313" s="814"/>
      <c r="L1313" s="1499"/>
      <c r="M1313" s="1488"/>
      <c r="N1313" s="1488"/>
      <c r="O1313" s="1488"/>
      <c r="P1313" s="1488"/>
      <c r="Q1313" s="1489"/>
      <c r="R1313" s="1489"/>
      <c r="S1313" s="1489"/>
      <c r="T1313" s="1489"/>
      <c r="U1313" s="1489"/>
      <c r="V1313" s="1489"/>
      <c r="W1313" s="1489"/>
      <c r="X1313" s="1489"/>
      <c r="Y1313" s="1489"/>
      <c r="Z1313" s="1489"/>
      <c r="AA1313" s="1489"/>
      <c r="AB1313" s="1489"/>
      <c r="AC1313" s="1489"/>
      <c r="AD1313" s="1489"/>
      <c r="AE1313" s="1489"/>
      <c r="AF1313" s="1489"/>
      <c r="AG1313" s="1489"/>
      <c r="AH1313" s="1489"/>
      <c r="AI1313" s="1489"/>
      <c r="AJ1313" s="1489"/>
      <c r="AK1313" s="1489"/>
      <c r="AL1313" s="1489"/>
      <c r="AM1313" s="1489"/>
      <c r="AN1313" s="1489"/>
      <c r="AO1313" s="1489"/>
      <c r="AP1313" s="1489"/>
      <c r="AQ1313" s="1489"/>
      <c r="AR1313" s="1488"/>
      <c r="AS1313" s="1488"/>
      <c r="AT1313" s="1488"/>
      <c r="AU1313" s="1488"/>
      <c r="AV1313" s="1488"/>
      <c r="AW1313" s="1488"/>
      <c r="AX1313" s="1488"/>
      <c r="AY1313" s="1488"/>
    </row>
    <row r="1314" spans="3:51" s="1502" customFormat="1">
      <c r="C1314" s="1498"/>
      <c r="D1314" s="1501"/>
      <c r="E1314" s="1500"/>
      <c r="F1314" s="814"/>
      <c r="G1314" s="1494"/>
      <c r="H1314" s="1493"/>
      <c r="I1314" s="1493"/>
      <c r="J1314" s="813"/>
      <c r="K1314" s="814"/>
      <c r="L1314" s="1499"/>
      <c r="M1314" s="1488"/>
      <c r="N1314" s="1488"/>
      <c r="O1314" s="1488"/>
      <c r="P1314" s="1488"/>
      <c r="Q1314" s="1489"/>
      <c r="R1314" s="1489"/>
      <c r="S1314" s="1489"/>
      <c r="T1314" s="1489"/>
      <c r="U1314" s="1489"/>
      <c r="V1314" s="1489"/>
      <c r="W1314" s="1489"/>
      <c r="X1314" s="1489"/>
      <c r="Y1314" s="1489"/>
      <c r="Z1314" s="1489"/>
      <c r="AA1314" s="1489"/>
      <c r="AB1314" s="1489"/>
      <c r="AC1314" s="1489"/>
      <c r="AD1314" s="1489"/>
      <c r="AE1314" s="1489"/>
      <c r="AF1314" s="1489"/>
      <c r="AG1314" s="1489"/>
      <c r="AH1314" s="1489"/>
      <c r="AI1314" s="1489"/>
      <c r="AJ1314" s="1489"/>
      <c r="AK1314" s="1489"/>
      <c r="AL1314" s="1489"/>
      <c r="AM1314" s="1489"/>
      <c r="AN1314" s="1489"/>
      <c r="AO1314" s="1489"/>
      <c r="AP1314" s="1489"/>
      <c r="AQ1314" s="1489"/>
      <c r="AR1314" s="1488"/>
      <c r="AS1314" s="1488"/>
      <c r="AT1314" s="1488"/>
      <c r="AU1314" s="1488"/>
      <c r="AV1314" s="1488"/>
      <c r="AW1314" s="1488"/>
      <c r="AX1314" s="1488"/>
      <c r="AY1314" s="1488"/>
    </row>
    <row r="1315" spans="3:51" s="1502" customFormat="1">
      <c r="C1315" s="1498"/>
      <c r="D1315" s="1501"/>
      <c r="E1315" s="1500"/>
      <c r="F1315" s="814"/>
      <c r="G1315" s="1494"/>
      <c r="H1315" s="1493"/>
      <c r="I1315" s="1493"/>
      <c r="J1315" s="813"/>
      <c r="K1315" s="814"/>
      <c r="L1315" s="1499"/>
      <c r="M1315" s="1488"/>
      <c r="N1315" s="1488"/>
      <c r="O1315" s="1488"/>
      <c r="P1315" s="1488"/>
      <c r="Q1315" s="1489"/>
      <c r="R1315" s="1489"/>
      <c r="S1315" s="1489"/>
      <c r="T1315" s="1489"/>
      <c r="U1315" s="1489"/>
      <c r="V1315" s="1489"/>
      <c r="W1315" s="1489"/>
      <c r="X1315" s="1489"/>
      <c r="Y1315" s="1489"/>
      <c r="Z1315" s="1489"/>
      <c r="AA1315" s="1489"/>
      <c r="AB1315" s="1489"/>
      <c r="AC1315" s="1489"/>
      <c r="AD1315" s="1489"/>
      <c r="AE1315" s="1489"/>
      <c r="AF1315" s="1489"/>
      <c r="AG1315" s="1489"/>
      <c r="AH1315" s="1489"/>
      <c r="AI1315" s="1489"/>
      <c r="AJ1315" s="1489"/>
      <c r="AK1315" s="1489"/>
      <c r="AL1315" s="1489"/>
      <c r="AM1315" s="1489"/>
      <c r="AN1315" s="1489"/>
      <c r="AO1315" s="1489"/>
      <c r="AP1315" s="1489"/>
      <c r="AQ1315" s="1489"/>
      <c r="AR1315" s="1488"/>
      <c r="AS1315" s="1488"/>
      <c r="AT1315" s="1488"/>
      <c r="AU1315" s="1488"/>
      <c r="AV1315" s="1488"/>
      <c r="AW1315" s="1488"/>
      <c r="AX1315" s="1488"/>
      <c r="AY1315" s="1488"/>
    </row>
    <row r="1316" spans="3:51" s="1502" customFormat="1">
      <c r="C1316" s="1498"/>
      <c r="D1316" s="1501"/>
      <c r="E1316" s="1500"/>
      <c r="F1316" s="814"/>
      <c r="G1316" s="1494"/>
      <c r="H1316" s="1493"/>
      <c r="I1316" s="1493"/>
      <c r="J1316" s="813"/>
      <c r="K1316" s="814"/>
      <c r="L1316" s="1499"/>
      <c r="M1316" s="1488"/>
      <c r="N1316" s="1488"/>
      <c r="O1316" s="1488"/>
      <c r="P1316" s="1488"/>
      <c r="Q1316" s="1489"/>
      <c r="R1316" s="1489"/>
      <c r="S1316" s="1489"/>
      <c r="T1316" s="1489"/>
      <c r="U1316" s="1489"/>
      <c r="V1316" s="1489"/>
      <c r="W1316" s="1489"/>
      <c r="X1316" s="1489"/>
      <c r="Y1316" s="1489"/>
      <c r="Z1316" s="1489"/>
      <c r="AA1316" s="1489"/>
      <c r="AB1316" s="1489"/>
      <c r="AC1316" s="1489"/>
      <c r="AD1316" s="1489"/>
      <c r="AE1316" s="1489"/>
      <c r="AF1316" s="1489"/>
      <c r="AG1316" s="1489"/>
      <c r="AH1316" s="1489"/>
      <c r="AI1316" s="1489"/>
      <c r="AJ1316" s="1489"/>
      <c r="AK1316" s="1489"/>
      <c r="AL1316" s="1489"/>
      <c r="AM1316" s="1489"/>
      <c r="AN1316" s="1489"/>
      <c r="AO1316" s="1489"/>
      <c r="AP1316" s="1489"/>
      <c r="AQ1316" s="1489"/>
      <c r="AR1316" s="1488"/>
      <c r="AS1316" s="1488"/>
      <c r="AT1316" s="1488"/>
      <c r="AU1316" s="1488"/>
      <c r="AV1316" s="1488"/>
      <c r="AW1316" s="1488"/>
      <c r="AX1316" s="1488"/>
      <c r="AY1316" s="1488"/>
    </row>
    <row r="1317" spans="3:51" s="1502" customFormat="1">
      <c r="C1317" s="1498"/>
      <c r="D1317" s="1501"/>
      <c r="E1317" s="1500"/>
      <c r="F1317" s="814"/>
      <c r="G1317" s="1494"/>
      <c r="H1317" s="1493"/>
      <c r="I1317" s="1493"/>
      <c r="J1317" s="813"/>
      <c r="K1317" s="814"/>
      <c r="L1317" s="1499"/>
      <c r="M1317" s="1488"/>
      <c r="N1317" s="1488"/>
      <c r="O1317" s="1488"/>
      <c r="P1317" s="1488"/>
      <c r="Q1317" s="1489"/>
      <c r="R1317" s="1489"/>
      <c r="S1317" s="1489"/>
      <c r="T1317" s="1489"/>
      <c r="U1317" s="1489"/>
      <c r="V1317" s="1489"/>
      <c r="W1317" s="1489"/>
      <c r="X1317" s="1489"/>
      <c r="Y1317" s="1489"/>
      <c r="Z1317" s="1489"/>
      <c r="AA1317" s="1489"/>
      <c r="AB1317" s="1489"/>
      <c r="AC1317" s="1489"/>
      <c r="AD1317" s="1489"/>
      <c r="AE1317" s="1489"/>
      <c r="AF1317" s="1489"/>
      <c r="AG1317" s="1489"/>
      <c r="AH1317" s="1489"/>
      <c r="AI1317" s="1489"/>
      <c r="AJ1317" s="1489"/>
      <c r="AK1317" s="1489"/>
      <c r="AL1317" s="1489"/>
      <c r="AM1317" s="1489"/>
      <c r="AN1317" s="1489"/>
      <c r="AO1317" s="1489"/>
      <c r="AP1317" s="1489"/>
      <c r="AQ1317" s="1489"/>
      <c r="AR1317" s="1488"/>
      <c r="AS1317" s="1488"/>
      <c r="AT1317" s="1488"/>
      <c r="AU1317" s="1488"/>
      <c r="AV1317" s="1488"/>
      <c r="AW1317" s="1488"/>
      <c r="AX1317" s="1488"/>
      <c r="AY1317" s="1488"/>
    </row>
    <row r="1318" spans="3:51" s="1502" customFormat="1">
      <c r="C1318" s="1498"/>
      <c r="D1318" s="1501"/>
      <c r="E1318" s="1500"/>
      <c r="F1318" s="814"/>
      <c r="G1318" s="1494"/>
      <c r="H1318" s="1493"/>
      <c r="I1318" s="1493"/>
      <c r="J1318" s="813"/>
      <c r="K1318" s="814"/>
      <c r="L1318" s="1499"/>
      <c r="M1318" s="1488"/>
      <c r="N1318" s="1488"/>
      <c r="O1318" s="1488"/>
      <c r="P1318" s="1488"/>
      <c r="Q1318" s="1489"/>
      <c r="R1318" s="1489"/>
      <c r="S1318" s="1489"/>
      <c r="T1318" s="1489"/>
      <c r="U1318" s="1489"/>
      <c r="V1318" s="1489"/>
      <c r="W1318" s="1489"/>
      <c r="X1318" s="1489"/>
      <c r="Y1318" s="1489"/>
      <c r="Z1318" s="1489"/>
      <c r="AA1318" s="1489"/>
      <c r="AB1318" s="1489"/>
      <c r="AC1318" s="1489"/>
      <c r="AD1318" s="1489"/>
      <c r="AE1318" s="1489"/>
      <c r="AF1318" s="1489"/>
      <c r="AG1318" s="1489"/>
      <c r="AH1318" s="1489"/>
      <c r="AI1318" s="1489"/>
      <c r="AJ1318" s="1489"/>
      <c r="AK1318" s="1489"/>
      <c r="AL1318" s="1489"/>
      <c r="AM1318" s="1489"/>
      <c r="AN1318" s="1489"/>
      <c r="AO1318" s="1489"/>
      <c r="AP1318" s="1489"/>
      <c r="AQ1318" s="1489"/>
      <c r="AR1318" s="1488"/>
      <c r="AS1318" s="1488"/>
      <c r="AT1318" s="1488"/>
      <c r="AU1318" s="1488"/>
      <c r="AV1318" s="1488"/>
      <c r="AW1318" s="1488"/>
      <c r="AX1318" s="1488"/>
      <c r="AY1318" s="1488"/>
    </row>
    <row r="1319" spans="3:51" s="1502" customFormat="1">
      <c r="C1319" s="1498"/>
      <c r="D1319" s="1501"/>
      <c r="E1319" s="1500"/>
      <c r="F1319" s="814"/>
      <c r="G1319" s="1494"/>
      <c r="H1319" s="1493"/>
      <c r="I1319" s="1493"/>
      <c r="J1319" s="813"/>
      <c r="K1319" s="814"/>
      <c r="L1319" s="1499"/>
      <c r="M1319" s="1488"/>
      <c r="N1319" s="1488"/>
      <c r="O1319" s="1488"/>
      <c r="P1319" s="1488"/>
      <c r="Q1319" s="1489"/>
      <c r="R1319" s="1489"/>
      <c r="S1319" s="1489"/>
      <c r="T1319" s="1489"/>
      <c r="U1319" s="1489"/>
      <c r="V1319" s="1489"/>
      <c r="W1319" s="1489"/>
      <c r="X1319" s="1489"/>
      <c r="Y1319" s="1489"/>
      <c r="Z1319" s="1489"/>
      <c r="AA1319" s="1489"/>
      <c r="AB1319" s="1489"/>
      <c r="AC1319" s="1489"/>
      <c r="AD1319" s="1489"/>
      <c r="AE1319" s="1489"/>
      <c r="AF1319" s="1489"/>
      <c r="AG1319" s="1489"/>
      <c r="AH1319" s="1489"/>
      <c r="AI1319" s="1489"/>
      <c r="AJ1319" s="1489"/>
      <c r="AK1319" s="1489"/>
      <c r="AL1319" s="1489"/>
      <c r="AM1319" s="1489"/>
      <c r="AN1319" s="1489"/>
      <c r="AO1319" s="1489"/>
      <c r="AP1319" s="1489"/>
      <c r="AQ1319" s="1489"/>
      <c r="AR1319" s="1488"/>
      <c r="AS1319" s="1488"/>
      <c r="AT1319" s="1488"/>
      <c r="AU1319" s="1488"/>
      <c r="AV1319" s="1488"/>
      <c r="AW1319" s="1488"/>
      <c r="AX1319" s="1488"/>
      <c r="AY1319" s="1488"/>
    </row>
    <row r="1320" spans="3:51" s="1502" customFormat="1">
      <c r="C1320" s="1498"/>
      <c r="D1320" s="1501"/>
      <c r="E1320" s="1500"/>
      <c r="F1320" s="814"/>
      <c r="G1320" s="1494"/>
      <c r="H1320" s="1493"/>
      <c r="I1320" s="1493"/>
      <c r="J1320" s="813"/>
      <c r="K1320" s="814"/>
      <c r="L1320" s="1499"/>
      <c r="M1320" s="1488"/>
      <c r="N1320" s="1488"/>
      <c r="O1320" s="1488"/>
      <c r="P1320" s="1488"/>
      <c r="Q1320" s="1489"/>
      <c r="R1320" s="1489"/>
      <c r="S1320" s="1489"/>
      <c r="T1320" s="1489"/>
      <c r="U1320" s="1489"/>
      <c r="V1320" s="1489"/>
      <c r="W1320" s="1489"/>
      <c r="X1320" s="1489"/>
      <c r="Y1320" s="1489"/>
      <c r="Z1320" s="1489"/>
      <c r="AA1320" s="1489"/>
      <c r="AB1320" s="1489"/>
      <c r="AC1320" s="1489"/>
      <c r="AD1320" s="1489"/>
      <c r="AE1320" s="1489"/>
      <c r="AF1320" s="1489"/>
      <c r="AG1320" s="1489"/>
      <c r="AH1320" s="1489"/>
      <c r="AI1320" s="1489"/>
      <c r="AJ1320" s="1489"/>
      <c r="AK1320" s="1489"/>
      <c r="AL1320" s="1489"/>
      <c r="AM1320" s="1489"/>
      <c r="AN1320" s="1489"/>
      <c r="AO1320" s="1489"/>
      <c r="AP1320" s="1489"/>
      <c r="AQ1320" s="1489"/>
      <c r="AR1320" s="1488"/>
      <c r="AS1320" s="1488"/>
      <c r="AT1320" s="1488"/>
      <c r="AU1320" s="1488"/>
      <c r="AV1320" s="1488"/>
      <c r="AW1320" s="1488"/>
      <c r="AX1320" s="1488"/>
      <c r="AY1320" s="1488"/>
    </row>
    <row r="1321" spans="3:51" s="1502" customFormat="1">
      <c r="C1321" s="1498"/>
      <c r="D1321" s="1501"/>
      <c r="E1321" s="1500"/>
      <c r="F1321" s="814"/>
      <c r="G1321" s="1494"/>
      <c r="H1321" s="1493"/>
      <c r="I1321" s="1493"/>
      <c r="J1321" s="813"/>
      <c r="K1321" s="814"/>
      <c r="L1321" s="1499"/>
      <c r="M1321" s="1488"/>
      <c r="N1321" s="1488"/>
      <c r="O1321" s="1488"/>
      <c r="P1321" s="1488"/>
      <c r="Q1321" s="1489"/>
      <c r="R1321" s="1489"/>
      <c r="S1321" s="1489"/>
      <c r="T1321" s="1489"/>
      <c r="U1321" s="1489"/>
      <c r="V1321" s="1489"/>
      <c r="W1321" s="1489"/>
      <c r="X1321" s="1489"/>
      <c r="Y1321" s="1489"/>
      <c r="Z1321" s="1489"/>
      <c r="AA1321" s="1489"/>
      <c r="AB1321" s="1489"/>
      <c r="AC1321" s="1489"/>
      <c r="AD1321" s="1489"/>
      <c r="AE1321" s="1489"/>
      <c r="AF1321" s="1489"/>
      <c r="AG1321" s="1489"/>
      <c r="AH1321" s="1489"/>
      <c r="AI1321" s="1489"/>
      <c r="AJ1321" s="1489"/>
      <c r="AK1321" s="1489"/>
      <c r="AL1321" s="1489"/>
      <c r="AM1321" s="1489"/>
      <c r="AN1321" s="1489"/>
      <c r="AO1321" s="1489"/>
      <c r="AP1321" s="1489"/>
      <c r="AQ1321" s="1489"/>
      <c r="AR1321" s="1488"/>
      <c r="AS1321" s="1488"/>
      <c r="AT1321" s="1488"/>
      <c r="AU1321" s="1488"/>
      <c r="AV1321" s="1488"/>
      <c r="AW1321" s="1488"/>
      <c r="AX1321" s="1488"/>
      <c r="AY1321" s="1488"/>
    </row>
    <row r="1322" spans="3:51" s="1502" customFormat="1">
      <c r="C1322" s="1498"/>
      <c r="D1322" s="1501"/>
      <c r="E1322" s="1500"/>
      <c r="F1322" s="814"/>
      <c r="G1322" s="1494"/>
      <c r="H1322" s="1493"/>
      <c r="I1322" s="1493"/>
      <c r="J1322" s="813"/>
      <c r="K1322" s="814"/>
      <c r="L1322" s="1499"/>
      <c r="M1322" s="1488"/>
      <c r="N1322" s="1488"/>
      <c r="O1322" s="1488"/>
      <c r="P1322" s="1488"/>
      <c r="Q1322" s="1489"/>
      <c r="R1322" s="1489"/>
      <c r="S1322" s="1489"/>
      <c r="T1322" s="1489"/>
      <c r="U1322" s="1489"/>
      <c r="V1322" s="1489"/>
      <c r="W1322" s="1489"/>
      <c r="X1322" s="1489"/>
      <c r="Y1322" s="1489"/>
      <c r="Z1322" s="1489"/>
      <c r="AA1322" s="1489"/>
      <c r="AB1322" s="1489"/>
      <c r="AC1322" s="1489"/>
      <c r="AD1322" s="1489"/>
      <c r="AE1322" s="1489"/>
      <c r="AF1322" s="1489"/>
      <c r="AG1322" s="1489"/>
      <c r="AH1322" s="1489"/>
      <c r="AI1322" s="1489"/>
      <c r="AJ1322" s="1489"/>
      <c r="AK1322" s="1489"/>
      <c r="AL1322" s="1489"/>
      <c r="AM1322" s="1489"/>
      <c r="AN1322" s="1489"/>
      <c r="AO1322" s="1489"/>
      <c r="AP1322" s="1489"/>
      <c r="AQ1322" s="1489"/>
      <c r="AR1322" s="1488"/>
      <c r="AS1322" s="1488"/>
      <c r="AT1322" s="1488"/>
      <c r="AU1322" s="1488"/>
      <c r="AV1322" s="1488"/>
      <c r="AW1322" s="1488"/>
      <c r="AX1322" s="1488"/>
      <c r="AY1322" s="1488"/>
    </row>
    <row r="1323" spans="3:51" s="1502" customFormat="1">
      <c r="C1323" s="1498"/>
      <c r="D1323" s="1501"/>
      <c r="E1323" s="1500"/>
      <c r="F1323" s="814"/>
      <c r="G1323" s="1494"/>
      <c r="H1323" s="1493"/>
      <c r="I1323" s="1493"/>
      <c r="J1323" s="813"/>
      <c r="K1323" s="814"/>
      <c r="L1323" s="1499"/>
      <c r="M1323" s="1488"/>
      <c r="N1323" s="1488"/>
      <c r="O1323" s="1488"/>
      <c r="P1323" s="1488"/>
      <c r="Q1323" s="1489"/>
      <c r="R1323" s="1489"/>
      <c r="S1323" s="1489"/>
      <c r="T1323" s="1489"/>
      <c r="U1323" s="1489"/>
      <c r="V1323" s="1489"/>
      <c r="W1323" s="1489"/>
      <c r="X1323" s="1489"/>
      <c r="Y1323" s="1489"/>
      <c r="Z1323" s="1489"/>
      <c r="AA1323" s="1489"/>
      <c r="AB1323" s="1489"/>
      <c r="AC1323" s="1489"/>
      <c r="AD1323" s="1489"/>
      <c r="AE1323" s="1489"/>
      <c r="AF1323" s="1489"/>
      <c r="AG1323" s="1489"/>
      <c r="AH1323" s="1489"/>
      <c r="AI1323" s="1489"/>
      <c r="AJ1323" s="1489"/>
      <c r="AK1323" s="1489"/>
      <c r="AL1323" s="1489"/>
      <c r="AM1323" s="1489"/>
      <c r="AN1323" s="1489"/>
      <c r="AO1323" s="1489"/>
      <c r="AP1323" s="1489"/>
      <c r="AQ1323" s="1489"/>
      <c r="AR1323" s="1488"/>
      <c r="AS1323" s="1488"/>
      <c r="AT1323" s="1488"/>
      <c r="AU1323" s="1488"/>
      <c r="AV1323" s="1488"/>
      <c r="AW1323" s="1488"/>
      <c r="AX1323" s="1488"/>
      <c r="AY1323" s="1488"/>
    </row>
    <row r="1324" spans="3:51" s="1502" customFormat="1">
      <c r="C1324" s="1498"/>
      <c r="D1324" s="1501"/>
      <c r="E1324" s="1500"/>
      <c r="F1324" s="814"/>
      <c r="G1324" s="1494"/>
      <c r="H1324" s="1493"/>
      <c r="I1324" s="1493"/>
      <c r="J1324" s="813"/>
      <c r="K1324" s="814"/>
      <c r="L1324" s="1499"/>
      <c r="M1324" s="1488"/>
      <c r="N1324" s="1488"/>
      <c r="O1324" s="1488"/>
      <c r="P1324" s="1488"/>
      <c r="Q1324" s="1489"/>
      <c r="R1324" s="1489"/>
      <c r="S1324" s="1489"/>
      <c r="T1324" s="1489"/>
      <c r="U1324" s="1489"/>
      <c r="V1324" s="1489"/>
      <c r="W1324" s="1489"/>
      <c r="X1324" s="1489"/>
      <c r="Y1324" s="1489"/>
      <c r="Z1324" s="1489"/>
      <c r="AA1324" s="1489"/>
      <c r="AB1324" s="1489"/>
      <c r="AC1324" s="1489"/>
      <c r="AD1324" s="1489"/>
      <c r="AE1324" s="1489"/>
      <c r="AF1324" s="1489"/>
      <c r="AG1324" s="1489"/>
      <c r="AH1324" s="1489"/>
      <c r="AI1324" s="1489"/>
      <c r="AJ1324" s="1489"/>
      <c r="AK1324" s="1489"/>
      <c r="AL1324" s="1489"/>
      <c r="AM1324" s="1489"/>
      <c r="AN1324" s="1489"/>
      <c r="AO1324" s="1489"/>
      <c r="AP1324" s="1489"/>
      <c r="AQ1324" s="1489"/>
      <c r="AR1324" s="1488"/>
      <c r="AS1324" s="1488"/>
      <c r="AT1324" s="1488"/>
      <c r="AU1324" s="1488"/>
      <c r="AV1324" s="1488"/>
      <c r="AW1324" s="1488"/>
      <c r="AX1324" s="1488"/>
      <c r="AY1324" s="1488"/>
    </row>
    <row r="1325" spans="3:51" s="1502" customFormat="1">
      <c r="C1325" s="1498"/>
      <c r="D1325" s="1501"/>
      <c r="E1325" s="1500"/>
      <c r="F1325" s="814"/>
      <c r="G1325" s="1494"/>
      <c r="H1325" s="1493"/>
      <c r="I1325" s="1493"/>
      <c r="J1325" s="813"/>
      <c r="K1325" s="814"/>
      <c r="L1325" s="1499"/>
      <c r="M1325" s="1488"/>
      <c r="N1325" s="1488"/>
      <c r="O1325" s="1488"/>
      <c r="P1325" s="1488"/>
      <c r="Q1325" s="1489"/>
      <c r="R1325" s="1489"/>
      <c r="S1325" s="1489"/>
      <c r="T1325" s="1489"/>
      <c r="U1325" s="1489"/>
      <c r="V1325" s="1489"/>
      <c r="W1325" s="1489"/>
      <c r="X1325" s="1489"/>
      <c r="Y1325" s="1489"/>
      <c r="Z1325" s="1489"/>
      <c r="AA1325" s="1489"/>
      <c r="AB1325" s="1489"/>
      <c r="AC1325" s="1489"/>
      <c r="AD1325" s="1489"/>
      <c r="AE1325" s="1489"/>
      <c r="AF1325" s="1489"/>
      <c r="AG1325" s="1489"/>
      <c r="AH1325" s="1489"/>
      <c r="AI1325" s="1489"/>
      <c r="AJ1325" s="1489"/>
      <c r="AK1325" s="1489"/>
      <c r="AL1325" s="1489"/>
      <c r="AM1325" s="1489"/>
      <c r="AN1325" s="1489"/>
      <c r="AO1325" s="1489"/>
      <c r="AP1325" s="1489"/>
      <c r="AQ1325" s="1489"/>
      <c r="AR1325" s="1488"/>
      <c r="AS1325" s="1488"/>
      <c r="AT1325" s="1488"/>
      <c r="AU1325" s="1488"/>
      <c r="AV1325" s="1488"/>
      <c r="AW1325" s="1488"/>
      <c r="AX1325" s="1488"/>
      <c r="AY1325" s="1488"/>
    </row>
    <row r="1326" spans="3:51" s="1502" customFormat="1">
      <c r="C1326" s="1498"/>
      <c r="D1326" s="1501"/>
      <c r="E1326" s="1500"/>
      <c r="F1326" s="814"/>
      <c r="G1326" s="1494"/>
      <c r="H1326" s="1493"/>
      <c r="I1326" s="1493"/>
      <c r="J1326" s="813"/>
      <c r="K1326" s="814"/>
      <c r="L1326" s="1499"/>
      <c r="M1326" s="1488"/>
      <c r="N1326" s="1488"/>
      <c r="O1326" s="1488"/>
      <c r="P1326" s="1488"/>
      <c r="Q1326" s="1489"/>
      <c r="R1326" s="1489"/>
      <c r="S1326" s="1489"/>
      <c r="T1326" s="1489"/>
      <c r="U1326" s="1489"/>
      <c r="V1326" s="1489"/>
      <c r="W1326" s="1489"/>
      <c r="X1326" s="1489"/>
      <c r="Y1326" s="1489"/>
      <c r="Z1326" s="1489"/>
      <c r="AA1326" s="1489"/>
      <c r="AB1326" s="1489"/>
      <c r="AC1326" s="1489"/>
      <c r="AD1326" s="1489"/>
      <c r="AE1326" s="1489"/>
      <c r="AF1326" s="1489"/>
      <c r="AG1326" s="1489"/>
      <c r="AH1326" s="1489"/>
      <c r="AI1326" s="1489"/>
      <c r="AJ1326" s="1489"/>
      <c r="AK1326" s="1489"/>
      <c r="AL1326" s="1489"/>
      <c r="AM1326" s="1489"/>
      <c r="AN1326" s="1489"/>
      <c r="AO1326" s="1489"/>
      <c r="AP1326" s="1489"/>
      <c r="AQ1326" s="1489"/>
      <c r="AR1326" s="1488"/>
      <c r="AS1326" s="1488"/>
      <c r="AT1326" s="1488"/>
      <c r="AU1326" s="1488"/>
      <c r="AV1326" s="1488"/>
      <c r="AW1326" s="1488"/>
      <c r="AX1326" s="1488"/>
      <c r="AY1326" s="1488"/>
    </row>
    <row r="1327" spans="3:51" s="1502" customFormat="1">
      <c r="C1327" s="1498"/>
      <c r="D1327" s="1501"/>
      <c r="E1327" s="1500"/>
      <c r="F1327" s="814"/>
      <c r="G1327" s="1494"/>
      <c r="H1327" s="1493"/>
      <c r="I1327" s="1493"/>
      <c r="J1327" s="813"/>
      <c r="K1327" s="814"/>
      <c r="L1327" s="1499"/>
      <c r="M1327" s="1488"/>
      <c r="N1327" s="1488"/>
      <c r="O1327" s="1488"/>
      <c r="P1327" s="1488"/>
      <c r="Q1327" s="1489"/>
      <c r="R1327" s="1489"/>
      <c r="S1327" s="1489"/>
      <c r="T1327" s="1489"/>
      <c r="U1327" s="1489"/>
      <c r="V1327" s="1489"/>
      <c r="W1327" s="1489"/>
      <c r="X1327" s="1489"/>
      <c r="Y1327" s="1489"/>
      <c r="Z1327" s="1489"/>
      <c r="AA1327" s="1489"/>
      <c r="AB1327" s="1489"/>
      <c r="AC1327" s="1489"/>
      <c r="AD1327" s="1489"/>
      <c r="AE1327" s="1489"/>
      <c r="AF1327" s="1489"/>
      <c r="AG1327" s="1489"/>
      <c r="AH1327" s="1489"/>
      <c r="AI1327" s="1489"/>
      <c r="AJ1327" s="1489"/>
      <c r="AK1327" s="1489"/>
      <c r="AL1327" s="1489"/>
      <c r="AM1327" s="1489"/>
      <c r="AN1327" s="1489"/>
      <c r="AO1327" s="1489"/>
      <c r="AP1327" s="1489"/>
      <c r="AQ1327" s="1489"/>
      <c r="AR1327" s="1488"/>
      <c r="AS1327" s="1488"/>
      <c r="AT1327" s="1488"/>
      <c r="AU1327" s="1488"/>
      <c r="AV1327" s="1488"/>
      <c r="AW1327" s="1488"/>
      <c r="AX1327" s="1488"/>
      <c r="AY1327" s="1488"/>
    </row>
    <row r="1328" spans="3:51" s="1502" customFormat="1">
      <c r="C1328" s="1498"/>
      <c r="D1328" s="1501"/>
      <c r="E1328" s="1500"/>
      <c r="F1328" s="814"/>
      <c r="G1328" s="1494"/>
      <c r="H1328" s="1493"/>
      <c r="I1328" s="1493"/>
      <c r="J1328" s="813"/>
      <c r="K1328" s="814"/>
      <c r="L1328" s="1499"/>
      <c r="M1328" s="1488"/>
      <c r="N1328" s="1488"/>
      <c r="O1328" s="1488"/>
      <c r="P1328" s="1488"/>
      <c r="Q1328" s="1489"/>
      <c r="R1328" s="1489"/>
      <c r="S1328" s="1489"/>
      <c r="T1328" s="1489"/>
      <c r="U1328" s="1489"/>
      <c r="V1328" s="1489"/>
      <c r="W1328" s="1489"/>
      <c r="X1328" s="1489"/>
      <c r="Y1328" s="1489"/>
      <c r="Z1328" s="1489"/>
      <c r="AA1328" s="1489"/>
      <c r="AB1328" s="1489"/>
      <c r="AC1328" s="1489"/>
      <c r="AD1328" s="1489"/>
      <c r="AE1328" s="1489"/>
      <c r="AF1328" s="1489"/>
      <c r="AG1328" s="1489"/>
      <c r="AH1328" s="1489"/>
      <c r="AI1328" s="1489"/>
      <c r="AJ1328" s="1489"/>
      <c r="AK1328" s="1489"/>
      <c r="AL1328" s="1489"/>
      <c r="AM1328" s="1489"/>
      <c r="AN1328" s="1489"/>
      <c r="AO1328" s="1489"/>
      <c r="AP1328" s="1489"/>
      <c r="AQ1328" s="1489"/>
      <c r="AR1328" s="1488"/>
      <c r="AS1328" s="1488"/>
      <c r="AT1328" s="1488"/>
      <c r="AU1328" s="1488"/>
      <c r="AV1328" s="1488"/>
      <c r="AW1328" s="1488"/>
      <c r="AX1328" s="1488"/>
      <c r="AY1328" s="1488"/>
    </row>
    <row r="1329" spans="3:51" s="1502" customFormat="1">
      <c r="C1329" s="1498"/>
      <c r="D1329" s="1501"/>
      <c r="E1329" s="1500"/>
      <c r="F1329" s="814"/>
      <c r="G1329" s="1494"/>
      <c r="H1329" s="1493"/>
      <c r="I1329" s="1493"/>
      <c r="J1329" s="813"/>
      <c r="K1329" s="814"/>
      <c r="L1329" s="1499"/>
      <c r="M1329" s="1488"/>
      <c r="N1329" s="1488"/>
      <c r="O1329" s="1488"/>
      <c r="P1329" s="1488"/>
      <c r="Q1329" s="1489"/>
      <c r="R1329" s="1489"/>
      <c r="S1329" s="1489"/>
      <c r="T1329" s="1489"/>
      <c r="U1329" s="1489"/>
      <c r="V1329" s="1489"/>
      <c r="W1329" s="1489"/>
      <c r="X1329" s="1489"/>
      <c r="Y1329" s="1489"/>
      <c r="Z1329" s="1489"/>
      <c r="AA1329" s="1489"/>
      <c r="AB1329" s="1489"/>
      <c r="AC1329" s="1489"/>
      <c r="AD1329" s="1489"/>
      <c r="AE1329" s="1489"/>
      <c r="AF1329" s="1489"/>
      <c r="AG1329" s="1489"/>
      <c r="AH1329" s="1489"/>
      <c r="AI1329" s="1489"/>
      <c r="AJ1329" s="1489"/>
      <c r="AK1329" s="1489"/>
      <c r="AL1329" s="1489"/>
      <c r="AM1329" s="1489"/>
      <c r="AN1329" s="1489"/>
      <c r="AO1329" s="1489"/>
      <c r="AP1329" s="1489"/>
      <c r="AQ1329" s="1489"/>
      <c r="AR1329" s="1488"/>
      <c r="AS1329" s="1488"/>
      <c r="AT1329" s="1488"/>
      <c r="AU1329" s="1488"/>
      <c r="AV1329" s="1488"/>
      <c r="AW1329" s="1488"/>
      <c r="AX1329" s="1488"/>
      <c r="AY1329" s="1488"/>
    </row>
    <row r="1330" spans="3:51" s="1502" customFormat="1">
      <c r="C1330" s="1498"/>
      <c r="D1330" s="1501"/>
      <c r="E1330" s="1500"/>
      <c r="F1330" s="814"/>
      <c r="G1330" s="1494"/>
      <c r="H1330" s="1493"/>
      <c r="I1330" s="1493"/>
      <c r="J1330" s="813"/>
      <c r="K1330" s="814"/>
      <c r="L1330" s="1499"/>
      <c r="M1330" s="1488"/>
      <c r="N1330" s="1488"/>
      <c r="O1330" s="1488"/>
      <c r="P1330" s="1488"/>
      <c r="Q1330" s="1489"/>
      <c r="R1330" s="1489"/>
      <c r="S1330" s="1489"/>
      <c r="T1330" s="1489"/>
      <c r="U1330" s="1489"/>
      <c r="V1330" s="1489"/>
      <c r="W1330" s="1489"/>
      <c r="X1330" s="1489"/>
      <c r="Y1330" s="1489"/>
      <c r="Z1330" s="1489"/>
      <c r="AA1330" s="1489"/>
      <c r="AB1330" s="1489"/>
      <c r="AC1330" s="1489"/>
      <c r="AD1330" s="1489"/>
      <c r="AE1330" s="1489"/>
      <c r="AF1330" s="1489"/>
      <c r="AG1330" s="1489"/>
      <c r="AH1330" s="1489"/>
      <c r="AI1330" s="1489"/>
      <c r="AJ1330" s="1489"/>
      <c r="AK1330" s="1489"/>
      <c r="AL1330" s="1489"/>
      <c r="AM1330" s="1489"/>
      <c r="AN1330" s="1489"/>
      <c r="AO1330" s="1489"/>
      <c r="AP1330" s="1489"/>
      <c r="AQ1330" s="1489"/>
      <c r="AR1330" s="1488"/>
      <c r="AS1330" s="1488"/>
      <c r="AT1330" s="1488"/>
      <c r="AU1330" s="1488"/>
      <c r="AV1330" s="1488"/>
      <c r="AW1330" s="1488"/>
      <c r="AX1330" s="1488"/>
      <c r="AY1330" s="1488"/>
    </row>
    <row r="1331" spans="3:51" s="1502" customFormat="1">
      <c r="C1331" s="1498"/>
      <c r="D1331" s="1501"/>
      <c r="E1331" s="1500"/>
      <c r="F1331" s="814"/>
      <c r="G1331" s="1494"/>
      <c r="H1331" s="1493"/>
      <c r="I1331" s="1493"/>
      <c r="J1331" s="813"/>
      <c r="K1331" s="814"/>
      <c r="L1331" s="1499"/>
      <c r="M1331" s="1488"/>
      <c r="N1331" s="1488"/>
      <c r="O1331" s="1488"/>
      <c r="P1331" s="1488"/>
      <c r="Q1331" s="1489"/>
      <c r="R1331" s="1489"/>
      <c r="S1331" s="1489"/>
      <c r="T1331" s="1489"/>
      <c r="U1331" s="1489"/>
      <c r="V1331" s="1489"/>
      <c r="W1331" s="1489"/>
      <c r="X1331" s="1489"/>
      <c r="Y1331" s="1489"/>
      <c r="Z1331" s="1489"/>
      <c r="AA1331" s="1489"/>
      <c r="AB1331" s="1489"/>
      <c r="AC1331" s="1489"/>
      <c r="AD1331" s="1489"/>
      <c r="AE1331" s="1489"/>
      <c r="AF1331" s="1489"/>
      <c r="AG1331" s="1489"/>
      <c r="AH1331" s="1489"/>
      <c r="AI1331" s="1489"/>
      <c r="AJ1331" s="1489"/>
      <c r="AK1331" s="1489"/>
      <c r="AL1331" s="1489"/>
      <c r="AM1331" s="1489"/>
      <c r="AN1331" s="1489"/>
      <c r="AO1331" s="1489"/>
      <c r="AP1331" s="1489"/>
      <c r="AQ1331" s="1489"/>
      <c r="AR1331" s="1488"/>
      <c r="AS1331" s="1488"/>
      <c r="AT1331" s="1488"/>
      <c r="AU1331" s="1488"/>
      <c r="AV1331" s="1488"/>
      <c r="AW1331" s="1488"/>
      <c r="AX1331" s="1488"/>
      <c r="AY1331" s="1488"/>
    </row>
    <row r="1332" spans="3:51" s="1502" customFormat="1">
      <c r="C1332" s="1498"/>
      <c r="D1332" s="1501"/>
      <c r="E1332" s="1500"/>
      <c r="F1332" s="814"/>
      <c r="G1332" s="1494"/>
      <c r="H1332" s="1493"/>
      <c r="I1332" s="1493"/>
      <c r="J1332" s="813"/>
      <c r="K1332" s="814"/>
      <c r="L1332" s="1499"/>
      <c r="M1332" s="1488"/>
      <c r="N1332" s="1488"/>
      <c r="O1332" s="1488"/>
      <c r="P1332" s="1488"/>
      <c r="Q1332" s="1489"/>
      <c r="R1332" s="1489"/>
      <c r="S1332" s="1489"/>
      <c r="T1332" s="1489"/>
      <c r="U1332" s="1489"/>
      <c r="V1332" s="1489"/>
      <c r="W1332" s="1489"/>
      <c r="X1332" s="1489"/>
      <c r="Y1332" s="1489"/>
      <c r="Z1332" s="1489"/>
      <c r="AA1332" s="1489"/>
      <c r="AB1332" s="1489"/>
      <c r="AC1332" s="1489"/>
      <c r="AD1332" s="1489"/>
      <c r="AE1332" s="1489"/>
      <c r="AF1332" s="1489"/>
      <c r="AG1332" s="1489"/>
      <c r="AH1332" s="1489"/>
      <c r="AI1332" s="1489"/>
      <c r="AJ1332" s="1489"/>
      <c r="AK1332" s="1489"/>
      <c r="AL1332" s="1489"/>
      <c r="AM1332" s="1489"/>
      <c r="AN1332" s="1489"/>
      <c r="AO1332" s="1489"/>
      <c r="AP1332" s="1489"/>
      <c r="AQ1332" s="1489"/>
      <c r="AR1332" s="1488"/>
      <c r="AS1332" s="1488"/>
      <c r="AT1332" s="1488"/>
      <c r="AU1332" s="1488"/>
      <c r="AV1332" s="1488"/>
      <c r="AW1332" s="1488"/>
      <c r="AX1332" s="1488"/>
      <c r="AY1332" s="1488"/>
    </row>
    <row r="1333" spans="3:51" s="1502" customFormat="1">
      <c r="C1333" s="1498"/>
      <c r="D1333" s="1501"/>
      <c r="E1333" s="1500"/>
      <c r="F1333" s="814"/>
      <c r="G1333" s="1494"/>
      <c r="H1333" s="1493"/>
      <c r="I1333" s="1493"/>
      <c r="J1333" s="813"/>
      <c r="K1333" s="814"/>
      <c r="L1333" s="1499"/>
      <c r="M1333" s="1488"/>
      <c r="N1333" s="1488"/>
      <c r="O1333" s="1488"/>
      <c r="P1333" s="1488"/>
      <c r="Q1333" s="1489"/>
      <c r="R1333" s="1489"/>
      <c r="S1333" s="1489"/>
      <c r="T1333" s="1489"/>
      <c r="U1333" s="1489"/>
      <c r="V1333" s="1489"/>
      <c r="W1333" s="1489"/>
      <c r="X1333" s="1489"/>
      <c r="Y1333" s="1489"/>
      <c r="Z1333" s="1489"/>
      <c r="AA1333" s="1489"/>
      <c r="AB1333" s="1489"/>
      <c r="AC1333" s="1489"/>
      <c r="AD1333" s="1489"/>
      <c r="AE1333" s="1489"/>
      <c r="AF1333" s="1489"/>
      <c r="AG1333" s="1489"/>
      <c r="AH1333" s="1489"/>
      <c r="AI1333" s="1489"/>
      <c r="AJ1333" s="1489"/>
      <c r="AK1333" s="1489"/>
      <c r="AL1333" s="1489"/>
      <c r="AM1333" s="1489"/>
      <c r="AN1333" s="1489"/>
      <c r="AO1333" s="1489"/>
      <c r="AP1333" s="1489"/>
      <c r="AQ1333" s="1489"/>
      <c r="AR1333" s="1488"/>
      <c r="AS1333" s="1488"/>
      <c r="AT1333" s="1488"/>
      <c r="AU1333" s="1488"/>
      <c r="AV1333" s="1488"/>
      <c r="AW1333" s="1488"/>
      <c r="AX1333" s="1488"/>
      <c r="AY1333" s="1488"/>
    </row>
    <row r="1334" spans="3:51" s="1502" customFormat="1">
      <c r="C1334" s="1498"/>
      <c r="D1334" s="1501"/>
      <c r="E1334" s="1500"/>
      <c r="F1334" s="814"/>
      <c r="G1334" s="1494"/>
      <c r="H1334" s="1493"/>
      <c r="I1334" s="1493"/>
      <c r="J1334" s="813"/>
      <c r="K1334" s="814"/>
      <c r="L1334" s="1499"/>
      <c r="M1334" s="1488"/>
      <c r="N1334" s="1488"/>
      <c r="O1334" s="1488"/>
      <c r="P1334" s="1488"/>
      <c r="Q1334" s="1489"/>
      <c r="R1334" s="1489"/>
      <c r="S1334" s="1489"/>
      <c r="T1334" s="1489"/>
      <c r="U1334" s="1489"/>
      <c r="V1334" s="1489"/>
      <c r="W1334" s="1489"/>
      <c r="X1334" s="1489"/>
      <c r="Y1334" s="1489"/>
      <c r="Z1334" s="1489"/>
      <c r="AA1334" s="1489"/>
      <c r="AB1334" s="1489"/>
      <c r="AC1334" s="1489"/>
      <c r="AD1334" s="1489"/>
      <c r="AE1334" s="1489"/>
      <c r="AF1334" s="1489"/>
      <c r="AG1334" s="1489"/>
      <c r="AH1334" s="1489"/>
      <c r="AI1334" s="1489"/>
      <c r="AJ1334" s="1489"/>
      <c r="AK1334" s="1489"/>
      <c r="AL1334" s="1489"/>
      <c r="AM1334" s="1489"/>
      <c r="AN1334" s="1489"/>
      <c r="AO1334" s="1489"/>
      <c r="AP1334" s="1489"/>
      <c r="AQ1334" s="1489"/>
      <c r="AR1334" s="1488"/>
      <c r="AS1334" s="1488"/>
      <c r="AT1334" s="1488"/>
      <c r="AU1334" s="1488"/>
      <c r="AV1334" s="1488"/>
      <c r="AW1334" s="1488"/>
      <c r="AX1334" s="1488"/>
      <c r="AY1334" s="1488"/>
    </row>
    <row r="1335" spans="3:51" s="1502" customFormat="1">
      <c r="C1335" s="1498"/>
      <c r="D1335" s="1501"/>
      <c r="E1335" s="1500"/>
      <c r="F1335" s="814"/>
      <c r="G1335" s="1494"/>
      <c r="H1335" s="1493"/>
      <c r="I1335" s="1493"/>
      <c r="J1335" s="813"/>
      <c r="K1335" s="814"/>
      <c r="L1335" s="1499"/>
      <c r="M1335" s="1488"/>
      <c r="N1335" s="1488"/>
      <c r="O1335" s="1488"/>
      <c r="P1335" s="1488"/>
      <c r="Q1335" s="1489"/>
      <c r="R1335" s="1489"/>
      <c r="S1335" s="1489"/>
      <c r="T1335" s="1489"/>
      <c r="U1335" s="1489"/>
      <c r="V1335" s="1489"/>
      <c r="W1335" s="1489"/>
      <c r="X1335" s="1489"/>
      <c r="Y1335" s="1489"/>
      <c r="Z1335" s="1489"/>
      <c r="AA1335" s="1489"/>
      <c r="AB1335" s="1489"/>
      <c r="AC1335" s="1489"/>
      <c r="AD1335" s="1489"/>
      <c r="AE1335" s="1489"/>
      <c r="AF1335" s="1489"/>
      <c r="AG1335" s="1489"/>
      <c r="AH1335" s="1489"/>
      <c r="AI1335" s="1489"/>
      <c r="AJ1335" s="1489"/>
      <c r="AK1335" s="1489"/>
      <c r="AL1335" s="1489"/>
      <c r="AM1335" s="1489"/>
      <c r="AN1335" s="1489"/>
      <c r="AO1335" s="1489"/>
      <c r="AP1335" s="1489"/>
      <c r="AQ1335" s="1489"/>
      <c r="AR1335" s="1488"/>
      <c r="AS1335" s="1488"/>
      <c r="AT1335" s="1488"/>
      <c r="AU1335" s="1488"/>
      <c r="AV1335" s="1488"/>
      <c r="AW1335" s="1488"/>
      <c r="AX1335" s="1488"/>
      <c r="AY1335" s="1488"/>
    </row>
    <row r="1336" spans="3:51" s="1502" customFormat="1">
      <c r="C1336" s="1498"/>
      <c r="D1336" s="1501"/>
      <c r="E1336" s="1500"/>
      <c r="F1336" s="814"/>
      <c r="G1336" s="1494"/>
      <c r="H1336" s="1493"/>
      <c r="I1336" s="1493"/>
      <c r="J1336" s="813"/>
      <c r="K1336" s="814"/>
      <c r="L1336" s="1499"/>
      <c r="M1336" s="1488"/>
      <c r="N1336" s="1488"/>
      <c r="O1336" s="1488"/>
      <c r="P1336" s="1488"/>
      <c r="Q1336" s="1489"/>
      <c r="R1336" s="1489"/>
      <c r="S1336" s="1489"/>
      <c r="T1336" s="1489"/>
      <c r="U1336" s="1489"/>
      <c r="V1336" s="1489"/>
      <c r="W1336" s="1489"/>
      <c r="X1336" s="1489"/>
      <c r="Y1336" s="1489"/>
      <c r="Z1336" s="1489"/>
      <c r="AA1336" s="1489"/>
      <c r="AB1336" s="1489"/>
      <c r="AC1336" s="1489"/>
      <c r="AD1336" s="1489"/>
      <c r="AE1336" s="1489"/>
      <c r="AF1336" s="1489"/>
      <c r="AG1336" s="1489"/>
      <c r="AH1336" s="1489"/>
      <c r="AI1336" s="1489"/>
      <c r="AJ1336" s="1489"/>
      <c r="AK1336" s="1489"/>
      <c r="AL1336" s="1489"/>
      <c r="AM1336" s="1489"/>
      <c r="AN1336" s="1489"/>
      <c r="AO1336" s="1489"/>
      <c r="AP1336" s="1489"/>
      <c r="AQ1336" s="1489"/>
      <c r="AR1336" s="1488"/>
      <c r="AS1336" s="1488"/>
      <c r="AT1336" s="1488"/>
      <c r="AU1336" s="1488"/>
      <c r="AV1336" s="1488"/>
      <c r="AW1336" s="1488"/>
      <c r="AX1336" s="1488"/>
      <c r="AY1336" s="1488"/>
    </row>
    <row r="1337" spans="3:51" s="1502" customFormat="1">
      <c r="C1337" s="1498"/>
      <c r="D1337" s="1501"/>
      <c r="E1337" s="1500"/>
      <c r="F1337" s="814"/>
      <c r="G1337" s="1494"/>
      <c r="H1337" s="1493"/>
      <c r="I1337" s="1493"/>
      <c r="J1337" s="813"/>
      <c r="K1337" s="814"/>
      <c r="L1337" s="1499"/>
      <c r="M1337" s="1488"/>
      <c r="N1337" s="1488"/>
      <c r="O1337" s="1488"/>
      <c r="P1337" s="1488"/>
      <c r="Q1337" s="1489"/>
      <c r="R1337" s="1489"/>
      <c r="S1337" s="1489"/>
      <c r="T1337" s="1489"/>
      <c r="U1337" s="1489"/>
      <c r="V1337" s="1489"/>
      <c r="W1337" s="1489"/>
      <c r="X1337" s="1489"/>
      <c r="Y1337" s="1489"/>
      <c r="Z1337" s="1489"/>
      <c r="AA1337" s="1489"/>
      <c r="AB1337" s="1489"/>
      <c r="AC1337" s="1489"/>
      <c r="AD1337" s="1489"/>
      <c r="AE1337" s="1489"/>
      <c r="AF1337" s="1489"/>
      <c r="AG1337" s="1489"/>
      <c r="AH1337" s="1489"/>
      <c r="AI1337" s="1489"/>
      <c r="AJ1337" s="1489"/>
      <c r="AK1337" s="1489"/>
      <c r="AL1337" s="1489"/>
      <c r="AM1337" s="1489"/>
      <c r="AN1337" s="1489"/>
      <c r="AO1337" s="1489"/>
      <c r="AP1337" s="1489"/>
      <c r="AQ1337" s="1489"/>
      <c r="AR1337" s="1488"/>
      <c r="AS1337" s="1488"/>
      <c r="AT1337" s="1488"/>
      <c r="AU1337" s="1488"/>
      <c r="AV1337" s="1488"/>
      <c r="AW1337" s="1488"/>
      <c r="AX1337" s="1488"/>
      <c r="AY1337" s="1488"/>
    </row>
    <row r="1338" spans="3:51" s="1502" customFormat="1">
      <c r="C1338" s="1498"/>
      <c r="D1338" s="1501"/>
      <c r="E1338" s="1500"/>
      <c r="F1338" s="814"/>
      <c r="G1338" s="1494"/>
      <c r="H1338" s="1493"/>
      <c r="I1338" s="1493"/>
      <c r="J1338" s="813"/>
      <c r="K1338" s="814"/>
      <c r="L1338" s="1499"/>
      <c r="M1338" s="1488"/>
      <c r="N1338" s="1488"/>
      <c r="O1338" s="1488"/>
      <c r="P1338" s="1488"/>
      <c r="Q1338" s="1489"/>
      <c r="R1338" s="1489"/>
      <c r="S1338" s="1489"/>
      <c r="T1338" s="1489"/>
      <c r="U1338" s="1489"/>
      <c r="V1338" s="1489"/>
      <c r="W1338" s="1489"/>
      <c r="X1338" s="1489"/>
      <c r="Y1338" s="1489"/>
      <c r="Z1338" s="1489"/>
      <c r="AA1338" s="1489"/>
      <c r="AB1338" s="1489"/>
      <c r="AC1338" s="1489"/>
      <c r="AD1338" s="1489"/>
      <c r="AE1338" s="1489"/>
      <c r="AF1338" s="1489"/>
      <c r="AG1338" s="1489"/>
      <c r="AH1338" s="1489"/>
      <c r="AI1338" s="1489"/>
      <c r="AJ1338" s="1489"/>
      <c r="AK1338" s="1489"/>
      <c r="AL1338" s="1489"/>
      <c r="AM1338" s="1489"/>
      <c r="AN1338" s="1489"/>
      <c r="AO1338" s="1489"/>
      <c r="AP1338" s="1489"/>
      <c r="AQ1338" s="1489"/>
      <c r="AR1338" s="1488"/>
      <c r="AS1338" s="1488"/>
      <c r="AT1338" s="1488"/>
      <c r="AU1338" s="1488"/>
      <c r="AV1338" s="1488"/>
      <c r="AW1338" s="1488"/>
      <c r="AX1338" s="1488"/>
      <c r="AY1338" s="1488"/>
    </row>
    <row r="1339" spans="3:51" s="1502" customFormat="1">
      <c r="C1339" s="1498"/>
      <c r="D1339" s="1501"/>
      <c r="E1339" s="1500"/>
      <c r="F1339" s="814"/>
      <c r="G1339" s="1494"/>
      <c r="H1339" s="1493"/>
      <c r="I1339" s="1493"/>
      <c r="J1339" s="813"/>
      <c r="K1339" s="814"/>
      <c r="L1339" s="1499"/>
      <c r="M1339" s="1488"/>
      <c r="N1339" s="1488"/>
      <c r="O1339" s="1488"/>
      <c r="P1339" s="1488"/>
      <c r="Q1339" s="1489"/>
      <c r="R1339" s="1489"/>
      <c r="S1339" s="1489"/>
      <c r="T1339" s="1489"/>
      <c r="U1339" s="1489"/>
      <c r="V1339" s="1489"/>
      <c r="W1339" s="1489"/>
      <c r="X1339" s="1489"/>
      <c r="Y1339" s="1489"/>
      <c r="Z1339" s="1489"/>
      <c r="AA1339" s="1489"/>
      <c r="AB1339" s="1489"/>
      <c r="AC1339" s="1489"/>
      <c r="AD1339" s="1489"/>
      <c r="AE1339" s="1489"/>
      <c r="AF1339" s="1489"/>
      <c r="AG1339" s="1489"/>
      <c r="AH1339" s="1489"/>
      <c r="AI1339" s="1489"/>
      <c r="AJ1339" s="1489"/>
      <c r="AK1339" s="1489"/>
      <c r="AL1339" s="1489"/>
      <c r="AM1339" s="1489"/>
      <c r="AN1339" s="1489"/>
      <c r="AO1339" s="1489"/>
      <c r="AP1339" s="1489"/>
      <c r="AQ1339" s="1489"/>
      <c r="AR1339" s="1488"/>
      <c r="AS1339" s="1488"/>
      <c r="AT1339" s="1488"/>
      <c r="AU1339" s="1488"/>
      <c r="AV1339" s="1488"/>
      <c r="AW1339" s="1488"/>
      <c r="AX1339" s="1488"/>
      <c r="AY1339" s="1488"/>
    </row>
    <row r="1340" spans="3:51" s="1502" customFormat="1">
      <c r="C1340" s="1498"/>
      <c r="D1340" s="1501"/>
      <c r="E1340" s="1500"/>
      <c r="F1340" s="814"/>
      <c r="G1340" s="1494"/>
      <c r="H1340" s="1493"/>
      <c r="I1340" s="1493"/>
      <c r="J1340" s="813"/>
      <c r="K1340" s="814"/>
      <c r="L1340" s="1499"/>
      <c r="M1340" s="1488"/>
      <c r="N1340" s="1488"/>
      <c r="O1340" s="1488"/>
      <c r="P1340" s="1488"/>
      <c r="Q1340" s="1489"/>
      <c r="R1340" s="1489"/>
      <c r="S1340" s="1489"/>
      <c r="T1340" s="1489"/>
      <c r="U1340" s="1489"/>
      <c r="V1340" s="1489"/>
      <c r="W1340" s="1489"/>
      <c r="X1340" s="1489"/>
      <c r="Y1340" s="1489"/>
      <c r="Z1340" s="1489"/>
      <c r="AA1340" s="1489"/>
      <c r="AB1340" s="1489"/>
      <c r="AC1340" s="1489"/>
      <c r="AD1340" s="1489"/>
      <c r="AE1340" s="1489"/>
      <c r="AF1340" s="1489"/>
      <c r="AG1340" s="1489"/>
      <c r="AH1340" s="1489"/>
      <c r="AI1340" s="1489"/>
      <c r="AJ1340" s="1489"/>
      <c r="AK1340" s="1489"/>
      <c r="AL1340" s="1489"/>
      <c r="AM1340" s="1489"/>
      <c r="AN1340" s="1489"/>
      <c r="AO1340" s="1489"/>
      <c r="AP1340" s="1489"/>
      <c r="AQ1340" s="1489"/>
      <c r="AR1340" s="1488"/>
      <c r="AS1340" s="1488"/>
      <c r="AT1340" s="1488"/>
      <c r="AU1340" s="1488"/>
      <c r="AV1340" s="1488"/>
      <c r="AW1340" s="1488"/>
      <c r="AX1340" s="1488"/>
      <c r="AY1340" s="1488"/>
    </row>
    <row r="1341" spans="3:51" s="1502" customFormat="1">
      <c r="C1341" s="1498"/>
      <c r="D1341" s="1501"/>
      <c r="E1341" s="1500"/>
      <c r="F1341" s="814"/>
      <c r="G1341" s="1494"/>
      <c r="H1341" s="1493"/>
      <c r="I1341" s="1493"/>
      <c r="J1341" s="813"/>
      <c r="K1341" s="814"/>
      <c r="L1341" s="1499"/>
      <c r="M1341" s="1488"/>
      <c r="N1341" s="1488"/>
      <c r="O1341" s="1488"/>
      <c r="P1341" s="1488"/>
      <c r="Q1341" s="1489"/>
      <c r="R1341" s="1489"/>
      <c r="S1341" s="1489"/>
      <c r="T1341" s="1489"/>
      <c r="U1341" s="1489"/>
      <c r="V1341" s="1489"/>
      <c r="W1341" s="1489"/>
      <c r="X1341" s="1489"/>
      <c r="Y1341" s="1489"/>
      <c r="Z1341" s="1489"/>
      <c r="AA1341" s="1489"/>
      <c r="AB1341" s="1489"/>
      <c r="AC1341" s="1489"/>
      <c r="AD1341" s="1489"/>
      <c r="AE1341" s="1489"/>
      <c r="AF1341" s="1489"/>
      <c r="AG1341" s="1489"/>
      <c r="AH1341" s="1489"/>
      <c r="AI1341" s="1489"/>
      <c r="AJ1341" s="1489"/>
      <c r="AK1341" s="1489"/>
      <c r="AL1341" s="1489"/>
      <c r="AM1341" s="1489"/>
      <c r="AN1341" s="1489"/>
      <c r="AO1341" s="1489"/>
      <c r="AP1341" s="1489"/>
      <c r="AQ1341" s="1489"/>
      <c r="AR1341" s="1488"/>
      <c r="AS1341" s="1488"/>
      <c r="AT1341" s="1488"/>
      <c r="AU1341" s="1488"/>
      <c r="AV1341" s="1488"/>
      <c r="AW1341" s="1488"/>
      <c r="AX1341" s="1488"/>
      <c r="AY1341" s="1488"/>
    </row>
    <row r="1342" spans="3:51" s="1502" customFormat="1">
      <c r="C1342" s="1498"/>
      <c r="D1342" s="1501"/>
      <c r="E1342" s="1500"/>
      <c r="F1342" s="814"/>
      <c r="G1342" s="1494"/>
      <c r="H1342" s="1493"/>
      <c r="I1342" s="1493"/>
      <c r="J1342" s="813"/>
      <c r="K1342" s="814"/>
      <c r="L1342" s="1499"/>
      <c r="M1342" s="1488"/>
      <c r="N1342" s="1488"/>
      <c r="O1342" s="1488"/>
      <c r="P1342" s="1488"/>
      <c r="Q1342" s="1489"/>
      <c r="R1342" s="1489"/>
      <c r="S1342" s="1489"/>
      <c r="T1342" s="1489"/>
      <c r="U1342" s="1489"/>
      <c r="V1342" s="1489"/>
      <c r="W1342" s="1489"/>
      <c r="X1342" s="1489"/>
      <c r="Y1342" s="1489"/>
      <c r="Z1342" s="1489"/>
      <c r="AA1342" s="1489"/>
      <c r="AB1342" s="1489"/>
      <c r="AC1342" s="1489"/>
      <c r="AD1342" s="1489"/>
      <c r="AE1342" s="1489"/>
      <c r="AF1342" s="1489"/>
      <c r="AG1342" s="1489"/>
      <c r="AH1342" s="1489"/>
      <c r="AI1342" s="1489"/>
      <c r="AJ1342" s="1489"/>
      <c r="AK1342" s="1489"/>
      <c r="AL1342" s="1489"/>
      <c r="AM1342" s="1489"/>
      <c r="AN1342" s="1489"/>
      <c r="AO1342" s="1489"/>
      <c r="AP1342" s="1489"/>
      <c r="AQ1342" s="1489"/>
      <c r="AR1342" s="1488"/>
      <c r="AS1342" s="1488"/>
      <c r="AT1342" s="1488"/>
      <c r="AU1342" s="1488"/>
      <c r="AV1342" s="1488"/>
      <c r="AW1342" s="1488"/>
      <c r="AX1342" s="1488"/>
      <c r="AY1342" s="1488"/>
    </row>
    <row r="1343" spans="3:51" s="1502" customFormat="1">
      <c r="C1343" s="1498"/>
      <c r="D1343" s="1501"/>
      <c r="E1343" s="1500"/>
      <c r="F1343" s="814"/>
      <c r="G1343" s="1494"/>
      <c r="H1343" s="1493"/>
      <c r="I1343" s="1493"/>
      <c r="J1343" s="813"/>
      <c r="K1343" s="814"/>
      <c r="L1343" s="1499"/>
      <c r="M1343" s="1488"/>
      <c r="N1343" s="1488"/>
      <c r="O1343" s="1488"/>
      <c r="P1343" s="1488"/>
      <c r="Q1343" s="1489"/>
      <c r="R1343" s="1489"/>
      <c r="S1343" s="1489"/>
      <c r="T1343" s="1489"/>
      <c r="U1343" s="1489"/>
      <c r="V1343" s="1489"/>
      <c r="W1343" s="1489"/>
      <c r="X1343" s="1489"/>
      <c r="Y1343" s="1489"/>
      <c r="Z1343" s="1489"/>
      <c r="AA1343" s="1489"/>
      <c r="AB1343" s="1489"/>
      <c r="AC1343" s="1489"/>
      <c r="AD1343" s="1489"/>
      <c r="AE1343" s="1489"/>
      <c r="AF1343" s="1489"/>
      <c r="AG1343" s="1489"/>
      <c r="AH1343" s="1489"/>
      <c r="AI1343" s="1489"/>
      <c r="AJ1343" s="1489"/>
      <c r="AK1343" s="1489"/>
      <c r="AL1343" s="1489"/>
      <c r="AM1343" s="1489"/>
      <c r="AN1343" s="1489"/>
      <c r="AO1343" s="1489"/>
      <c r="AP1343" s="1489"/>
      <c r="AQ1343" s="1489"/>
      <c r="AR1343" s="1488"/>
      <c r="AS1343" s="1488"/>
      <c r="AT1343" s="1488"/>
      <c r="AU1343" s="1488"/>
      <c r="AV1343" s="1488"/>
      <c r="AW1343" s="1488"/>
      <c r="AX1343" s="1488"/>
      <c r="AY1343" s="1488"/>
    </row>
    <row r="1344" spans="3:51" s="1502" customFormat="1">
      <c r="C1344" s="1498"/>
      <c r="D1344" s="1501"/>
      <c r="E1344" s="1500"/>
      <c r="F1344" s="814"/>
      <c r="G1344" s="1494"/>
      <c r="H1344" s="1493"/>
      <c r="I1344" s="1493"/>
      <c r="J1344" s="813"/>
      <c r="K1344" s="814"/>
      <c r="L1344" s="1499"/>
      <c r="M1344" s="1488"/>
      <c r="N1344" s="1488"/>
      <c r="O1344" s="1488"/>
      <c r="P1344" s="1488"/>
      <c r="Q1344" s="1489"/>
      <c r="R1344" s="1489"/>
      <c r="S1344" s="1489"/>
      <c r="T1344" s="1489"/>
      <c r="U1344" s="1489"/>
      <c r="V1344" s="1489"/>
      <c r="W1344" s="1489"/>
      <c r="X1344" s="1489"/>
      <c r="Y1344" s="1489"/>
      <c r="Z1344" s="1489"/>
      <c r="AA1344" s="1489"/>
      <c r="AB1344" s="1489"/>
      <c r="AC1344" s="1489"/>
      <c r="AD1344" s="1489"/>
      <c r="AE1344" s="1489"/>
      <c r="AF1344" s="1489"/>
      <c r="AG1344" s="1489"/>
      <c r="AH1344" s="1489"/>
      <c r="AI1344" s="1489"/>
      <c r="AJ1344" s="1489"/>
      <c r="AK1344" s="1489"/>
      <c r="AL1344" s="1489"/>
      <c r="AM1344" s="1489"/>
      <c r="AN1344" s="1489"/>
      <c r="AO1344" s="1489"/>
      <c r="AP1344" s="1489"/>
      <c r="AQ1344" s="1489"/>
      <c r="AR1344" s="1488"/>
      <c r="AS1344" s="1488"/>
      <c r="AT1344" s="1488"/>
      <c r="AU1344" s="1488"/>
      <c r="AV1344" s="1488"/>
      <c r="AW1344" s="1488"/>
      <c r="AX1344" s="1488"/>
      <c r="AY1344" s="1488"/>
    </row>
    <row r="1345" spans="3:51" s="1502" customFormat="1">
      <c r="C1345" s="1498"/>
      <c r="D1345" s="1501"/>
      <c r="E1345" s="1500"/>
      <c r="F1345" s="814"/>
      <c r="G1345" s="1494"/>
      <c r="H1345" s="1493"/>
      <c r="I1345" s="1493"/>
      <c r="J1345" s="813"/>
      <c r="K1345" s="814"/>
      <c r="L1345" s="1499"/>
      <c r="M1345" s="1488"/>
      <c r="N1345" s="1488"/>
      <c r="O1345" s="1488"/>
      <c r="P1345" s="1488"/>
      <c r="Q1345" s="1489"/>
      <c r="R1345" s="1489"/>
      <c r="S1345" s="1489"/>
      <c r="T1345" s="1489"/>
      <c r="U1345" s="1489"/>
      <c r="V1345" s="1489"/>
      <c r="W1345" s="1489"/>
      <c r="X1345" s="1489"/>
      <c r="Y1345" s="1489"/>
      <c r="Z1345" s="1489"/>
      <c r="AA1345" s="1489"/>
      <c r="AB1345" s="1489"/>
      <c r="AC1345" s="1489"/>
      <c r="AD1345" s="1489"/>
      <c r="AE1345" s="1489"/>
      <c r="AF1345" s="1489"/>
      <c r="AG1345" s="1489"/>
      <c r="AH1345" s="1489"/>
      <c r="AI1345" s="1489"/>
      <c r="AJ1345" s="1489"/>
      <c r="AK1345" s="1489"/>
      <c r="AL1345" s="1489"/>
      <c r="AM1345" s="1489"/>
      <c r="AN1345" s="1489"/>
      <c r="AO1345" s="1489"/>
      <c r="AP1345" s="1489"/>
      <c r="AQ1345" s="1489"/>
      <c r="AR1345" s="1488"/>
      <c r="AS1345" s="1488"/>
      <c r="AT1345" s="1488"/>
      <c r="AU1345" s="1488"/>
      <c r="AV1345" s="1488"/>
      <c r="AW1345" s="1488"/>
      <c r="AX1345" s="1488"/>
      <c r="AY1345" s="1488"/>
    </row>
    <row r="1346" spans="3:51" s="1502" customFormat="1">
      <c r="C1346" s="1498"/>
      <c r="D1346" s="1501"/>
      <c r="E1346" s="1500"/>
      <c r="F1346" s="814"/>
      <c r="G1346" s="1494"/>
      <c r="H1346" s="1493"/>
      <c r="I1346" s="1493"/>
      <c r="J1346" s="813"/>
      <c r="K1346" s="814"/>
      <c r="L1346" s="1499"/>
      <c r="M1346" s="1488"/>
      <c r="N1346" s="1488"/>
      <c r="O1346" s="1488"/>
      <c r="P1346" s="1488"/>
      <c r="Q1346" s="1489"/>
      <c r="R1346" s="1489"/>
      <c r="S1346" s="1489"/>
      <c r="T1346" s="1489"/>
      <c r="U1346" s="1489"/>
      <c r="V1346" s="1489"/>
      <c r="W1346" s="1489"/>
      <c r="X1346" s="1489"/>
      <c r="Y1346" s="1489"/>
      <c r="Z1346" s="1489"/>
      <c r="AA1346" s="1489"/>
      <c r="AB1346" s="1489"/>
      <c r="AC1346" s="1489"/>
      <c r="AD1346" s="1489"/>
      <c r="AE1346" s="1489"/>
      <c r="AF1346" s="1489"/>
      <c r="AG1346" s="1489"/>
      <c r="AH1346" s="1489"/>
      <c r="AI1346" s="1489"/>
      <c r="AJ1346" s="1489"/>
      <c r="AK1346" s="1489"/>
      <c r="AL1346" s="1489"/>
      <c r="AM1346" s="1489"/>
      <c r="AN1346" s="1489"/>
      <c r="AO1346" s="1489"/>
      <c r="AP1346" s="1489"/>
      <c r="AQ1346" s="1489"/>
      <c r="AR1346" s="1488"/>
      <c r="AS1346" s="1488"/>
      <c r="AT1346" s="1488"/>
      <c r="AU1346" s="1488"/>
      <c r="AV1346" s="1488"/>
      <c r="AW1346" s="1488"/>
      <c r="AX1346" s="1488"/>
      <c r="AY1346" s="1488"/>
    </row>
    <row r="1347" spans="3:51" s="1502" customFormat="1">
      <c r="C1347" s="1498"/>
      <c r="D1347" s="1501"/>
      <c r="E1347" s="1500"/>
      <c r="F1347" s="814"/>
      <c r="G1347" s="1494"/>
      <c r="H1347" s="1493"/>
      <c r="I1347" s="1493"/>
      <c r="J1347" s="813"/>
      <c r="K1347" s="814"/>
      <c r="L1347" s="1499"/>
      <c r="M1347" s="1488"/>
      <c r="N1347" s="1488"/>
      <c r="O1347" s="1488"/>
      <c r="P1347" s="1488"/>
      <c r="Q1347" s="1489"/>
      <c r="R1347" s="1489"/>
      <c r="S1347" s="1489"/>
      <c r="T1347" s="1489"/>
      <c r="U1347" s="1489"/>
      <c r="V1347" s="1489"/>
      <c r="W1347" s="1489"/>
      <c r="X1347" s="1489"/>
      <c r="Y1347" s="1489"/>
      <c r="Z1347" s="1489"/>
      <c r="AA1347" s="1489"/>
      <c r="AB1347" s="1489"/>
      <c r="AC1347" s="1489"/>
      <c r="AD1347" s="1489"/>
      <c r="AE1347" s="1489"/>
      <c r="AF1347" s="1489"/>
      <c r="AG1347" s="1489"/>
      <c r="AH1347" s="1489"/>
      <c r="AI1347" s="1489"/>
      <c r="AJ1347" s="1489"/>
      <c r="AK1347" s="1489"/>
      <c r="AL1347" s="1489"/>
      <c r="AM1347" s="1489"/>
      <c r="AN1347" s="1489"/>
      <c r="AO1347" s="1489"/>
      <c r="AP1347" s="1489"/>
      <c r="AQ1347" s="1489"/>
      <c r="AR1347" s="1488"/>
      <c r="AS1347" s="1488"/>
      <c r="AT1347" s="1488"/>
      <c r="AU1347" s="1488"/>
      <c r="AV1347" s="1488"/>
      <c r="AW1347" s="1488"/>
      <c r="AX1347" s="1488"/>
      <c r="AY1347" s="1488"/>
    </row>
    <row r="1348" spans="3:51" s="1502" customFormat="1">
      <c r="C1348" s="1498"/>
      <c r="D1348" s="1501"/>
      <c r="E1348" s="1500"/>
      <c r="F1348" s="814"/>
      <c r="G1348" s="1494"/>
      <c r="H1348" s="1493"/>
      <c r="I1348" s="1493"/>
      <c r="J1348" s="813"/>
      <c r="K1348" s="814"/>
      <c r="L1348" s="1499"/>
      <c r="M1348" s="1488"/>
      <c r="N1348" s="1488"/>
      <c r="O1348" s="1488"/>
      <c r="P1348" s="1488"/>
      <c r="Q1348" s="1489"/>
      <c r="R1348" s="1489"/>
      <c r="S1348" s="1489"/>
      <c r="T1348" s="1489"/>
      <c r="U1348" s="1489"/>
      <c r="V1348" s="1489"/>
      <c r="W1348" s="1489"/>
      <c r="X1348" s="1489"/>
      <c r="Y1348" s="1489"/>
      <c r="Z1348" s="1489"/>
      <c r="AA1348" s="1489"/>
      <c r="AB1348" s="1489"/>
      <c r="AC1348" s="1489"/>
      <c r="AD1348" s="1489"/>
      <c r="AE1348" s="1489"/>
      <c r="AF1348" s="1489"/>
      <c r="AG1348" s="1489"/>
      <c r="AH1348" s="1489"/>
      <c r="AI1348" s="1489"/>
      <c r="AJ1348" s="1489"/>
      <c r="AK1348" s="1489"/>
      <c r="AL1348" s="1489"/>
      <c r="AM1348" s="1489"/>
      <c r="AN1348" s="1489"/>
      <c r="AO1348" s="1489"/>
      <c r="AP1348" s="1489"/>
      <c r="AQ1348" s="1489"/>
      <c r="AR1348" s="1488"/>
      <c r="AS1348" s="1488"/>
      <c r="AT1348" s="1488"/>
      <c r="AU1348" s="1488"/>
      <c r="AV1348" s="1488"/>
      <c r="AW1348" s="1488"/>
      <c r="AX1348" s="1488"/>
      <c r="AY1348" s="1488"/>
    </row>
    <row r="1349" spans="3:51" s="1502" customFormat="1">
      <c r="C1349" s="1498"/>
      <c r="D1349" s="1501"/>
      <c r="E1349" s="1500"/>
      <c r="F1349" s="814"/>
      <c r="G1349" s="1494"/>
      <c r="H1349" s="1493"/>
      <c r="I1349" s="1493"/>
      <c r="J1349" s="813"/>
      <c r="K1349" s="814"/>
      <c r="L1349" s="1499"/>
      <c r="M1349" s="1488"/>
      <c r="N1349" s="1488"/>
      <c r="O1349" s="1488"/>
      <c r="P1349" s="1488"/>
      <c r="Q1349" s="1489"/>
      <c r="R1349" s="1489"/>
      <c r="S1349" s="1489"/>
      <c r="T1349" s="1489"/>
      <c r="U1349" s="1489"/>
      <c r="V1349" s="1489"/>
      <c r="W1349" s="1489"/>
      <c r="X1349" s="1489"/>
      <c r="Y1349" s="1489"/>
      <c r="Z1349" s="1489"/>
      <c r="AA1349" s="1489"/>
      <c r="AB1349" s="1489"/>
      <c r="AC1349" s="1489"/>
      <c r="AD1349" s="1489"/>
      <c r="AE1349" s="1489"/>
      <c r="AF1349" s="1489"/>
      <c r="AG1349" s="1489"/>
      <c r="AH1349" s="1489"/>
      <c r="AI1349" s="1489"/>
      <c r="AJ1349" s="1489"/>
      <c r="AK1349" s="1489"/>
      <c r="AL1349" s="1489"/>
      <c r="AM1349" s="1489"/>
      <c r="AN1349" s="1489"/>
      <c r="AO1349" s="1489"/>
      <c r="AP1349" s="1489"/>
      <c r="AQ1349" s="1489"/>
      <c r="AR1349" s="1488"/>
      <c r="AS1349" s="1488"/>
      <c r="AT1349" s="1488"/>
      <c r="AU1349" s="1488"/>
      <c r="AV1349" s="1488"/>
      <c r="AW1349" s="1488"/>
      <c r="AX1349" s="1488"/>
      <c r="AY1349" s="1488"/>
    </row>
    <row r="1350" spans="3:51" s="1502" customFormat="1">
      <c r="C1350" s="1498"/>
      <c r="D1350" s="1501"/>
      <c r="E1350" s="1500"/>
      <c r="F1350" s="814"/>
      <c r="G1350" s="1494"/>
      <c r="H1350" s="1493"/>
      <c r="I1350" s="1493"/>
      <c r="J1350" s="813"/>
      <c r="K1350" s="814"/>
      <c r="L1350" s="1499"/>
      <c r="M1350" s="1488"/>
      <c r="N1350" s="1488"/>
      <c r="O1350" s="1488"/>
      <c r="P1350" s="1488"/>
      <c r="Q1350" s="1489"/>
      <c r="R1350" s="1489"/>
      <c r="S1350" s="1489"/>
      <c r="T1350" s="1489"/>
      <c r="U1350" s="1489"/>
      <c r="V1350" s="1489"/>
      <c r="W1350" s="1489"/>
      <c r="X1350" s="1489"/>
      <c r="Y1350" s="1489"/>
      <c r="Z1350" s="1489"/>
      <c r="AA1350" s="1489"/>
      <c r="AB1350" s="1489"/>
      <c r="AC1350" s="1489"/>
      <c r="AD1350" s="1489"/>
      <c r="AE1350" s="1489"/>
      <c r="AF1350" s="1489"/>
      <c r="AG1350" s="1489"/>
      <c r="AH1350" s="1489"/>
      <c r="AI1350" s="1489"/>
      <c r="AJ1350" s="1489"/>
      <c r="AK1350" s="1489"/>
      <c r="AL1350" s="1489"/>
      <c r="AM1350" s="1489"/>
      <c r="AN1350" s="1489"/>
      <c r="AO1350" s="1489"/>
      <c r="AP1350" s="1489"/>
      <c r="AQ1350" s="1489"/>
      <c r="AR1350" s="1488"/>
      <c r="AS1350" s="1488"/>
      <c r="AT1350" s="1488"/>
      <c r="AU1350" s="1488"/>
      <c r="AV1350" s="1488"/>
      <c r="AW1350" s="1488"/>
      <c r="AX1350" s="1488"/>
      <c r="AY1350" s="1488"/>
    </row>
    <row r="1351" spans="3:51" s="1502" customFormat="1">
      <c r="C1351" s="1498"/>
      <c r="D1351" s="1501"/>
      <c r="E1351" s="1500"/>
      <c r="F1351" s="814"/>
      <c r="G1351" s="1494"/>
      <c r="H1351" s="1493"/>
      <c r="I1351" s="1493"/>
      <c r="J1351" s="813"/>
      <c r="K1351" s="814"/>
      <c r="L1351" s="1499"/>
      <c r="M1351" s="1488"/>
      <c r="N1351" s="1488"/>
      <c r="O1351" s="1488"/>
      <c r="P1351" s="1488"/>
      <c r="Q1351" s="1489"/>
      <c r="R1351" s="1489"/>
      <c r="S1351" s="1489"/>
      <c r="T1351" s="1489"/>
      <c r="U1351" s="1489"/>
      <c r="V1351" s="1489"/>
      <c r="W1351" s="1489"/>
      <c r="X1351" s="1489"/>
      <c r="Y1351" s="1489"/>
      <c r="Z1351" s="1489"/>
      <c r="AA1351" s="1489"/>
      <c r="AB1351" s="1489"/>
      <c r="AC1351" s="1489"/>
      <c r="AD1351" s="1489"/>
      <c r="AE1351" s="1489"/>
      <c r="AF1351" s="1489"/>
      <c r="AG1351" s="1489"/>
      <c r="AH1351" s="1489"/>
      <c r="AI1351" s="1489"/>
      <c r="AJ1351" s="1489"/>
      <c r="AK1351" s="1489"/>
      <c r="AL1351" s="1489"/>
      <c r="AM1351" s="1489"/>
      <c r="AN1351" s="1489"/>
      <c r="AO1351" s="1489"/>
      <c r="AP1351" s="1489"/>
      <c r="AQ1351" s="1489"/>
      <c r="AR1351" s="1488"/>
      <c r="AS1351" s="1488"/>
      <c r="AT1351" s="1488"/>
      <c r="AU1351" s="1488"/>
      <c r="AV1351" s="1488"/>
      <c r="AW1351" s="1488"/>
      <c r="AX1351" s="1488"/>
      <c r="AY1351" s="1488"/>
    </row>
    <row r="1352" spans="3:51" s="1502" customFormat="1">
      <c r="C1352" s="1498"/>
      <c r="D1352" s="1501"/>
      <c r="E1352" s="1500"/>
      <c r="F1352" s="814"/>
      <c r="G1352" s="1494"/>
      <c r="H1352" s="1493"/>
      <c r="I1352" s="1493"/>
      <c r="J1352" s="813"/>
      <c r="K1352" s="814"/>
      <c r="L1352" s="1499"/>
      <c r="M1352" s="1488"/>
      <c r="N1352" s="1488"/>
      <c r="O1352" s="1488"/>
      <c r="P1352" s="1488"/>
      <c r="Q1352" s="1489"/>
      <c r="R1352" s="1489"/>
      <c r="S1352" s="1489"/>
      <c r="T1352" s="1489"/>
      <c r="U1352" s="1489"/>
      <c r="V1352" s="1489"/>
      <c r="W1352" s="1489"/>
      <c r="X1352" s="1489"/>
      <c r="Y1352" s="1489"/>
      <c r="Z1352" s="1489"/>
      <c r="AA1352" s="1489"/>
      <c r="AB1352" s="1489"/>
      <c r="AC1352" s="1489"/>
      <c r="AD1352" s="1489"/>
      <c r="AE1352" s="1489"/>
      <c r="AF1352" s="1489"/>
      <c r="AG1352" s="1489"/>
      <c r="AH1352" s="1489"/>
      <c r="AI1352" s="1489"/>
      <c r="AJ1352" s="1489"/>
      <c r="AK1352" s="1489"/>
      <c r="AL1352" s="1489"/>
      <c r="AM1352" s="1489"/>
      <c r="AN1352" s="1489"/>
      <c r="AO1352" s="1489"/>
      <c r="AP1352" s="1489"/>
      <c r="AQ1352" s="1489"/>
      <c r="AR1352" s="1488"/>
      <c r="AS1352" s="1488"/>
      <c r="AT1352" s="1488"/>
      <c r="AU1352" s="1488"/>
      <c r="AV1352" s="1488"/>
      <c r="AW1352" s="1488"/>
      <c r="AX1352" s="1488"/>
      <c r="AY1352" s="1488"/>
    </row>
    <row r="1353" spans="3:51" s="1502" customFormat="1">
      <c r="C1353" s="1498"/>
      <c r="D1353" s="1501"/>
      <c r="E1353" s="1500"/>
      <c r="F1353" s="814"/>
      <c r="G1353" s="1494"/>
      <c r="H1353" s="1493"/>
      <c r="I1353" s="1493"/>
      <c r="J1353" s="813"/>
      <c r="K1353" s="814"/>
      <c r="L1353" s="1499"/>
      <c r="M1353" s="1488"/>
      <c r="N1353" s="1488"/>
      <c r="O1353" s="1488"/>
      <c r="P1353" s="1488"/>
      <c r="Q1353" s="1489"/>
      <c r="R1353" s="1489"/>
      <c r="S1353" s="1489"/>
      <c r="T1353" s="1489"/>
      <c r="U1353" s="1489"/>
      <c r="V1353" s="1489"/>
      <c r="W1353" s="1489"/>
      <c r="X1353" s="1489"/>
      <c r="Y1353" s="1489"/>
      <c r="Z1353" s="1489"/>
      <c r="AA1353" s="1489"/>
      <c r="AB1353" s="1489"/>
      <c r="AC1353" s="1489"/>
      <c r="AD1353" s="1489"/>
      <c r="AE1353" s="1489"/>
      <c r="AF1353" s="1489"/>
      <c r="AG1353" s="1489"/>
      <c r="AH1353" s="1489"/>
      <c r="AI1353" s="1489"/>
      <c r="AJ1353" s="1489"/>
      <c r="AK1353" s="1489"/>
      <c r="AL1353" s="1489"/>
      <c r="AM1353" s="1489"/>
      <c r="AN1353" s="1489"/>
      <c r="AO1353" s="1489"/>
      <c r="AP1353" s="1489"/>
      <c r="AQ1353" s="1489"/>
      <c r="AR1353" s="1488"/>
      <c r="AS1353" s="1488"/>
      <c r="AT1353" s="1488"/>
      <c r="AU1353" s="1488"/>
      <c r="AV1353" s="1488"/>
      <c r="AW1353" s="1488"/>
      <c r="AX1353" s="1488"/>
      <c r="AY1353" s="1488"/>
    </row>
    <row r="1354" spans="3:51" s="1502" customFormat="1">
      <c r="C1354" s="1498"/>
      <c r="D1354" s="1501"/>
      <c r="E1354" s="1500"/>
      <c r="F1354" s="814"/>
      <c r="G1354" s="1494"/>
      <c r="H1354" s="1493"/>
      <c r="I1354" s="1493"/>
      <c r="J1354" s="813"/>
      <c r="K1354" s="814"/>
      <c r="L1354" s="1499"/>
      <c r="M1354" s="1488"/>
      <c r="N1354" s="1488"/>
      <c r="O1354" s="1488"/>
      <c r="P1354" s="1488"/>
      <c r="Q1354" s="1489"/>
      <c r="R1354" s="1489"/>
      <c r="S1354" s="1489"/>
      <c r="T1354" s="1489"/>
      <c r="U1354" s="1489"/>
      <c r="V1354" s="1489"/>
      <c r="W1354" s="1489"/>
      <c r="X1354" s="1489"/>
      <c r="Y1354" s="1489"/>
      <c r="Z1354" s="1489"/>
      <c r="AA1354" s="1489"/>
      <c r="AB1354" s="1489"/>
      <c r="AC1354" s="1489"/>
      <c r="AD1354" s="1489"/>
      <c r="AE1354" s="1489"/>
      <c r="AF1354" s="1489"/>
      <c r="AG1354" s="1489"/>
      <c r="AH1354" s="1489"/>
      <c r="AI1354" s="1489"/>
      <c r="AJ1354" s="1489"/>
      <c r="AK1354" s="1489"/>
      <c r="AL1354" s="1489"/>
      <c r="AM1354" s="1489"/>
      <c r="AN1354" s="1489"/>
      <c r="AO1354" s="1489"/>
      <c r="AP1354" s="1489"/>
      <c r="AQ1354" s="1489"/>
      <c r="AR1354" s="1488"/>
      <c r="AS1354" s="1488"/>
      <c r="AT1354" s="1488"/>
      <c r="AU1354" s="1488"/>
      <c r="AV1354" s="1488"/>
      <c r="AW1354" s="1488"/>
      <c r="AX1354" s="1488"/>
      <c r="AY1354" s="1488"/>
    </row>
    <row r="1355" spans="3:51" s="1502" customFormat="1">
      <c r="C1355" s="1498"/>
      <c r="D1355" s="1501"/>
      <c r="E1355" s="1500"/>
      <c r="F1355" s="814"/>
      <c r="G1355" s="1494"/>
      <c r="H1355" s="1493"/>
      <c r="I1355" s="1493"/>
      <c r="J1355" s="813"/>
      <c r="K1355" s="814"/>
      <c r="L1355" s="1499"/>
      <c r="M1355" s="1488"/>
      <c r="N1355" s="1488"/>
      <c r="O1355" s="1488"/>
      <c r="P1355" s="1488"/>
      <c r="Q1355" s="1489"/>
      <c r="R1355" s="1489"/>
      <c r="S1355" s="1489"/>
      <c r="T1355" s="1489"/>
      <c r="U1355" s="1489"/>
      <c r="V1355" s="1489"/>
      <c r="W1355" s="1489"/>
      <c r="X1355" s="1489"/>
      <c r="Y1355" s="1489"/>
      <c r="Z1355" s="1489"/>
      <c r="AA1355" s="1489"/>
      <c r="AB1355" s="1489"/>
      <c r="AC1355" s="1489"/>
      <c r="AD1355" s="1489"/>
      <c r="AE1355" s="1489"/>
      <c r="AF1355" s="1489"/>
      <c r="AG1355" s="1489"/>
      <c r="AH1355" s="1489"/>
      <c r="AI1355" s="1489"/>
      <c r="AJ1355" s="1489"/>
      <c r="AK1355" s="1489"/>
      <c r="AL1355" s="1489"/>
      <c r="AM1355" s="1489"/>
      <c r="AN1355" s="1489"/>
      <c r="AO1355" s="1489"/>
      <c r="AP1355" s="1489"/>
      <c r="AQ1355" s="1489"/>
      <c r="AR1355" s="1488"/>
      <c r="AS1355" s="1488"/>
      <c r="AT1355" s="1488"/>
      <c r="AU1355" s="1488"/>
      <c r="AV1355" s="1488"/>
      <c r="AW1355" s="1488"/>
      <c r="AX1355" s="1488"/>
      <c r="AY1355" s="1488"/>
    </row>
    <row r="1356" spans="3:51" s="1502" customFormat="1">
      <c r="C1356" s="1498"/>
      <c r="D1356" s="1501"/>
      <c r="E1356" s="1500"/>
      <c r="F1356" s="814"/>
      <c r="G1356" s="1494"/>
      <c r="H1356" s="1493"/>
      <c r="I1356" s="1493"/>
      <c r="J1356" s="813"/>
      <c r="K1356" s="814"/>
      <c r="L1356" s="1499"/>
      <c r="M1356" s="1488"/>
      <c r="N1356" s="1488"/>
      <c r="O1356" s="1488"/>
      <c r="P1356" s="1488"/>
      <c r="Q1356" s="1489"/>
      <c r="R1356" s="1489"/>
      <c r="S1356" s="1489"/>
      <c r="T1356" s="1489"/>
      <c r="U1356" s="1489"/>
      <c r="V1356" s="1489"/>
      <c r="W1356" s="1489"/>
      <c r="X1356" s="1489"/>
      <c r="Y1356" s="1489"/>
      <c r="Z1356" s="1489"/>
      <c r="AA1356" s="1489"/>
      <c r="AB1356" s="1489"/>
      <c r="AC1356" s="1489"/>
      <c r="AD1356" s="1489"/>
      <c r="AE1356" s="1489"/>
      <c r="AF1356" s="1489"/>
      <c r="AG1356" s="1489"/>
      <c r="AH1356" s="1489"/>
      <c r="AI1356" s="1489"/>
      <c r="AJ1356" s="1489"/>
      <c r="AK1356" s="1489"/>
      <c r="AL1356" s="1489"/>
      <c r="AM1356" s="1489"/>
      <c r="AN1356" s="1489"/>
      <c r="AO1356" s="1489"/>
      <c r="AP1356" s="1489"/>
      <c r="AQ1356" s="1489"/>
      <c r="AR1356" s="1488"/>
      <c r="AS1356" s="1488"/>
      <c r="AT1356" s="1488"/>
      <c r="AU1356" s="1488"/>
      <c r="AV1356" s="1488"/>
      <c r="AW1356" s="1488"/>
      <c r="AX1356" s="1488"/>
      <c r="AY1356" s="1488"/>
    </row>
    <row r="1357" spans="3:51" s="1502" customFormat="1">
      <c r="C1357" s="1498"/>
      <c r="D1357" s="1501"/>
      <c r="E1357" s="1500"/>
      <c r="F1357" s="814"/>
      <c r="G1357" s="1494"/>
      <c r="H1357" s="1493"/>
      <c r="I1357" s="1493"/>
      <c r="J1357" s="813"/>
      <c r="K1357" s="814"/>
      <c r="L1357" s="1499"/>
      <c r="M1357" s="1488"/>
      <c r="N1357" s="1488"/>
      <c r="O1357" s="1488"/>
      <c r="P1357" s="1488"/>
      <c r="Q1357" s="1489"/>
      <c r="R1357" s="1489"/>
      <c r="S1357" s="1489"/>
      <c r="T1357" s="1489"/>
      <c r="U1357" s="1489"/>
      <c r="V1357" s="1489"/>
      <c r="W1357" s="1489"/>
      <c r="X1357" s="1489"/>
      <c r="Y1357" s="1489"/>
      <c r="Z1357" s="1489"/>
      <c r="AA1357" s="1489"/>
      <c r="AB1357" s="1489"/>
      <c r="AC1357" s="1489"/>
      <c r="AD1357" s="1489"/>
      <c r="AE1357" s="1489"/>
      <c r="AF1357" s="1489"/>
      <c r="AG1357" s="1489"/>
      <c r="AH1357" s="1489"/>
      <c r="AI1357" s="1489"/>
      <c r="AJ1357" s="1489"/>
      <c r="AK1357" s="1489"/>
      <c r="AL1357" s="1489"/>
      <c r="AM1357" s="1489"/>
      <c r="AN1357" s="1489"/>
      <c r="AO1357" s="1489"/>
      <c r="AP1357" s="1489"/>
      <c r="AQ1357" s="1489"/>
      <c r="AR1357" s="1488"/>
      <c r="AS1357" s="1488"/>
      <c r="AT1357" s="1488"/>
      <c r="AU1357" s="1488"/>
      <c r="AV1357" s="1488"/>
      <c r="AW1357" s="1488"/>
      <c r="AX1357" s="1488"/>
      <c r="AY1357" s="1488"/>
    </row>
    <row r="1358" spans="3:51" s="1502" customFormat="1">
      <c r="C1358" s="1498"/>
      <c r="D1358" s="1501"/>
      <c r="E1358" s="1500"/>
      <c r="F1358" s="814"/>
      <c r="G1358" s="1494"/>
      <c r="H1358" s="1493"/>
      <c r="I1358" s="1493"/>
      <c r="J1358" s="813"/>
      <c r="K1358" s="814"/>
      <c r="L1358" s="1499"/>
      <c r="M1358" s="1488"/>
      <c r="N1358" s="1488"/>
      <c r="O1358" s="1488"/>
      <c r="P1358" s="1488"/>
      <c r="Q1358" s="1489"/>
      <c r="R1358" s="1489"/>
      <c r="S1358" s="1489"/>
      <c r="T1358" s="1489"/>
      <c r="U1358" s="1489"/>
      <c r="V1358" s="1489"/>
      <c r="W1358" s="1489"/>
      <c r="X1358" s="1489"/>
      <c r="Y1358" s="1489"/>
      <c r="Z1358" s="1489"/>
      <c r="AA1358" s="1489"/>
      <c r="AB1358" s="1489"/>
      <c r="AC1358" s="1489"/>
      <c r="AD1358" s="1489"/>
      <c r="AE1358" s="1489"/>
      <c r="AF1358" s="1489"/>
      <c r="AG1358" s="1489"/>
      <c r="AH1358" s="1489"/>
      <c r="AI1358" s="1489"/>
      <c r="AJ1358" s="1489"/>
      <c r="AK1358" s="1489"/>
      <c r="AL1358" s="1489"/>
      <c r="AM1358" s="1489"/>
      <c r="AN1358" s="1489"/>
      <c r="AO1358" s="1489"/>
      <c r="AP1358" s="1489"/>
      <c r="AQ1358" s="1489"/>
      <c r="AR1358" s="1488"/>
      <c r="AS1358" s="1488"/>
      <c r="AT1358" s="1488"/>
      <c r="AU1358" s="1488"/>
      <c r="AV1358" s="1488"/>
      <c r="AW1358" s="1488"/>
      <c r="AX1358" s="1488"/>
      <c r="AY1358" s="1488"/>
    </row>
    <row r="1359" spans="3:51" s="1502" customFormat="1">
      <c r="C1359" s="1498"/>
      <c r="D1359" s="1501"/>
      <c r="E1359" s="1500"/>
      <c r="F1359" s="814"/>
      <c r="G1359" s="1494"/>
      <c r="H1359" s="1493"/>
      <c r="I1359" s="1493"/>
      <c r="J1359" s="813"/>
      <c r="K1359" s="814"/>
      <c r="L1359" s="1499"/>
      <c r="M1359" s="1488"/>
      <c r="N1359" s="1488"/>
      <c r="O1359" s="1488"/>
      <c r="P1359" s="1488"/>
      <c r="Q1359" s="1489"/>
      <c r="R1359" s="1489"/>
      <c r="S1359" s="1489"/>
      <c r="T1359" s="1489"/>
      <c r="U1359" s="1489"/>
      <c r="V1359" s="1489"/>
      <c r="W1359" s="1489"/>
      <c r="X1359" s="1489"/>
      <c r="Y1359" s="1489"/>
      <c r="Z1359" s="1489"/>
      <c r="AA1359" s="1489"/>
      <c r="AB1359" s="1489"/>
      <c r="AC1359" s="1489"/>
      <c r="AD1359" s="1489"/>
      <c r="AE1359" s="1489"/>
      <c r="AF1359" s="1489"/>
      <c r="AG1359" s="1489"/>
      <c r="AH1359" s="1489"/>
      <c r="AI1359" s="1489"/>
      <c r="AJ1359" s="1489"/>
      <c r="AK1359" s="1489"/>
      <c r="AL1359" s="1489"/>
      <c r="AM1359" s="1489"/>
      <c r="AN1359" s="1489"/>
      <c r="AO1359" s="1489"/>
      <c r="AP1359" s="1489"/>
      <c r="AQ1359" s="1489"/>
      <c r="AR1359" s="1488"/>
      <c r="AS1359" s="1488"/>
      <c r="AT1359" s="1488"/>
      <c r="AU1359" s="1488"/>
      <c r="AV1359" s="1488"/>
      <c r="AW1359" s="1488"/>
      <c r="AX1359" s="1488"/>
      <c r="AY1359" s="1488"/>
    </row>
    <row r="1360" spans="3:51" s="1502" customFormat="1">
      <c r="C1360" s="1498"/>
      <c r="D1360" s="1501"/>
      <c r="E1360" s="1500"/>
      <c r="F1360" s="814"/>
      <c r="G1360" s="1494"/>
      <c r="H1360" s="1493"/>
      <c r="I1360" s="1493"/>
      <c r="J1360" s="813"/>
      <c r="K1360" s="814"/>
      <c r="L1360" s="1499"/>
      <c r="M1360" s="1488"/>
      <c r="N1360" s="1488"/>
      <c r="O1360" s="1488"/>
      <c r="P1360" s="1488"/>
      <c r="Q1360" s="1489"/>
      <c r="R1360" s="1489"/>
      <c r="S1360" s="1489"/>
      <c r="T1360" s="1489"/>
      <c r="U1360" s="1489"/>
      <c r="V1360" s="1489"/>
      <c r="W1360" s="1489"/>
      <c r="X1360" s="1489"/>
      <c r="Y1360" s="1489"/>
      <c r="Z1360" s="1489"/>
      <c r="AA1360" s="1489"/>
      <c r="AB1360" s="1489"/>
      <c r="AC1360" s="1489"/>
      <c r="AD1360" s="1489"/>
      <c r="AE1360" s="1489"/>
      <c r="AF1360" s="1489"/>
      <c r="AG1360" s="1489"/>
      <c r="AH1360" s="1489"/>
      <c r="AI1360" s="1489"/>
      <c r="AJ1360" s="1489"/>
      <c r="AK1360" s="1489"/>
      <c r="AL1360" s="1489"/>
      <c r="AM1360" s="1489"/>
      <c r="AN1360" s="1489"/>
      <c r="AO1360" s="1489"/>
      <c r="AP1360" s="1489"/>
      <c r="AQ1360" s="1489"/>
      <c r="AR1360" s="1488"/>
      <c r="AS1360" s="1488"/>
      <c r="AT1360" s="1488"/>
      <c r="AU1360" s="1488"/>
      <c r="AV1360" s="1488"/>
      <c r="AW1360" s="1488"/>
      <c r="AX1360" s="1488"/>
      <c r="AY1360" s="1488"/>
    </row>
    <row r="1361" spans="3:51" s="1502" customFormat="1">
      <c r="C1361" s="1498"/>
      <c r="D1361" s="1501"/>
      <c r="E1361" s="1500"/>
      <c r="F1361" s="814"/>
      <c r="G1361" s="1494"/>
      <c r="H1361" s="1493"/>
      <c r="I1361" s="1493"/>
      <c r="J1361" s="813"/>
      <c r="K1361" s="814"/>
      <c r="L1361" s="1499"/>
      <c r="M1361" s="1488"/>
      <c r="N1361" s="1488"/>
      <c r="O1361" s="1488"/>
      <c r="P1361" s="1488"/>
      <c r="Q1361" s="1489"/>
      <c r="R1361" s="1489"/>
      <c r="S1361" s="1489"/>
      <c r="T1361" s="1489"/>
      <c r="U1361" s="1489"/>
      <c r="V1361" s="1489"/>
      <c r="W1361" s="1489"/>
      <c r="X1361" s="1489"/>
      <c r="Y1361" s="1489"/>
      <c r="Z1361" s="1489"/>
      <c r="AA1361" s="1489"/>
      <c r="AB1361" s="1489"/>
      <c r="AC1361" s="1489"/>
      <c r="AD1361" s="1489"/>
      <c r="AE1361" s="1489"/>
      <c r="AF1361" s="1489"/>
      <c r="AG1361" s="1489"/>
      <c r="AH1361" s="1489"/>
      <c r="AI1361" s="1489"/>
      <c r="AJ1361" s="1489"/>
      <c r="AK1361" s="1489"/>
      <c r="AL1361" s="1489"/>
      <c r="AM1361" s="1489"/>
      <c r="AN1361" s="1489"/>
      <c r="AO1361" s="1489"/>
      <c r="AP1361" s="1489"/>
      <c r="AQ1361" s="1489"/>
      <c r="AR1361" s="1488"/>
      <c r="AS1361" s="1488"/>
      <c r="AT1361" s="1488"/>
      <c r="AU1361" s="1488"/>
      <c r="AV1361" s="1488"/>
      <c r="AW1361" s="1488"/>
      <c r="AX1361" s="1488"/>
      <c r="AY1361" s="1488"/>
    </row>
    <row r="1362" spans="3:51" s="1502" customFormat="1">
      <c r="C1362" s="1498"/>
      <c r="D1362" s="1501"/>
      <c r="E1362" s="1500"/>
      <c r="F1362" s="814"/>
      <c r="G1362" s="1494"/>
      <c r="H1362" s="1493"/>
      <c r="I1362" s="1493"/>
      <c r="J1362" s="813"/>
      <c r="K1362" s="814"/>
      <c r="L1362" s="1499"/>
      <c r="M1362" s="1488"/>
      <c r="N1362" s="1488"/>
      <c r="O1362" s="1488"/>
      <c r="P1362" s="1488"/>
      <c r="Q1362" s="1489"/>
      <c r="R1362" s="1489"/>
      <c r="S1362" s="1489"/>
      <c r="T1362" s="1489"/>
      <c r="U1362" s="1489"/>
      <c r="V1362" s="1489"/>
      <c r="W1362" s="1489"/>
      <c r="X1362" s="1489"/>
      <c r="Y1362" s="1489"/>
      <c r="Z1362" s="1489"/>
      <c r="AA1362" s="1489"/>
      <c r="AB1362" s="1489"/>
      <c r="AC1362" s="1489"/>
      <c r="AD1362" s="1489"/>
      <c r="AE1362" s="1489"/>
      <c r="AF1362" s="1489"/>
      <c r="AG1362" s="1489"/>
      <c r="AH1362" s="1489"/>
      <c r="AI1362" s="1489"/>
      <c r="AJ1362" s="1489"/>
      <c r="AK1362" s="1489"/>
      <c r="AL1362" s="1489"/>
      <c r="AM1362" s="1489"/>
      <c r="AN1362" s="1489"/>
      <c r="AO1362" s="1489"/>
      <c r="AP1362" s="1489"/>
      <c r="AQ1362" s="1489"/>
      <c r="AR1362" s="1488"/>
      <c r="AS1362" s="1488"/>
      <c r="AT1362" s="1488"/>
      <c r="AU1362" s="1488"/>
      <c r="AV1362" s="1488"/>
      <c r="AW1362" s="1488"/>
      <c r="AX1362" s="1488"/>
      <c r="AY1362" s="1488"/>
    </row>
    <row r="1363" spans="3:51" s="1502" customFormat="1">
      <c r="C1363" s="1498"/>
      <c r="D1363" s="1501"/>
      <c r="E1363" s="1500"/>
      <c r="F1363" s="814"/>
      <c r="G1363" s="1494"/>
      <c r="H1363" s="1493"/>
      <c r="I1363" s="1493"/>
      <c r="J1363" s="813"/>
      <c r="K1363" s="814"/>
      <c r="L1363" s="1499"/>
      <c r="M1363" s="1488"/>
      <c r="N1363" s="1488"/>
      <c r="O1363" s="1488"/>
      <c r="P1363" s="1488"/>
      <c r="Q1363" s="1489"/>
      <c r="R1363" s="1489"/>
      <c r="S1363" s="1489"/>
      <c r="T1363" s="1489"/>
      <c r="U1363" s="1489"/>
      <c r="V1363" s="1489"/>
      <c r="W1363" s="1489"/>
      <c r="X1363" s="1489"/>
      <c r="Y1363" s="1489"/>
      <c r="Z1363" s="1489"/>
      <c r="AA1363" s="1489"/>
      <c r="AB1363" s="1489"/>
      <c r="AC1363" s="1489"/>
      <c r="AD1363" s="1489"/>
      <c r="AE1363" s="1489"/>
      <c r="AF1363" s="1489"/>
      <c r="AG1363" s="1489"/>
      <c r="AH1363" s="1489"/>
      <c r="AI1363" s="1489"/>
      <c r="AJ1363" s="1489"/>
      <c r="AK1363" s="1489"/>
      <c r="AL1363" s="1489"/>
      <c r="AM1363" s="1489"/>
      <c r="AN1363" s="1489"/>
      <c r="AO1363" s="1489"/>
      <c r="AP1363" s="1489"/>
      <c r="AQ1363" s="1489"/>
      <c r="AR1363" s="1488"/>
      <c r="AS1363" s="1488"/>
      <c r="AT1363" s="1488"/>
      <c r="AU1363" s="1488"/>
      <c r="AV1363" s="1488"/>
      <c r="AW1363" s="1488"/>
      <c r="AX1363" s="1488"/>
      <c r="AY1363" s="1488"/>
    </row>
    <row r="1364" spans="3:51" s="1502" customFormat="1">
      <c r="C1364" s="1498"/>
      <c r="D1364" s="1501"/>
      <c r="E1364" s="1500"/>
      <c r="F1364" s="814"/>
      <c r="G1364" s="1494"/>
      <c r="H1364" s="1493"/>
      <c r="I1364" s="1493"/>
      <c r="J1364" s="813"/>
      <c r="K1364" s="814"/>
      <c r="L1364" s="1499"/>
      <c r="M1364" s="1488"/>
      <c r="N1364" s="1488"/>
      <c r="O1364" s="1488"/>
      <c r="P1364" s="1488"/>
      <c r="Q1364" s="1489"/>
      <c r="R1364" s="1489"/>
      <c r="S1364" s="1489"/>
      <c r="T1364" s="1489"/>
      <c r="U1364" s="1489"/>
      <c r="V1364" s="1489"/>
      <c r="W1364" s="1489"/>
      <c r="X1364" s="1489"/>
      <c r="Y1364" s="1489"/>
      <c r="Z1364" s="1489"/>
      <c r="AA1364" s="1489"/>
      <c r="AB1364" s="1489"/>
      <c r="AC1364" s="1489"/>
      <c r="AD1364" s="1489"/>
      <c r="AE1364" s="1489"/>
      <c r="AF1364" s="1489"/>
      <c r="AG1364" s="1489"/>
      <c r="AH1364" s="1489"/>
      <c r="AI1364" s="1489"/>
      <c r="AJ1364" s="1489"/>
      <c r="AK1364" s="1489"/>
      <c r="AL1364" s="1489"/>
      <c r="AM1364" s="1489"/>
      <c r="AN1364" s="1489"/>
      <c r="AO1364" s="1489"/>
      <c r="AP1364" s="1489"/>
      <c r="AQ1364" s="1489"/>
      <c r="AR1364" s="1488"/>
      <c r="AS1364" s="1488"/>
      <c r="AT1364" s="1488"/>
      <c r="AU1364" s="1488"/>
      <c r="AV1364" s="1488"/>
      <c r="AW1364" s="1488"/>
      <c r="AX1364" s="1488"/>
      <c r="AY1364" s="1488"/>
    </row>
    <row r="1365" spans="3:51" s="1502" customFormat="1">
      <c r="C1365" s="1498"/>
      <c r="D1365" s="1501"/>
      <c r="E1365" s="1500"/>
      <c r="F1365" s="814"/>
      <c r="G1365" s="1494"/>
      <c r="H1365" s="1493"/>
      <c r="I1365" s="1493"/>
      <c r="J1365" s="813"/>
      <c r="K1365" s="814"/>
      <c r="L1365" s="1499"/>
      <c r="M1365" s="1488"/>
      <c r="N1365" s="1488"/>
      <c r="O1365" s="1488"/>
      <c r="P1365" s="1488"/>
      <c r="Q1365" s="1489"/>
      <c r="R1365" s="1489"/>
      <c r="S1365" s="1489"/>
      <c r="T1365" s="1489"/>
      <c r="U1365" s="1489"/>
      <c r="V1365" s="1489"/>
      <c r="W1365" s="1489"/>
      <c r="X1365" s="1489"/>
      <c r="Y1365" s="1489"/>
      <c r="Z1365" s="1489"/>
      <c r="AA1365" s="1489"/>
      <c r="AB1365" s="1489"/>
      <c r="AC1365" s="1489"/>
      <c r="AD1365" s="1489"/>
      <c r="AE1365" s="1489"/>
      <c r="AF1365" s="1489"/>
      <c r="AG1365" s="1489"/>
      <c r="AH1365" s="1489"/>
      <c r="AI1365" s="1489"/>
      <c r="AJ1365" s="1489"/>
      <c r="AK1365" s="1489"/>
      <c r="AL1365" s="1489"/>
      <c r="AM1365" s="1489"/>
      <c r="AN1365" s="1489"/>
      <c r="AO1365" s="1489"/>
      <c r="AP1365" s="1489"/>
      <c r="AQ1365" s="1489"/>
      <c r="AR1365" s="1488"/>
      <c r="AS1365" s="1488"/>
      <c r="AT1365" s="1488"/>
      <c r="AU1365" s="1488"/>
      <c r="AV1365" s="1488"/>
      <c r="AW1365" s="1488"/>
      <c r="AX1365" s="1488"/>
      <c r="AY1365" s="1488"/>
    </row>
    <row r="1366" spans="3:51" s="1502" customFormat="1">
      <c r="C1366" s="1498"/>
      <c r="D1366" s="1501"/>
      <c r="E1366" s="1500"/>
      <c r="F1366" s="814"/>
      <c r="G1366" s="1494"/>
      <c r="H1366" s="1493"/>
      <c r="I1366" s="1493"/>
      <c r="J1366" s="813"/>
      <c r="K1366" s="814"/>
      <c r="L1366" s="1499"/>
      <c r="M1366" s="1488"/>
      <c r="N1366" s="1488"/>
      <c r="O1366" s="1488"/>
      <c r="P1366" s="1488"/>
      <c r="Q1366" s="1489"/>
      <c r="R1366" s="1489"/>
      <c r="S1366" s="1489"/>
      <c r="T1366" s="1489"/>
      <c r="U1366" s="1489"/>
      <c r="V1366" s="1489"/>
      <c r="W1366" s="1489"/>
      <c r="X1366" s="1489"/>
      <c r="Y1366" s="1489"/>
      <c r="Z1366" s="1489"/>
      <c r="AA1366" s="1489"/>
      <c r="AB1366" s="1489"/>
      <c r="AC1366" s="1489"/>
      <c r="AD1366" s="1489"/>
      <c r="AE1366" s="1489"/>
      <c r="AF1366" s="1489"/>
      <c r="AG1366" s="1489"/>
      <c r="AH1366" s="1489"/>
      <c r="AI1366" s="1489"/>
      <c r="AJ1366" s="1489"/>
      <c r="AK1366" s="1489"/>
      <c r="AL1366" s="1489"/>
      <c r="AM1366" s="1489"/>
      <c r="AN1366" s="1489"/>
      <c r="AO1366" s="1489"/>
      <c r="AP1366" s="1489"/>
      <c r="AQ1366" s="1489"/>
      <c r="AR1366" s="1488"/>
      <c r="AS1366" s="1488"/>
      <c r="AT1366" s="1488"/>
      <c r="AU1366" s="1488"/>
      <c r="AV1366" s="1488"/>
      <c r="AW1366" s="1488"/>
      <c r="AX1366" s="1488"/>
      <c r="AY1366" s="1488"/>
    </row>
    <row r="1367" spans="3:51" s="1502" customFormat="1">
      <c r="C1367" s="1498"/>
      <c r="D1367" s="1501"/>
      <c r="E1367" s="1500"/>
      <c r="F1367" s="814"/>
      <c r="G1367" s="1494"/>
      <c r="H1367" s="1493"/>
      <c r="I1367" s="1493"/>
      <c r="J1367" s="813"/>
      <c r="K1367" s="814"/>
      <c r="L1367" s="1499"/>
      <c r="M1367" s="1488"/>
      <c r="N1367" s="1488"/>
      <c r="O1367" s="1488"/>
      <c r="P1367" s="1488"/>
      <c r="Q1367" s="1489"/>
      <c r="R1367" s="1489"/>
      <c r="S1367" s="1489"/>
      <c r="T1367" s="1489"/>
      <c r="U1367" s="1489"/>
      <c r="V1367" s="1489"/>
      <c r="W1367" s="1489"/>
      <c r="X1367" s="1489"/>
      <c r="Y1367" s="1489"/>
      <c r="Z1367" s="1489"/>
      <c r="AA1367" s="1489"/>
      <c r="AB1367" s="1489"/>
      <c r="AC1367" s="1489"/>
      <c r="AD1367" s="1489"/>
      <c r="AE1367" s="1489"/>
      <c r="AF1367" s="1489"/>
      <c r="AG1367" s="1489"/>
      <c r="AH1367" s="1489"/>
      <c r="AI1367" s="1489"/>
      <c r="AJ1367" s="1489"/>
      <c r="AK1367" s="1489"/>
      <c r="AL1367" s="1489"/>
      <c r="AM1367" s="1489"/>
      <c r="AN1367" s="1489"/>
      <c r="AO1367" s="1489"/>
      <c r="AP1367" s="1489"/>
      <c r="AQ1367" s="1489"/>
      <c r="AR1367" s="1488"/>
      <c r="AS1367" s="1488"/>
      <c r="AT1367" s="1488"/>
      <c r="AU1367" s="1488"/>
      <c r="AV1367" s="1488"/>
      <c r="AW1367" s="1488"/>
      <c r="AX1367" s="1488"/>
      <c r="AY1367" s="1488"/>
    </row>
    <row r="1368" spans="3:51" s="1502" customFormat="1">
      <c r="C1368" s="1498"/>
      <c r="D1368" s="1501"/>
      <c r="E1368" s="1500"/>
      <c r="F1368" s="814"/>
      <c r="G1368" s="1494"/>
      <c r="H1368" s="1493"/>
      <c r="I1368" s="1493"/>
      <c r="J1368" s="813"/>
      <c r="K1368" s="814"/>
      <c r="L1368" s="1499"/>
      <c r="M1368" s="1488"/>
      <c r="N1368" s="1488"/>
      <c r="O1368" s="1488"/>
      <c r="P1368" s="1488"/>
      <c r="Q1368" s="1489"/>
      <c r="R1368" s="1489"/>
      <c r="S1368" s="1489"/>
      <c r="T1368" s="1489"/>
      <c r="U1368" s="1489"/>
      <c r="V1368" s="1489"/>
      <c r="W1368" s="1489"/>
      <c r="X1368" s="1489"/>
      <c r="Y1368" s="1489"/>
      <c r="Z1368" s="1489"/>
      <c r="AA1368" s="1489"/>
      <c r="AB1368" s="1489"/>
      <c r="AC1368" s="1489"/>
      <c r="AD1368" s="1489"/>
      <c r="AE1368" s="1489"/>
      <c r="AF1368" s="1489"/>
      <c r="AG1368" s="1489"/>
      <c r="AH1368" s="1489"/>
      <c r="AI1368" s="1489"/>
      <c r="AJ1368" s="1489"/>
      <c r="AK1368" s="1489"/>
      <c r="AL1368" s="1489"/>
      <c r="AM1368" s="1489"/>
      <c r="AN1368" s="1489"/>
      <c r="AO1368" s="1489"/>
      <c r="AP1368" s="1489"/>
      <c r="AQ1368" s="1489"/>
      <c r="AR1368" s="1488"/>
      <c r="AS1368" s="1488"/>
      <c r="AT1368" s="1488"/>
      <c r="AU1368" s="1488"/>
      <c r="AV1368" s="1488"/>
      <c r="AW1368" s="1488"/>
      <c r="AX1368" s="1488"/>
      <c r="AY1368" s="1488"/>
    </row>
    <row r="1369" spans="3:51" s="1502" customFormat="1">
      <c r="C1369" s="1498"/>
      <c r="D1369" s="1501"/>
      <c r="E1369" s="1500"/>
      <c r="F1369" s="814"/>
      <c r="G1369" s="1494"/>
      <c r="H1369" s="1493"/>
      <c r="I1369" s="1493"/>
      <c r="J1369" s="813"/>
      <c r="K1369" s="814"/>
      <c r="L1369" s="1499"/>
      <c r="M1369" s="1488"/>
      <c r="N1369" s="1488"/>
      <c r="O1369" s="1488"/>
      <c r="P1369" s="1488"/>
      <c r="Q1369" s="1489"/>
      <c r="R1369" s="1489"/>
      <c r="S1369" s="1489"/>
      <c r="T1369" s="1489"/>
      <c r="U1369" s="1489"/>
      <c r="V1369" s="1489"/>
      <c r="W1369" s="1489"/>
      <c r="X1369" s="1489"/>
      <c r="Y1369" s="1489"/>
      <c r="Z1369" s="1489"/>
      <c r="AA1369" s="1489"/>
      <c r="AB1369" s="1489"/>
      <c r="AC1369" s="1489"/>
      <c r="AD1369" s="1489"/>
      <c r="AE1369" s="1489"/>
      <c r="AF1369" s="1489"/>
      <c r="AG1369" s="1489"/>
      <c r="AH1369" s="1489"/>
      <c r="AI1369" s="1489"/>
      <c r="AJ1369" s="1489"/>
      <c r="AK1369" s="1489"/>
      <c r="AL1369" s="1489"/>
      <c r="AM1369" s="1489"/>
      <c r="AN1369" s="1489"/>
      <c r="AO1369" s="1489"/>
      <c r="AP1369" s="1489"/>
      <c r="AQ1369" s="1489"/>
      <c r="AR1369" s="1488"/>
      <c r="AS1369" s="1488"/>
      <c r="AT1369" s="1488"/>
      <c r="AU1369" s="1488"/>
      <c r="AV1369" s="1488"/>
      <c r="AW1369" s="1488"/>
      <c r="AX1369" s="1488"/>
      <c r="AY1369" s="1488"/>
    </row>
    <row r="1370" spans="3:51" s="1502" customFormat="1">
      <c r="C1370" s="1498"/>
      <c r="D1370" s="1501"/>
      <c r="E1370" s="1500"/>
      <c r="F1370" s="814"/>
      <c r="G1370" s="1494"/>
      <c r="H1370" s="1493"/>
      <c r="I1370" s="1493"/>
      <c r="J1370" s="813"/>
      <c r="K1370" s="814"/>
      <c r="L1370" s="1499"/>
      <c r="M1370" s="1488"/>
      <c r="N1370" s="1488"/>
      <c r="O1370" s="1488"/>
      <c r="P1370" s="1488"/>
      <c r="Q1370" s="1489"/>
      <c r="R1370" s="1489"/>
      <c r="S1370" s="1489"/>
      <c r="T1370" s="1489"/>
      <c r="U1370" s="1489"/>
      <c r="V1370" s="1489"/>
      <c r="W1370" s="1489"/>
      <c r="X1370" s="1489"/>
      <c r="Y1370" s="1489"/>
      <c r="Z1370" s="1489"/>
      <c r="AA1370" s="1489"/>
      <c r="AB1370" s="1489"/>
      <c r="AC1370" s="1489"/>
      <c r="AD1370" s="1489"/>
      <c r="AE1370" s="1489"/>
      <c r="AF1370" s="1489"/>
      <c r="AG1370" s="1489"/>
      <c r="AH1370" s="1489"/>
      <c r="AI1370" s="1489"/>
      <c r="AJ1370" s="1489"/>
      <c r="AK1370" s="1489"/>
      <c r="AL1370" s="1489"/>
      <c r="AM1370" s="1489"/>
      <c r="AN1370" s="1489"/>
      <c r="AO1370" s="1489"/>
      <c r="AP1370" s="1489"/>
      <c r="AQ1370" s="1489"/>
      <c r="AR1370" s="1488"/>
      <c r="AS1370" s="1488"/>
      <c r="AT1370" s="1488"/>
      <c r="AU1370" s="1488"/>
      <c r="AV1370" s="1488"/>
      <c r="AW1370" s="1488"/>
      <c r="AX1370" s="1488"/>
      <c r="AY1370" s="1488"/>
    </row>
    <row r="1371" spans="3:51" s="1502" customFormat="1">
      <c r="C1371" s="1498"/>
      <c r="D1371" s="1501"/>
      <c r="E1371" s="1500"/>
      <c r="F1371" s="814"/>
      <c r="G1371" s="1494"/>
      <c r="H1371" s="1493"/>
      <c r="I1371" s="1493"/>
      <c r="J1371" s="813"/>
      <c r="K1371" s="814"/>
      <c r="L1371" s="1499"/>
      <c r="M1371" s="1488"/>
      <c r="N1371" s="1488"/>
      <c r="O1371" s="1488"/>
      <c r="P1371" s="1488"/>
      <c r="Q1371" s="1489"/>
      <c r="R1371" s="1489"/>
      <c r="S1371" s="1489"/>
      <c r="T1371" s="1489"/>
      <c r="U1371" s="1489"/>
      <c r="V1371" s="1489"/>
      <c r="W1371" s="1489"/>
      <c r="X1371" s="1489"/>
      <c r="Y1371" s="1489"/>
      <c r="Z1371" s="1489"/>
      <c r="AA1371" s="1489"/>
      <c r="AB1371" s="1489"/>
      <c r="AC1371" s="1489"/>
      <c r="AD1371" s="1489"/>
      <c r="AE1371" s="1489"/>
      <c r="AF1371" s="1489"/>
      <c r="AG1371" s="1489"/>
      <c r="AH1371" s="1489"/>
      <c r="AI1371" s="1489"/>
      <c r="AJ1371" s="1489"/>
      <c r="AK1371" s="1489"/>
      <c r="AL1371" s="1489"/>
      <c r="AM1371" s="1489"/>
      <c r="AN1371" s="1489"/>
      <c r="AO1371" s="1489"/>
      <c r="AP1371" s="1489"/>
      <c r="AQ1371" s="1489"/>
      <c r="AR1371" s="1488"/>
      <c r="AS1371" s="1488"/>
      <c r="AT1371" s="1488"/>
      <c r="AU1371" s="1488"/>
      <c r="AV1371" s="1488"/>
      <c r="AW1371" s="1488"/>
      <c r="AX1371" s="1488"/>
      <c r="AY1371" s="1488"/>
    </row>
    <row r="1372" spans="3:51" s="1502" customFormat="1">
      <c r="C1372" s="1498"/>
      <c r="D1372" s="1501"/>
      <c r="E1372" s="1500"/>
      <c r="F1372" s="814"/>
      <c r="G1372" s="1494"/>
      <c r="H1372" s="1493"/>
      <c r="I1372" s="1493"/>
      <c r="J1372" s="813"/>
      <c r="K1372" s="814"/>
      <c r="L1372" s="1499"/>
      <c r="M1372" s="1488"/>
      <c r="N1372" s="1488"/>
      <c r="O1372" s="1488"/>
      <c r="P1372" s="1488"/>
      <c r="Q1372" s="1489"/>
      <c r="R1372" s="1489"/>
      <c r="S1372" s="1489"/>
      <c r="T1372" s="1489"/>
      <c r="U1372" s="1489"/>
      <c r="V1372" s="1489"/>
      <c r="W1372" s="1489"/>
      <c r="X1372" s="1489"/>
      <c r="Y1372" s="1489"/>
      <c r="Z1372" s="1489"/>
      <c r="AA1372" s="1489"/>
      <c r="AB1372" s="1489"/>
      <c r="AC1372" s="1489"/>
      <c r="AD1372" s="1489"/>
      <c r="AE1372" s="1489"/>
      <c r="AF1372" s="1489"/>
      <c r="AG1372" s="1489"/>
      <c r="AH1372" s="1489"/>
      <c r="AI1372" s="1489"/>
      <c r="AJ1372" s="1489"/>
      <c r="AK1372" s="1489"/>
      <c r="AL1372" s="1489"/>
      <c r="AM1372" s="1489"/>
      <c r="AN1372" s="1489"/>
      <c r="AO1372" s="1489"/>
      <c r="AP1372" s="1489"/>
      <c r="AQ1372" s="1489"/>
      <c r="AR1372" s="1488"/>
      <c r="AS1372" s="1488"/>
      <c r="AT1372" s="1488"/>
      <c r="AU1372" s="1488"/>
      <c r="AV1372" s="1488"/>
      <c r="AW1372" s="1488"/>
      <c r="AX1372" s="1488"/>
      <c r="AY1372" s="1488"/>
    </row>
    <row r="1373" spans="3:51" s="1502" customFormat="1">
      <c r="C1373" s="1498"/>
      <c r="D1373" s="1501"/>
      <c r="E1373" s="1500"/>
      <c r="F1373" s="814"/>
      <c r="G1373" s="1494"/>
      <c r="H1373" s="1493"/>
      <c r="I1373" s="1493"/>
      <c r="J1373" s="813"/>
      <c r="K1373" s="814"/>
      <c r="L1373" s="1499"/>
      <c r="M1373" s="1488"/>
      <c r="N1373" s="1488"/>
      <c r="O1373" s="1488"/>
      <c r="P1373" s="1488"/>
      <c r="Q1373" s="1489"/>
      <c r="R1373" s="1489"/>
      <c r="S1373" s="1489"/>
      <c r="T1373" s="1489"/>
      <c r="U1373" s="1489"/>
      <c r="V1373" s="1489"/>
      <c r="W1373" s="1489"/>
      <c r="X1373" s="1489"/>
      <c r="Y1373" s="1489"/>
      <c r="Z1373" s="1489"/>
      <c r="AA1373" s="1489"/>
      <c r="AB1373" s="1489"/>
      <c r="AC1373" s="1489"/>
      <c r="AD1373" s="1489"/>
      <c r="AE1373" s="1489"/>
      <c r="AF1373" s="1489"/>
      <c r="AG1373" s="1489"/>
      <c r="AH1373" s="1489"/>
      <c r="AI1373" s="1489"/>
      <c r="AJ1373" s="1489"/>
      <c r="AK1373" s="1489"/>
      <c r="AL1373" s="1489"/>
      <c r="AM1373" s="1489"/>
      <c r="AN1373" s="1489"/>
      <c r="AO1373" s="1489"/>
      <c r="AP1373" s="1489"/>
      <c r="AQ1373" s="1489"/>
      <c r="AR1373" s="1488"/>
      <c r="AS1373" s="1488"/>
      <c r="AT1373" s="1488"/>
      <c r="AU1373" s="1488"/>
      <c r="AV1373" s="1488"/>
      <c r="AW1373" s="1488"/>
      <c r="AX1373" s="1488"/>
      <c r="AY1373" s="1488"/>
    </row>
    <row r="1374" spans="3:51" s="1502" customFormat="1">
      <c r="C1374" s="1498"/>
      <c r="D1374" s="1501"/>
      <c r="E1374" s="1500"/>
      <c r="F1374" s="814"/>
      <c r="G1374" s="1494"/>
      <c r="H1374" s="1493"/>
      <c r="I1374" s="1493"/>
      <c r="J1374" s="813"/>
      <c r="K1374" s="814"/>
      <c r="L1374" s="1499"/>
      <c r="M1374" s="1488"/>
      <c r="N1374" s="1488"/>
      <c r="O1374" s="1488"/>
      <c r="P1374" s="1488"/>
      <c r="Q1374" s="1489"/>
      <c r="R1374" s="1489"/>
      <c r="S1374" s="1489"/>
      <c r="T1374" s="1489"/>
      <c r="U1374" s="1489"/>
      <c r="V1374" s="1489"/>
      <c r="W1374" s="1489"/>
      <c r="X1374" s="1489"/>
      <c r="Y1374" s="1489"/>
      <c r="Z1374" s="1489"/>
      <c r="AA1374" s="1489"/>
      <c r="AB1374" s="1489"/>
      <c r="AC1374" s="1489"/>
      <c r="AD1374" s="1489"/>
      <c r="AE1374" s="1489"/>
      <c r="AF1374" s="1489"/>
      <c r="AG1374" s="1489"/>
      <c r="AH1374" s="1489"/>
      <c r="AI1374" s="1489"/>
      <c r="AJ1374" s="1489"/>
      <c r="AK1374" s="1489"/>
      <c r="AL1374" s="1489"/>
      <c r="AM1374" s="1489"/>
      <c r="AN1374" s="1489"/>
      <c r="AO1374" s="1489"/>
      <c r="AP1374" s="1489"/>
      <c r="AQ1374" s="1489"/>
      <c r="AR1374" s="1488"/>
      <c r="AS1374" s="1488"/>
      <c r="AT1374" s="1488"/>
      <c r="AU1374" s="1488"/>
      <c r="AV1374" s="1488"/>
      <c r="AW1374" s="1488"/>
      <c r="AX1374" s="1488"/>
      <c r="AY1374" s="1488"/>
    </row>
    <row r="1375" spans="3:51" s="1502" customFormat="1">
      <c r="C1375" s="1498"/>
      <c r="D1375" s="1501"/>
      <c r="E1375" s="1500"/>
      <c r="F1375" s="814"/>
      <c r="G1375" s="1494"/>
      <c r="H1375" s="1493"/>
      <c r="I1375" s="1493"/>
      <c r="J1375" s="813"/>
      <c r="K1375" s="814"/>
      <c r="L1375" s="1499"/>
      <c r="M1375" s="1488"/>
      <c r="N1375" s="1488"/>
      <c r="O1375" s="1488"/>
      <c r="P1375" s="1488"/>
      <c r="Q1375" s="1489"/>
      <c r="R1375" s="1489"/>
      <c r="S1375" s="1489"/>
      <c r="T1375" s="1489"/>
      <c r="U1375" s="1489"/>
      <c r="V1375" s="1489"/>
      <c r="W1375" s="1489"/>
      <c r="X1375" s="1489"/>
      <c r="Y1375" s="1489"/>
      <c r="Z1375" s="1489"/>
      <c r="AA1375" s="1489"/>
      <c r="AB1375" s="1489"/>
      <c r="AC1375" s="1489"/>
      <c r="AD1375" s="1489"/>
      <c r="AE1375" s="1489"/>
      <c r="AF1375" s="1489"/>
      <c r="AG1375" s="1489"/>
      <c r="AH1375" s="1489"/>
      <c r="AI1375" s="1489"/>
      <c r="AJ1375" s="1489"/>
      <c r="AK1375" s="1489"/>
      <c r="AL1375" s="1489"/>
      <c r="AM1375" s="1489"/>
      <c r="AN1375" s="1489"/>
      <c r="AO1375" s="1489"/>
      <c r="AP1375" s="1489"/>
      <c r="AQ1375" s="1489"/>
      <c r="AR1375" s="1488"/>
      <c r="AS1375" s="1488"/>
      <c r="AT1375" s="1488"/>
      <c r="AU1375" s="1488"/>
      <c r="AV1375" s="1488"/>
      <c r="AW1375" s="1488"/>
      <c r="AX1375" s="1488"/>
      <c r="AY1375" s="1488"/>
    </row>
    <row r="1376" spans="3:51" s="1502" customFormat="1">
      <c r="C1376" s="1498"/>
      <c r="D1376" s="1501"/>
      <c r="E1376" s="1500"/>
      <c r="F1376" s="814"/>
      <c r="G1376" s="1494"/>
      <c r="H1376" s="1493"/>
      <c r="I1376" s="1493"/>
      <c r="J1376" s="813"/>
      <c r="K1376" s="814"/>
      <c r="L1376" s="1499"/>
      <c r="M1376" s="1488"/>
      <c r="N1376" s="1488"/>
      <c r="O1376" s="1488"/>
      <c r="P1376" s="1488"/>
      <c r="Q1376" s="1489"/>
      <c r="R1376" s="1489"/>
      <c r="S1376" s="1489"/>
      <c r="T1376" s="1489"/>
      <c r="U1376" s="1489"/>
      <c r="V1376" s="1489"/>
      <c r="W1376" s="1489"/>
      <c r="X1376" s="1489"/>
      <c r="Y1376" s="1489"/>
      <c r="Z1376" s="1489"/>
      <c r="AA1376" s="1489"/>
      <c r="AB1376" s="1489"/>
      <c r="AC1376" s="1489"/>
      <c r="AD1376" s="1489"/>
      <c r="AE1376" s="1489"/>
      <c r="AF1376" s="1489"/>
      <c r="AG1376" s="1489"/>
      <c r="AH1376" s="1489"/>
      <c r="AI1376" s="1489"/>
      <c r="AJ1376" s="1489"/>
      <c r="AK1376" s="1489"/>
      <c r="AL1376" s="1489"/>
      <c r="AM1376" s="1489"/>
      <c r="AN1376" s="1489"/>
      <c r="AO1376" s="1489"/>
      <c r="AP1376" s="1489"/>
      <c r="AQ1376" s="1489"/>
      <c r="AR1376" s="1488"/>
      <c r="AS1376" s="1488"/>
      <c r="AT1376" s="1488"/>
      <c r="AU1376" s="1488"/>
      <c r="AV1376" s="1488"/>
      <c r="AW1376" s="1488"/>
      <c r="AX1376" s="1488"/>
      <c r="AY1376" s="1488"/>
    </row>
    <row r="1377" spans="3:51" s="1502" customFormat="1">
      <c r="C1377" s="1498"/>
      <c r="D1377" s="1501"/>
      <c r="E1377" s="1500"/>
      <c r="F1377" s="814"/>
      <c r="G1377" s="1494"/>
      <c r="H1377" s="1493"/>
      <c r="I1377" s="1493"/>
      <c r="J1377" s="813"/>
      <c r="K1377" s="814"/>
      <c r="L1377" s="1499"/>
      <c r="M1377" s="1488"/>
      <c r="N1377" s="1488"/>
      <c r="O1377" s="1488"/>
      <c r="P1377" s="1488"/>
      <c r="Q1377" s="1489"/>
      <c r="R1377" s="1489"/>
      <c r="S1377" s="1489"/>
      <c r="T1377" s="1489"/>
      <c r="U1377" s="1489"/>
      <c r="V1377" s="1489"/>
      <c r="W1377" s="1489"/>
      <c r="X1377" s="1489"/>
      <c r="Y1377" s="1489"/>
      <c r="Z1377" s="1489"/>
      <c r="AA1377" s="1489"/>
      <c r="AB1377" s="1489"/>
      <c r="AC1377" s="1489"/>
      <c r="AD1377" s="1489"/>
      <c r="AE1377" s="1489"/>
      <c r="AF1377" s="1489"/>
      <c r="AG1377" s="1489"/>
      <c r="AH1377" s="1489"/>
      <c r="AI1377" s="1489"/>
      <c r="AJ1377" s="1489"/>
      <c r="AK1377" s="1489"/>
      <c r="AL1377" s="1489"/>
      <c r="AM1377" s="1489"/>
      <c r="AN1377" s="1489"/>
      <c r="AO1377" s="1489"/>
      <c r="AP1377" s="1489"/>
      <c r="AQ1377" s="1489"/>
      <c r="AR1377" s="1488"/>
      <c r="AS1377" s="1488"/>
      <c r="AT1377" s="1488"/>
      <c r="AU1377" s="1488"/>
      <c r="AV1377" s="1488"/>
      <c r="AW1377" s="1488"/>
      <c r="AX1377" s="1488"/>
      <c r="AY1377" s="1488"/>
    </row>
    <row r="1378" spans="3:51" s="1502" customFormat="1">
      <c r="C1378" s="1498"/>
      <c r="D1378" s="1501"/>
      <c r="E1378" s="1500"/>
      <c r="F1378" s="814"/>
      <c r="G1378" s="1494"/>
      <c r="H1378" s="1493"/>
      <c r="I1378" s="1493"/>
      <c r="J1378" s="813"/>
      <c r="K1378" s="814"/>
      <c r="L1378" s="1499"/>
      <c r="M1378" s="1488"/>
      <c r="N1378" s="1488"/>
      <c r="O1378" s="1488"/>
      <c r="P1378" s="1488"/>
      <c r="Q1378" s="1489"/>
      <c r="R1378" s="1489"/>
      <c r="S1378" s="1489"/>
      <c r="T1378" s="1489"/>
      <c r="U1378" s="1489"/>
      <c r="V1378" s="1489"/>
      <c r="W1378" s="1489"/>
      <c r="X1378" s="1489"/>
      <c r="Y1378" s="1489"/>
      <c r="Z1378" s="1489"/>
      <c r="AA1378" s="1489"/>
      <c r="AB1378" s="1489"/>
      <c r="AC1378" s="1489"/>
      <c r="AD1378" s="1489"/>
      <c r="AE1378" s="1489"/>
      <c r="AF1378" s="1489"/>
      <c r="AG1378" s="1489"/>
      <c r="AH1378" s="1489"/>
      <c r="AI1378" s="1489"/>
      <c r="AJ1378" s="1489"/>
      <c r="AK1378" s="1489"/>
      <c r="AL1378" s="1489"/>
      <c r="AM1378" s="1489"/>
      <c r="AN1378" s="1489"/>
      <c r="AO1378" s="1489"/>
      <c r="AP1378" s="1489"/>
      <c r="AQ1378" s="1489"/>
      <c r="AR1378" s="1488"/>
      <c r="AS1378" s="1488"/>
      <c r="AT1378" s="1488"/>
      <c r="AU1378" s="1488"/>
      <c r="AV1378" s="1488"/>
      <c r="AW1378" s="1488"/>
      <c r="AX1378" s="1488"/>
      <c r="AY1378" s="1488"/>
    </row>
    <row r="1379" spans="3:51" s="1502" customFormat="1">
      <c r="C1379" s="1498"/>
      <c r="D1379" s="1501"/>
      <c r="E1379" s="1500"/>
      <c r="F1379" s="814"/>
      <c r="G1379" s="1494"/>
      <c r="H1379" s="1493"/>
      <c r="I1379" s="1493"/>
      <c r="J1379" s="813"/>
      <c r="K1379" s="814"/>
      <c r="L1379" s="1499"/>
      <c r="M1379" s="1488"/>
      <c r="N1379" s="1488"/>
      <c r="O1379" s="1488"/>
      <c r="P1379" s="1488"/>
      <c r="Q1379" s="1489"/>
      <c r="R1379" s="1489"/>
      <c r="S1379" s="1489"/>
      <c r="T1379" s="1489"/>
      <c r="U1379" s="1489"/>
      <c r="V1379" s="1489"/>
      <c r="W1379" s="1489"/>
      <c r="X1379" s="1489"/>
      <c r="Y1379" s="1489"/>
      <c r="Z1379" s="1489"/>
      <c r="AA1379" s="1489"/>
      <c r="AB1379" s="1489"/>
      <c r="AC1379" s="1489"/>
      <c r="AD1379" s="1489"/>
      <c r="AE1379" s="1489"/>
      <c r="AF1379" s="1489"/>
      <c r="AG1379" s="1489"/>
      <c r="AH1379" s="1489"/>
      <c r="AI1379" s="1489"/>
      <c r="AJ1379" s="1489"/>
      <c r="AK1379" s="1489"/>
      <c r="AL1379" s="1489"/>
      <c r="AM1379" s="1489"/>
      <c r="AN1379" s="1489"/>
      <c r="AO1379" s="1489"/>
      <c r="AP1379" s="1489"/>
      <c r="AQ1379" s="1489"/>
      <c r="AR1379" s="1488"/>
      <c r="AS1379" s="1488"/>
      <c r="AT1379" s="1488"/>
      <c r="AU1379" s="1488"/>
      <c r="AV1379" s="1488"/>
      <c r="AW1379" s="1488"/>
      <c r="AX1379" s="1488"/>
      <c r="AY1379" s="1488"/>
    </row>
    <row r="1380" spans="3:51" s="1502" customFormat="1">
      <c r="C1380" s="1498"/>
      <c r="D1380" s="1501"/>
      <c r="E1380" s="1500"/>
      <c r="F1380" s="814"/>
      <c r="G1380" s="1494"/>
      <c r="H1380" s="1493"/>
      <c r="I1380" s="1493"/>
      <c r="J1380" s="813"/>
      <c r="K1380" s="814"/>
      <c r="L1380" s="1499"/>
      <c r="M1380" s="1488"/>
      <c r="N1380" s="1488"/>
      <c r="O1380" s="1488"/>
      <c r="P1380" s="1488"/>
      <c r="Q1380" s="1489"/>
      <c r="R1380" s="1489"/>
      <c r="S1380" s="1489"/>
      <c r="T1380" s="1489"/>
      <c r="U1380" s="1489"/>
      <c r="V1380" s="1489"/>
      <c r="W1380" s="1489"/>
      <c r="X1380" s="1489"/>
      <c r="Y1380" s="1489"/>
      <c r="Z1380" s="1489"/>
      <c r="AA1380" s="1489"/>
      <c r="AB1380" s="1489"/>
      <c r="AC1380" s="1489"/>
      <c r="AD1380" s="1489"/>
      <c r="AE1380" s="1489"/>
      <c r="AF1380" s="1489"/>
      <c r="AG1380" s="1489"/>
      <c r="AH1380" s="1489"/>
      <c r="AI1380" s="1489"/>
      <c r="AJ1380" s="1489"/>
      <c r="AK1380" s="1489"/>
      <c r="AL1380" s="1489"/>
      <c r="AM1380" s="1489"/>
      <c r="AN1380" s="1489"/>
      <c r="AO1380" s="1489"/>
      <c r="AP1380" s="1489"/>
      <c r="AQ1380" s="1489"/>
      <c r="AR1380" s="1488"/>
      <c r="AS1380" s="1488"/>
      <c r="AT1380" s="1488"/>
      <c r="AU1380" s="1488"/>
      <c r="AV1380" s="1488"/>
      <c r="AW1380" s="1488"/>
      <c r="AX1380" s="1488"/>
      <c r="AY1380" s="1488"/>
    </row>
    <row r="1381" spans="3:51" s="1502" customFormat="1">
      <c r="C1381" s="1498"/>
      <c r="D1381" s="1501"/>
      <c r="E1381" s="1500"/>
      <c r="F1381" s="814"/>
      <c r="G1381" s="1494"/>
      <c r="H1381" s="1493"/>
      <c r="I1381" s="1493"/>
      <c r="J1381" s="813"/>
      <c r="K1381" s="814"/>
      <c r="L1381" s="1499"/>
      <c r="M1381" s="1488"/>
      <c r="N1381" s="1488"/>
      <c r="O1381" s="1488"/>
      <c r="P1381" s="1488"/>
      <c r="Q1381" s="1489"/>
      <c r="R1381" s="1489"/>
      <c r="S1381" s="1489"/>
      <c r="T1381" s="1489"/>
      <c r="U1381" s="1489"/>
      <c r="V1381" s="1489"/>
      <c r="W1381" s="1489"/>
      <c r="X1381" s="1489"/>
      <c r="Y1381" s="1489"/>
      <c r="Z1381" s="1489"/>
      <c r="AA1381" s="1489"/>
      <c r="AB1381" s="1489"/>
      <c r="AC1381" s="1489"/>
      <c r="AD1381" s="1489"/>
      <c r="AE1381" s="1489"/>
      <c r="AF1381" s="1489"/>
      <c r="AG1381" s="1489"/>
      <c r="AH1381" s="1489"/>
      <c r="AI1381" s="1489"/>
      <c r="AJ1381" s="1489"/>
      <c r="AK1381" s="1489"/>
      <c r="AL1381" s="1489"/>
      <c r="AM1381" s="1489"/>
      <c r="AN1381" s="1489"/>
      <c r="AO1381" s="1489"/>
      <c r="AP1381" s="1489"/>
      <c r="AQ1381" s="1489"/>
      <c r="AR1381" s="1488"/>
      <c r="AS1381" s="1488"/>
      <c r="AT1381" s="1488"/>
      <c r="AU1381" s="1488"/>
      <c r="AV1381" s="1488"/>
      <c r="AW1381" s="1488"/>
      <c r="AX1381" s="1488"/>
      <c r="AY1381" s="1488"/>
    </row>
    <row r="1382" spans="3:51" s="1502" customFormat="1">
      <c r="C1382" s="1498"/>
      <c r="D1382" s="1501"/>
      <c r="E1382" s="1500"/>
      <c r="F1382" s="814"/>
      <c r="G1382" s="1494"/>
      <c r="H1382" s="1493"/>
      <c r="I1382" s="1493"/>
      <c r="J1382" s="813"/>
      <c r="K1382" s="814"/>
      <c r="L1382" s="1499"/>
      <c r="M1382" s="1488"/>
      <c r="N1382" s="1488"/>
      <c r="O1382" s="1488"/>
      <c r="P1382" s="1488"/>
      <c r="Q1382" s="1489"/>
      <c r="R1382" s="1489"/>
      <c r="S1382" s="1489"/>
      <c r="T1382" s="1489"/>
      <c r="U1382" s="1489"/>
      <c r="V1382" s="1489"/>
      <c r="W1382" s="1489"/>
      <c r="X1382" s="1489"/>
      <c r="Y1382" s="1489"/>
      <c r="Z1382" s="1489"/>
      <c r="AA1382" s="1489"/>
      <c r="AB1382" s="1489"/>
      <c r="AC1382" s="1489"/>
      <c r="AD1382" s="1489"/>
      <c r="AE1382" s="1489"/>
      <c r="AF1382" s="1489"/>
      <c r="AG1382" s="1489"/>
      <c r="AH1382" s="1489"/>
      <c r="AI1382" s="1489"/>
      <c r="AJ1382" s="1489"/>
      <c r="AK1382" s="1489"/>
      <c r="AL1382" s="1489"/>
      <c r="AM1382" s="1489"/>
      <c r="AN1382" s="1489"/>
      <c r="AO1382" s="1489"/>
      <c r="AP1382" s="1489"/>
      <c r="AQ1382" s="1489"/>
      <c r="AR1382" s="1488"/>
      <c r="AS1382" s="1488"/>
      <c r="AT1382" s="1488"/>
      <c r="AU1382" s="1488"/>
      <c r="AV1382" s="1488"/>
      <c r="AW1382" s="1488"/>
      <c r="AX1382" s="1488"/>
      <c r="AY1382" s="1488"/>
    </row>
    <row r="1383" spans="3:51" s="1502" customFormat="1">
      <c r="C1383" s="1498"/>
      <c r="D1383" s="1501"/>
      <c r="E1383" s="1500"/>
      <c r="F1383" s="814"/>
      <c r="G1383" s="1494"/>
      <c r="H1383" s="1493"/>
      <c r="I1383" s="1493"/>
      <c r="J1383" s="813"/>
      <c r="K1383" s="814"/>
      <c r="L1383" s="1499"/>
      <c r="M1383" s="1488"/>
      <c r="N1383" s="1488"/>
      <c r="O1383" s="1488"/>
      <c r="P1383" s="1488"/>
      <c r="Q1383" s="1489"/>
      <c r="R1383" s="1489"/>
      <c r="S1383" s="1489"/>
      <c r="T1383" s="1489"/>
      <c r="U1383" s="1489"/>
      <c r="V1383" s="1489"/>
      <c r="W1383" s="1489"/>
      <c r="X1383" s="1489"/>
      <c r="Y1383" s="1489"/>
      <c r="Z1383" s="1489"/>
      <c r="AA1383" s="1489"/>
      <c r="AB1383" s="1489"/>
      <c r="AC1383" s="1489"/>
      <c r="AD1383" s="1489"/>
      <c r="AE1383" s="1489"/>
      <c r="AF1383" s="1489"/>
      <c r="AG1383" s="1489"/>
      <c r="AH1383" s="1489"/>
      <c r="AI1383" s="1489"/>
      <c r="AJ1383" s="1489"/>
      <c r="AK1383" s="1489"/>
      <c r="AL1383" s="1489"/>
      <c r="AM1383" s="1489"/>
      <c r="AN1383" s="1489"/>
      <c r="AO1383" s="1489"/>
      <c r="AP1383" s="1489"/>
      <c r="AQ1383" s="1489"/>
      <c r="AR1383" s="1488"/>
      <c r="AS1383" s="1488"/>
      <c r="AT1383" s="1488"/>
      <c r="AU1383" s="1488"/>
      <c r="AV1383" s="1488"/>
      <c r="AW1383" s="1488"/>
      <c r="AX1383" s="1488"/>
      <c r="AY1383" s="1488"/>
    </row>
    <row r="1384" spans="3:51" s="1502" customFormat="1">
      <c r="C1384" s="1498"/>
      <c r="D1384" s="1501"/>
      <c r="E1384" s="1500"/>
      <c r="F1384" s="814"/>
      <c r="G1384" s="1494"/>
      <c r="H1384" s="1493"/>
      <c r="I1384" s="1493"/>
      <c r="J1384" s="813"/>
      <c r="K1384" s="814"/>
      <c r="L1384" s="1499"/>
      <c r="M1384" s="1488"/>
      <c r="N1384" s="1488"/>
      <c r="O1384" s="1488"/>
      <c r="P1384" s="1488"/>
      <c r="Q1384" s="1489"/>
      <c r="R1384" s="1489"/>
      <c r="S1384" s="1489"/>
      <c r="T1384" s="1489"/>
      <c r="U1384" s="1489"/>
      <c r="V1384" s="1489"/>
      <c r="W1384" s="1489"/>
      <c r="X1384" s="1489"/>
      <c r="Y1384" s="1489"/>
      <c r="Z1384" s="1489"/>
      <c r="AA1384" s="1489"/>
      <c r="AB1384" s="1489"/>
      <c r="AC1384" s="1489"/>
      <c r="AD1384" s="1489"/>
      <c r="AE1384" s="1489"/>
      <c r="AF1384" s="1489"/>
      <c r="AG1384" s="1489"/>
      <c r="AH1384" s="1489"/>
      <c r="AI1384" s="1489"/>
      <c r="AJ1384" s="1489"/>
      <c r="AK1384" s="1489"/>
      <c r="AL1384" s="1489"/>
      <c r="AM1384" s="1489"/>
      <c r="AN1384" s="1489"/>
      <c r="AO1384" s="1489"/>
      <c r="AP1384" s="1489"/>
      <c r="AQ1384" s="1489"/>
      <c r="AR1384" s="1488"/>
      <c r="AS1384" s="1488"/>
      <c r="AT1384" s="1488"/>
      <c r="AU1384" s="1488"/>
      <c r="AV1384" s="1488"/>
      <c r="AW1384" s="1488"/>
      <c r="AX1384" s="1488"/>
      <c r="AY1384" s="1488"/>
    </row>
    <row r="1385" spans="3:51" s="1502" customFormat="1">
      <c r="C1385" s="1498"/>
      <c r="D1385" s="1501"/>
      <c r="E1385" s="1500"/>
      <c r="F1385" s="814"/>
      <c r="G1385" s="1494"/>
      <c r="H1385" s="1493"/>
      <c r="I1385" s="1493"/>
      <c r="J1385" s="813"/>
      <c r="K1385" s="814"/>
      <c r="L1385" s="1499"/>
      <c r="M1385" s="1488"/>
      <c r="N1385" s="1488"/>
      <c r="O1385" s="1488"/>
      <c r="P1385" s="1488"/>
      <c r="Q1385" s="1489"/>
      <c r="R1385" s="1489"/>
      <c r="S1385" s="1489"/>
      <c r="T1385" s="1489"/>
      <c r="U1385" s="1489"/>
      <c r="V1385" s="1489"/>
      <c r="W1385" s="1489"/>
      <c r="X1385" s="1489"/>
      <c r="Y1385" s="1489"/>
      <c r="Z1385" s="1489"/>
      <c r="AA1385" s="1489"/>
      <c r="AB1385" s="1489"/>
      <c r="AC1385" s="1489"/>
      <c r="AD1385" s="1489"/>
      <c r="AE1385" s="1489"/>
      <c r="AF1385" s="1489"/>
      <c r="AG1385" s="1489"/>
      <c r="AH1385" s="1489"/>
      <c r="AI1385" s="1489"/>
      <c r="AJ1385" s="1489"/>
      <c r="AK1385" s="1489"/>
      <c r="AL1385" s="1489"/>
      <c r="AM1385" s="1489"/>
      <c r="AN1385" s="1489"/>
      <c r="AO1385" s="1489"/>
      <c r="AP1385" s="1489"/>
      <c r="AQ1385" s="1489"/>
      <c r="AR1385" s="1488"/>
      <c r="AS1385" s="1488"/>
      <c r="AT1385" s="1488"/>
      <c r="AU1385" s="1488"/>
      <c r="AV1385" s="1488"/>
      <c r="AW1385" s="1488"/>
      <c r="AX1385" s="1488"/>
      <c r="AY1385" s="1488"/>
    </row>
    <row r="1386" spans="3:51" s="1502" customFormat="1">
      <c r="C1386" s="1498"/>
      <c r="D1386" s="1501"/>
      <c r="E1386" s="1500"/>
      <c r="F1386" s="814"/>
      <c r="G1386" s="1494"/>
      <c r="H1386" s="1493"/>
      <c r="I1386" s="1493"/>
      <c r="J1386" s="813"/>
      <c r="K1386" s="814"/>
      <c r="L1386" s="1499"/>
      <c r="M1386" s="1488"/>
      <c r="N1386" s="1488"/>
      <c r="O1386" s="1488"/>
      <c r="P1386" s="1488"/>
      <c r="Q1386" s="1489"/>
      <c r="R1386" s="1489"/>
      <c r="S1386" s="1489"/>
      <c r="T1386" s="1489"/>
      <c r="U1386" s="1489"/>
      <c r="V1386" s="1489"/>
      <c r="W1386" s="1489"/>
      <c r="X1386" s="1489"/>
      <c r="Y1386" s="1489"/>
      <c r="Z1386" s="1489"/>
      <c r="AA1386" s="1489"/>
      <c r="AB1386" s="1489"/>
      <c r="AC1386" s="1489"/>
      <c r="AD1386" s="1489"/>
      <c r="AE1386" s="1489"/>
      <c r="AF1386" s="1489"/>
      <c r="AG1386" s="1489"/>
      <c r="AH1386" s="1489"/>
      <c r="AI1386" s="1489"/>
      <c r="AJ1386" s="1489"/>
      <c r="AK1386" s="1489"/>
      <c r="AL1386" s="1489"/>
      <c r="AM1386" s="1489"/>
      <c r="AN1386" s="1489"/>
      <c r="AO1386" s="1489"/>
      <c r="AP1386" s="1489"/>
      <c r="AQ1386" s="1489"/>
      <c r="AR1386" s="1488"/>
      <c r="AS1386" s="1488"/>
      <c r="AT1386" s="1488"/>
      <c r="AU1386" s="1488"/>
      <c r="AV1386" s="1488"/>
      <c r="AW1386" s="1488"/>
      <c r="AX1386" s="1488"/>
      <c r="AY1386" s="1488"/>
    </row>
    <row r="1387" spans="3:51" s="1502" customFormat="1">
      <c r="C1387" s="1498"/>
      <c r="D1387" s="1501"/>
      <c r="E1387" s="1500"/>
      <c r="F1387" s="814"/>
      <c r="G1387" s="1494"/>
      <c r="H1387" s="1493"/>
      <c r="I1387" s="1493"/>
      <c r="J1387" s="813"/>
      <c r="K1387" s="814"/>
      <c r="L1387" s="1499"/>
      <c r="M1387" s="1488"/>
      <c r="N1387" s="1488"/>
      <c r="O1387" s="1488"/>
      <c r="P1387" s="1488"/>
      <c r="Q1387" s="1489"/>
      <c r="R1387" s="1489"/>
      <c r="S1387" s="1489"/>
      <c r="T1387" s="1489"/>
      <c r="U1387" s="1489"/>
      <c r="V1387" s="1489"/>
      <c r="W1387" s="1489"/>
      <c r="X1387" s="1489"/>
      <c r="Y1387" s="1489"/>
      <c r="Z1387" s="1489"/>
      <c r="AA1387" s="1489"/>
      <c r="AB1387" s="1489"/>
      <c r="AC1387" s="1489"/>
      <c r="AD1387" s="1489"/>
      <c r="AE1387" s="1489"/>
      <c r="AF1387" s="1489"/>
      <c r="AG1387" s="1489"/>
      <c r="AH1387" s="1489"/>
      <c r="AI1387" s="1489"/>
      <c r="AJ1387" s="1489"/>
      <c r="AK1387" s="1489"/>
      <c r="AL1387" s="1489"/>
      <c r="AM1387" s="1489"/>
      <c r="AN1387" s="1489"/>
      <c r="AO1387" s="1489"/>
      <c r="AP1387" s="1489"/>
      <c r="AQ1387" s="1489"/>
      <c r="AR1387" s="1488"/>
      <c r="AS1387" s="1488"/>
      <c r="AT1387" s="1488"/>
      <c r="AU1387" s="1488"/>
      <c r="AV1387" s="1488"/>
      <c r="AW1387" s="1488"/>
      <c r="AX1387" s="1488"/>
      <c r="AY1387" s="1488"/>
    </row>
    <row r="1388" spans="3:51" s="1502" customFormat="1">
      <c r="C1388" s="1498"/>
      <c r="D1388" s="1501"/>
      <c r="E1388" s="1500"/>
      <c r="F1388" s="814"/>
      <c r="G1388" s="1494"/>
      <c r="H1388" s="1493"/>
      <c r="I1388" s="1493"/>
      <c r="J1388" s="813"/>
      <c r="K1388" s="814"/>
      <c r="L1388" s="1499"/>
      <c r="M1388" s="1488"/>
      <c r="N1388" s="1488"/>
      <c r="O1388" s="1488"/>
      <c r="P1388" s="1488"/>
      <c r="Q1388" s="1489"/>
      <c r="R1388" s="1489"/>
      <c r="S1388" s="1489"/>
      <c r="T1388" s="1489"/>
      <c r="U1388" s="1489"/>
      <c r="V1388" s="1489"/>
      <c r="W1388" s="1489"/>
      <c r="X1388" s="1489"/>
      <c r="Y1388" s="1489"/>
      <c r="Z1388" s="1489"/>
      <c r="AA1388" s="1489"/>
      <c r="AB1388" s="1489"/>
      <c r="AC1388" s="1489"/>
      <c r="AD1388" s="1489"/>
      <c r="AE1388" s="1489"/>
      <c r="AF1388" s="1489"/>
      <c r="AG1388" s="1489"/>
      <c r="AH1388" s="1489"/>
      <c r="AI1388" s="1489"/>
      <c r="AJ1388" s="1489"/>
      <c r="AK1388" s="1489"/>
      <c r="AL1388" s="1489"/>
      <c r="AM1388" s="1489"/>
      <c r="AN1388" s="1489"/>
      <c r="AO1388" s="1489"/>
      <c r="AP1388" s="1489"/>
      <c r="AQ1388" s="1489"/>
      <c r="AR1388" s="1488"/>
      <c r="AS1388" s="1488"/>
      <c r="AT1388" s="1488"/>
      <c r="AU1388" s="1488"/>
      <c r="AV1388" s="1488"/>
      <c r="AW1388" s="1488"/>
      <c r="AX1388" s="1488"/>
      <c r="AY1388" s="1488"/>
    </row>
    <row r="1389" spans="3:51" s="1502" customFormat="1">
      <c r="C1389" s="1498"/>
      <c r="D1389" s="1501"/>
      <c r="E1389" s="1500"/>
      <c r="F1389" s="814"/>
      <c r="G1389" s="1494"/>
      <c r="H1389" s="1493"/>
      <c r="I1389" s="1493"/>
      <c r="J1389" s="813"/>
      <c r="K1389" s="814"/>
      <c r="L1389" s="1499"/>
      <c r="M1389" s="1488"/>
      <c r="N1389" s="1488"/>
      <c r="O1389" s="1488"/>
      <c r="P1389" s="1488"/>
      <c r="Q1389" s="1489"/>
      <c r="R1389" s="1489"/>
      <c r="S1389" s="1489"/>
      <c r="T1389" s="1489"/>
      <c r="U1389" s="1489"/>
      <c r="V1389" s="1489"/>
      <c r="W1389" s="1489"/>
      <c r="X1389" s="1489"/>
      <c r="Y1389" s="1489"/>
      <c r="Z1389" s="1489"/>
      <c r="AA1389" s="1489"/>
      <c r="AB1389" s="1489"/>
      <c r="AC1389" s="1489"/>
      <c r="AD1389" s="1489"/>
      <c r="AE1389" s="1489"/>
      <c r="AF1389" s="1489"/>
      <c r="AG1389" s="1489"/>
      <c r="AH1389" s="1489"/>
      <c r="AI1389" s="1489"/>
      <c r="AJ1389" s="1489"/>
      <c r="AK1389" s="1489"/>
      <c r="AL1389" s="1489"/>
      <c r="AM1389" s="1489"/>
      <c r="AN1389" s="1489"/>
      <c r="AO1389" s="1489"/>
      <c r="AP1389" s="1489"/>
      <c r="AQ1389" s="1489"/>
      <c r="AR1389" s="1488"/>
      <c r="AS1389" s="1488"/>
      <c r="AT1389" s="1488"/>
      <c r="AU1389" s="1488"/>
      <c r="AV1389" s="1488"/>
      <c r="AW1389" s="1488"/>
      <c r="AX1389" s="1488"/>
      <c r="AY1389" s="1488"/>
    </row>
    <row r="1390" spans="3:51" s="1502" customFormat="1">
      <c r="C1390" s="1498"/>
      <c r="D1390" s="1501"/>
      <c r="E1390" s="1500"/>
      <c r="F1390" s="814"/>
      <c r="G1390" s="1494"/>
      <c r="H1390" s="1493"/>
      <c r="I1390" s="1493"/>
      <c r="J1390" s="813"/>
      <c r="K1390" s="814"/>
      <c r="L1390" s="1499"/>
      <c r="M1390" s="1488"/>
      <c r="N1390" s="1488"/>
      <c r="O1390" s="1488"/>
      <c r="P1390" s="1488"/>
      <c r="Q1390" s="1489"/>
      <c r="R1390" s="1489"/>
      <c r="S1390" s="1489"/>
      <c r="T1390" s="1489"/>
      <c r="U1390" s="1489"/>
      <c r="V1390" s="1489"/>
      <c r="W1390" s="1489"/>
      <c r="X1390" s="1489"/>
      <c r="Y1390" s="1489"/>
      <c r="Z1390" s="1489"/>
      <c r="AA1390" s="1489"/>
      <c r="AB1390" s="1489"/>
      <c r="AC1390" s="1489"/>
      <c r="AD1390" s="1489"/>
      <c r="AE1390" s="1489"/>
      <c r="AF1390" s="1489"/>
      <c r="AG1390" s="1489"/>
      <c r="AH1390" s="1489"/>
      <c r="AI1390" s="1489"/>
      <c r="AJ1390" s="1489"/>
      <c r="AK1390" s="1489"/>
      <c r="AL1390" s="1489"/>
      <c r="AM1390" s="1489"/>
      <c r="AN1390" s="1489"/>
      <c r="AO1390" s="1489"/>
      <c r="AP1390" s="1489"/>
      <c r="AQ1390" s="1489"/>
      <c r="AR1390" s="1488"/>
      <c r="AS1390" s="1488"/>
      <c r="AT1390" s="1488"/>
      <c r="AU1390" s="1488"/>
      <c r="AV1390" s="1488"/>
      <c r="AW1390" s="1488"/>
      <c r="AX1390" s="1488"/>
      <c r="AY1390" s="1488"/>
    </row>
    <row r="1391" spans="3:51" s="1502" customFormat="1">
      <c r="C1391" s="1498"/>
      <c r="D1391" s="1501"/>
      <c r="E1391" s="1500"/>
      <c r="F1391" s="814"/>
      <c r="G1391" s="1494"/>
      <c r="H1391" s="1493"/>
      <c r="I1391" s="1493"/>
      <c r="J1391" s="813"/>
      <c r="K1391" s="814"/>
      <c r="L1391" s="1499"/>
      <c r="M1391" s="1488"/>
      <c r="N1391" s="1488"/>
      <c r="O1391" s="1488"/>
      <c r="P1391" s="1488"/>
      <c r="Q1391" s="1489"/>
      <c r="R1391" s="1489"/>
      <c r="S1391" s="1489"/>
      <c r="T1391" s="1489"/>
      <c r="U1391" s="1489"/>
      <c r="V1391" s="1489"/>
      <c r="W1391" s="1489"/>
      <c r="X1391" s="1489"/>
      <c r="Y1391" s="1489"/>
      <c r="Z1391" s="1489"/>
      <c r="AA1391" s="1489"/>
      <c r="AB1391" s="1489"/>
      <c r="AC1391" s="1489"/>
      <c r="AD1391" s="1489"/>
      <c r="AE1391" s="1489"/>
      <c r="AF1391" s="1489"/>
      <c r="AG1391" s="1489"/>
      <c r="AH1391" s="1489"/>
      <c r="AI1391" s="1489"/>
      <c r="AJ1391" s="1489"/>
      <c r="AK1391" s="1489"/>
      <c r="AL1391" s="1489"/>
      <c r="AM1391" s="1489"/>
      <c r="AN1391" s="1489"/>
      <c r="AO1391" s="1489"/>
      <c r="AP1391" s="1489"/>
      <c r="AQ1391" s="1489"/>
      <c r="AR1391" s="1488"/>
      <c r="AS1391" s="1488"/>
      <c r="AT1391" s="1488"/>
      <c r="AU1391" s="1488"/>
      <c r="AV1391" s="1488"/>
      <c r="AW1391" s="1488"/>
      <c r="AX1391" s="1488"/>
      <c r="AY1391" s="1488"/>
    </row>
    <row r="1392" spans="3:51" s="1502" customFormat="1">
      <c r="C1392" s="1498"/>
      <c r="D1392" s="1501"/>
      <c r="E1392" s="1500"/>
      <c r="F1392" s="814"/>
      <c r="G1392" s="1494"/>
      <c r="H1392" s="1493"/>
      <c r="I1392" s="1493"/>
      <c r="J1392" s="813"/>
      <c r="K1392" s="814"/>
      <c r="L1392" s="1499"/>
      <c r="M1392" s="1488"/>
      <c r="N1392" s="1488"/>
      <c r="O1392" s="1488"/>
      <c r="P1392" s="1488"/>
      <c r="Q1392" s="1489"/>
      <c r="R1392" s="1489"/>
      <c r="S1392" s="1489"/>
      <c r="T1392" s="1489"/>
      <c r="U1392" s="1489"/>
      <c r="V1392" s="1489"/>
      <c r="W1392" s="1489"/>
      <c r="X1392" s="1489"/>
      <c r="Y1392" s="1489"/>
      <c r="Z1392" s="1489"/>
      <c r="AA1392" s="1489"/>
      <c r="AB1392" s="1489"/>
      <c r="AC1392" s="1489"/>
      <c r="AD1392" s="1489"/>
      <c r="AE1392" s="1489"/>
      <c r="AF1392" s="1489"/>
      <c r="AG1392" s="1489"/>
      <c r="AH1392" s="1489"/>
      <c r="AI1392" s="1489"/>
      <c r="AJ1392" s="1489"/>
      <c r="AK1392" s="1489"/>
      <c r="AL1392" s="1489"/>
      <c r="AM1392" s="1489"/>
      <c r="AN1392" s="1489"/>
      <c r="AO1392" s="1489"/>
      <c r="AP1392" s="1489"/>
      <c r="AQ1392" s="1489"/>
      <c r="AR1392" s="1488"/>
      <c r="AS1392" s="1488"/>
      <c r="AT1392" s="1488"/>
      <c r="AU1392" s="1488"/>
      <c r="AV1392" s="1488"/>
      <c r="AW1392" s="1488"/>
      <c r="AX1392" s="1488"/>
      <c r="AY1392" s="1488"/>
    </row>
    <row r="1393" spans="3:51" s="1502" customFormat="1">
      <c r="C1393" s="1498"/>
      <c r="D1393" s="1501"/>
      <c r="E1393" s="1500"/>
      <c r="F1393" s="814"/>
      <c r="G1393" s="1494"/>
      <c r="H1393" s="1493"/>
      <c r="I1393" s="1493"/>
      <c r="J1393" s="813"/>
      <c r="K1393" s="814"/>
      <c r="L1393" s="1499"/>
      <c r="M1393" s="1488"/>
      <c r="N1393" s="1488"/>
      <c r="O1393" s="1488"/>
      <c r="P1393" s="1488"/>
      <c r="Q1393" s="1489"/>
      <c r="R1393" s="1489"/>
      <c r="S1393" s="1489"/>
      <c r="T1393" s="1489"/>
      <c r="U1393" s="1489"/>
      <c r="V1393" s="1489"/>
      <c r="W1393" s="1489"/>
      <c r="X1393" s="1489"/>
      <c r="Y1393" s="1489"/>
      <c r="Z1393" s="1489"/>
      <c r="AA1393" s="1489"/>
      <c r="AB1393" s="1489"/>
      <c r="AC1393" s="1489"/>
      <c r="AD1393" s="1489"/>
      <c r="AE1393" s="1489"/>
      <c r="AF1393" s="1489"/>
      <c r="AG1393" s="1489"/>
      <c r="AH1393" s="1489"/>
      <c r="AI1393" s="1489"/>
      <c r="AJ1393" s="1489"/>
      <c r="AK1393" s="1489"/>
      <c r="AL1393" s="1489"/>
      <c r="AM1393" s="1489"/>
      <c r="AN1393" s="1489"/>
      <c r="AO1393" s="1489"/>
      <c r="AP1393" s="1489"/>
      <c r="AQ1393" s="1489"/>
      <c r="AR1393" s="1488"/>
      <c r="AS1393" s="1488"/>
      <c r="AT1393" s="1488"/>
      <c r="AU1393" s="1488"/>
      <c r="AV1393" s="1488"/>
      <c r="AW1393" s="1488"/>
      <c r="AX1393" s="1488"/>
      <c r="AY1393" s="1488"/>
    </row>
    <row r="1394" spans="3:51" s="1502" customFormat="1">
      <c r="C1394" s="1498"/>
      <c r="D1394" s="1501"/>
      <c r="E1394" s="1500"/>
      <c r="F1394" s="814"/>
      <c r="G1394" s="1494"/>
      <c r="H1394" s="1493"/>
      <c r="I1394" s="1493"/>
      <c r="J1394" s="813"/>
      <c r="K1394" s="814"/>
      <c r="L1394" s="1499"/>
      <c r="M1394" s="1488"/>
      <c r="N1394" s="1488"/>
      <c r="O1394" s="1488"/>
      <c r="P1394" s="1488"/>
      <c r="Q1394" s="1489"/>
      <c r="R1394" s="1489"/>
      <c r="S1394" s="1489"/>
      <c r="T1394" s="1489"/>
      <c r="U1394" s="1489"/>
      <c r="V1394" s="1489"/>
      <c r="W1394" s="1489"/>
      <c r="X1394" s="1489"/>
      <c r="Y1394" s="1489"/>
      <c r="Z1394" s="1489"/>
      <c r="AA1394" s="1489"/>
      <c r="AB1394" s="1489"/>
      <c r="AC1394" s="1489"/>
      <c r="AD1394" s="1489"/>
      <c r="AE1394" s="1489"/>
      <c r="AF1394" s="1489"/>
      <c r="AG1394" s="1489"/>
      <c r="AH1394" s="1489"/>
      <c r="AI1394" s="1489"/>
      <c r="AJ1394" s="1489"/>
      <c r="AK1394" s="1489"/>
      <c r="AL1394" s="1489"/>
      <c r="AM1394" s="1489"/>
      <c r="AN1394" s="1489"/>
      <c r="AO1394" s="1489"/>
      <c r="AP1394" s="1489"/>
      <c r="AQ1394" s="1489"/>
      <c r="AR1394" s="1488"/>
      <c r="AS1394" s="1488"/>
      <c r="AT1394" s="1488"/>
      <c r="AU1394" s="1488"/>
      <c r="AV1394" s="1488"/>
      <c r="AW1394" s="1488"/>
      <c r="AX1394" s="1488"/>
      <c r="AY1394" s="1488"/>
    </row>
    <row r="1395" spans="3:51" s="1502" customFormat="1">
      <c r="C1395" s="1498"/>
      <c r="D1395" s="1501"/>
      <c r="E1395" s="1500"/>
      <c r="F1395" s="814"/>
      <c r="G1395" s="1494"/>
      <c r="H1395" s="1493"/>
      <c r="I1395" s="1493"/>
      <c r="J1395" s="813"/>
      <c r="K1395" s="814"/>
      <c r="L1395" s="1499"/>
      <c r="M1395" s="1488"/>
      <c r="N1395" s="1488"/>
      <c r="O1395" s="1488"/>
      <c r="P1395" s="1488"/>
      <c r="Q1395" s="1489"/>
      <c r="R1395" s="1489"/>
      <c r="S1395" s="1489"/>
      <c r="T1395" s="1489"/>
      <c r="U1395" s="1489"/>
      <c r="V1395" s="1489"/>
      <c r="W1395" s="1489"/>
      <c r="X1395" s="1489"/>
      <c r="Y1395" s="1489"/>
      <c r="Z1395" s="1489"/>
      <c r="AA1395" s="1489"/>
      <c r="AB1395" s="1489"/>
      <c r="AC1395" s="1489"/>
      <c r="AD1395" s="1489"/>
      <c r="AE1395" s="1489"/>
      <c r="AF1395" s="1489"/>
      <c r="AG1395" s="1489"/>
      <c r="AH1395" s="1489"/>
      <c r="AI1395" s="1489"/>
      <c r="AJ1395" s="1489"/>
      <c r="AK1395" s="1489"/>
      <c r="AL1395" s="1489"/>
      <c r="AM1395" s="1489"/>
      <c r="AN1395" s="1489"/>
      <c r="AO1395" s="1489"/>
      <c r="AP1395" s="1489"/>
      <c r="AQ1395" s="1489"/>
      <c r="AR1395" s="1488"/>
      <c r="AS1395" s="1488"/>
      <c r="AT1395" s="1488"/>
      <c r="AU1395" s="1488"/>
      <c r="AV1395" s="1488"/>
      <c r="AW1395" s="1488"/>
      <c r="AX1395" s="1488"/>
      <c r="AY1395" s="1488"/>
    </row>
    <row r="1396" spans="3:51" s="1502" customFormat="1">
      <c r="C1396" s="1498"/>
      <c r="D1396" s="1501"/>
      <c r="E1396" s="1500"/>
      <c r="F1396" s="814"/>
      <c r="G1396" s="1494"/>
      <c r="H1396" s="1493"/>
      <c r="I1396" s="1493"/>
      <c r="J1396" s="813"/>
      <c r="K1396" s="814"/>
      <c r="L1396" s="1499"/>
      <c r="M1396" s="1488"/>
      <c r="N1396" s="1488"/>
      <c r="O1396" s="1488"/>
      <c r="P1396" s="1488"/>
      <c r="Q1396" s="1489"/>
      <c r="R1396" s="1489"/>
      <c r="S1396" s="1489"/>
      <c r="T1396" s="1489"/>
      <c r="U1396" s="1489"/>
      <c r="V1396" s="1489"/>
      <c r="W1396" s="1489"/>
      <c r="X1396" s="1489"/>
      <c r="Y1396" s="1489"/>
      <c r="Z1396" s="1489"/>
      <c r="AA1396" s="1489"/>
      <c r="AB1396" s="1489"/>
      <c r="AC1396" s="1489"/>
      <c r="AD1396" s="1489"/>
      <c r="AE1396" s="1489"/>
      <c r="AF1396" s="1489"/>
      <c r="AG1396" s="1489"/>
      <c r="AH1396" s="1489"/>
      <c r="AI1396" s="1489"/>
      <c r="AJ1396" s="1489"/>
      <c r="AK1396" s="1489"/>
      <c r="AL1396" s="1489"/>
      <c r="AM1396" s="1489"/>
      <c r="AN1396" s="1489"/>
      <c r="AO1396" s="1489"/>
      <c r="AP1396" s="1489"/>
      <c r="AQ1396" s="1489"/>
      <c r="AR1396" s="1488"/>
      <c r="AS1396" s="1488"/>
      <c r="AT1396" s="1488"/>
      <c r="AU1396" s="1488"/>
      <c r="AV1396" s="1488"/>
      <c r="AW1396" s="1488"/>
      <c r="AX1396" s="1488"/>
      <c r="AY1396" s="1488"/>
    </row>
    <row r="1397" spans="3:51" s="1502" customFormat="1">
      <c r="C1397" s="1498"/>
      <c r="D1397" s="1501"/>
      <c r="E1397" s="1500"/>
      <c r="F1397" s="814"/>
      <c r="G1397" s="1494"/>
      <c r="H1397" s="1493"/>
      <c r="I1397" s="1493"/>
      <c r="J1397" s="813"/>
      <c r="K1397" s="814"/>
      <c r="L1397" s="1499"/>
      <c r="M1397" s="1488"/>
      <c r="N1397" s="1488"/>
      <c r="O1397" s="1488"/>
      <c r="P1397" s="1488"/>
      <c r="Q1397" s="1489"/>
      <c r="R1397" s="1489"/>
      <c r="S1397" s="1489"/>
      <c r="T1397" s="1489"/>
      <c r="U1397" s="1489"/>
      <c r="V1397" s="1489"/>
      <c r="W1397" s="1489"/>
      <c r="X1397" s="1489"/>
      <c r="Y1397" s="1489"/>
      <c r="Z1397" s="1489"/>
      <c r="AA1397" s="1489"/>
      <c r="AB1397" s="1489"/>
      <c r="AC1397" s="1489"/>
      <c r="AD1397" s="1489"/>
      <c r="AE1397" s="1489"/>
      <c r="AF1397" s="1489"/>
      <c r="AG1397" s="1489"/>
      <c r="AH1397" s="1489"/>
      <c r="AI1397" s="1489"/>
      <c r="AJ1397" s="1489"/>
      <c r="AK1397" s="1489"/>
      <c r="AL1397" s="1489"/>
      <c r="AM1397" s="1489"/>
      <c r="AN1397" s="1489"/>
      <c r="AO1397" s="1489"/>
      <c r="AP1397" s="1489"/>
      <c r="AQ1397" s="1489"/>
      <c r="AR1397" s="1488"/>
      <c r="AS1397" s="1488"/>
      <c r="AT1397" s="1488"/>
      <c r="AU1397" s="1488"/>
      <c r="AV1397" s="1488"/>
      <c r="AW1397" s="1488"/>
      <c r="AX1397" s="1488"/>
      <c r="AY1397" s="1488"/>
    </row>
    <row r="1398" spans="3:51" s="1502" customFormat="1">
      <c r="C1398" s="1498"/>
      <c r="D1398" s="1501"/>
      <c r="E1398" s="1500"/>
      <c r="F1398" s="814"/>
      <c r="G1398" s="1494"/>
      <c r="H1398" s="1493"/>
      <c r="I1398" s="1493"/>
      <c r="J1398" s="813"/>
      <c r="K1398" s="814"/>
      <c r="L1398" s="1499"/>
      <c r="M1398" s="1488"/>
      <c r="N1398" s="1488"/>
      <c r="O1398" s="1488"/>
      <c r="P1398" s="1488"/>
      <c r="Q1398" s="1489"/>
      <c r="R1398" s="1489"/>
      <c r="S1398" s="1489"/>
      <c r="T1398" s="1489"/>
      <c r="U1398" s="1489"/>
      <c r="V1398" s="1489"/>
      <c r="W1398" s="1489"/>
      <c r="X1398" s="1489"/>
      <c r="Y1398" s="1489"/>
      <c r="Z1398" s="1489"/>
      <c r="AA1398" s="1489"/>
      <c r="AB1398" s="1489"/>
      <c r="AC1398" s="1489"/>
      <c r="AD1398" s="1489"/>
      <c r="AE1398" s="1489"/>
      <c r="AF1398" s="1489"/>
      <c r="AG1398" s="1489"/>
      <c r="AH1398" s="1489"/>
      <c r="AI1398" s="1489"/>
      <c r="AJ1398" s="1489"/>
      <c r="AK1398" s="1489"/>
      <c r="AL1398" s="1489"/>
      <c r="AM1398" s="1489"/>
      <c r="AN1398" s="1489"/>
      <c r="AO1398" s="1489"/>
      <c r="AP1398" s="1489"/>
      <c r="AQ1398" s="1489"/>
      <c r="AR1398" s="1488"/>
      <c r="AS1398" s="1488"/>
      <c r="AT1398" s="1488"/>
      <c r="AU1398" s="1488"/>
      <c r="AV1398" s="1488"/>
      <c r="AW1398" s="1488"/>
      <c r="AX1398" s="1488"/>
      <c r="AY1398" s="1488"/>
    </row>
    <row r="1399" spans="3:51" s="1502" customFormat="1">
      <c r="C1399" s="1498"/>
      <c r="D1399" s="1501"/>
      <c r="E1399" s="1500"/>
      <c r="F1399" s="814"/>
      <c r="G1399" s="1494"/>
      <c r="H1399" s="1493"/>
      <c r="I1399" s="1493"/>
      <c r="J1399" s="813"/>
      <c r="K1399" s="814"/>
      <c r="L1399" s="1499"/>
      <c r="M1399" s="1488"/>
      <c r="N1399" s="1488"/>
      <c r="O1399" s="1488"/>
      <c r="P1399" s="1488"/>
      <c r="Q1399" s="1489"/>
      <c r="R1399" s="1489"/>
      <c r="S1399" s="1489"/>
      <c r="T1399" s="1489"/>
      <c r="U1399" s="1489"/>
      <c r="V1399" s="1489"/>
      <c r="W1399" s="1489"/>
      <c r="X1399" s="1489"/>
      <c r="Y1399" s="1489"/>
      <c r="Z1399" s="1489"/>
      <c r="AA1399" s="1489"/>
      <c r="AB1399" s="1489"/>
      <c r="AC1399" s="1489"/>
      <c r="AD1399" s="1489"/>
      <c r="AE1399" s="1489"/>
      <c r="AF1399" s="1489"/>
      <c r="AG1399" s="1489"/>
      <c r="AH1399" s="1489"/>
      <c r="AI1399" s="1489"/>
      <c r="AJ1399" s="1489"/>
      <c r="AK1399" s="1489"/>
      <c r="AL1399" s="1489"/>
      <c r="AM1399" s="1489"/>
      <c r="AN1399" s="1489"/>
      <c r="AO1399" s="1489"/>
      <c r="AP1399" s="1489"/>
      <c r="AQ1399" s="1489"/>
      <c r="AR1399" s="1488"/>
      <c r="AS1399" s="1488"/>
      <c r="AT1399" s="1488"/>
      <c r="AU1399" s="1488"/>
      <c r="AV1399" s="1488"/>
      <c r="AW1399" s="1488"/>
      <c r="AX1399" s="1488"/>
      <c r="AY1399" s="1488"/>
    </row>
    <row r="1400" spans="3:51" s="1502" customFormat="1">
      <c r="C1400" s="1498"/>
      <c r="D1400" s="1501"/>
      <c r="E1400" s="1500"/>
      <c r="F1400" s="814"/>
      <c r="G1400" s="1494"/>
      <c r="H1400" s="1493"/>
      <c r="I1400" s="1493"/>
      <c r="J1400" s="813"/>
      <c r="K1400" s="814"/>
      <c r="L1400" s="1499"/>
      <c r="M1400" s="1488"/>
      <c r="N1400" s="1488"/>
      <c r="O1400" s="1488"/>
      <c r="P1400" s="1488"/>
      <c r="Q1400" s="1489"/>
      <c r="R1400" s="1489"/>
      <c r="S1400" s="1489"/>
      <c r="T1400" s="1489"/>
      <c r="U1400" s="1489"/>
      <c r="V1400" s="1489"/>
      <c r="W1400" s="1489"/>
      <c r="X1400" s="1489"/>
      <c r="Y1400" s="1489"/>
      <c r="Z1400" s="1489"/>
      <c r="AA1400" s="1489"/>
      <c r="AB1400" s="1489"/>
      <c r="AC1400" s="1489"/>
      <c r="AD1400" s="1489"/>
      <c r="AE1400" s="1489"/>
      <c r="AF1400" s="1489"/>
      <c r="AG1400" s="1489"/>
      <c r="AH1400" s="1489"/>
      <c r="AI1400" s="1489"/>
      <c r="AJ1400" s="1489"/>
      <c r="AK1400" s="1489"/>
      <c r="AL1400" s="1489"/>
      <c r="AM1400" s="1489"/>
      <c r="AN1400" s="1489"/>
      <c r="AO1400" s="1489"/>
      <c r="AP1400" s="1489"/>
      <c r="AQ1400" s="1489"/>
      <c r="AR1400" s="1488"/>
      <c r="AS1400" s="1488"/>
      <c r="AT1400" s="1488"/>
      <c r="AU1400" s="1488"/>
      <c r="AV1400" s="1488"/>
      <c r="AW1400" s="1488"/>
      <c r="AX1400" s="1488"/>
      <c r="AY1400" s="1488"/>
    </row>
    <row r="1401" spans="3:51" s="1502" customFormat="1">
      <c r="C1401" s="1498"/>
      <c r="D1401" s="1501"/>
      <c r="E1401" s="1500"/>
      <c r="F1401" s="814"/>
      <c r="G1401" s="1494"/>
      <c r="H1401" s="1493"/>
      <c r="I1401" s="1493"/>
      <c r="J1401" s="813"/>
      <c r="K1401" s="814"/>
      <c r="L1401" s="1499"/>
      <c r="M1401" s="1488"/>
      <c r="N1401" s="1488"/>
      <c r="O1401" s="1488"/>
      <c r="P1401" s="1488"/>
      <c r="Q1401" s="1489"/>
      <c r="R1401" s="1489"/>
      <c r="S1401" s="1489"/>
      <c r="T1401" s="1489"/>
      <c r="U1401" s="1489"/>
      <c r="V1401" s="1489"/>
      <c r="W1401" s="1489"/>
      <c r="X1401" s="1489"/>
      <c r="Y1401" s="1489"/>
      <c r="Z1401" s="1489"/>
      <c r="AA1401" s="1489"/>
      <c r="AB1401" s="1489"/>
      <c r="AC1401" s="1489"/>
      <c r="AD1401" s="1489"/>
      <c r="AE1401" s="1489"/>
      <c r="AF1401" s="1489"/>
      <c r="AG1401" s="1489"/>
      <c r="AH1401" s="1489"/>
      <c r="AI1401" s="1489"/>
      <c r="AJ1401" s="1489"/>
      <c r="AK1401" s="1489"/>
      <c r="AL1401" s="1489"/>
      <c r="AM1401" s="1489"/>
      <c r="AN1401" s="1489"/>
      <c r="AO1401" s="1489"/>
      <c r="AP1401" s="1489"/>
      <c r="AQ1401" s="1489"/>
      <c r="AR1401" s="1488"/>
      <c r="AS1401" s="1488"/>
      <c r="AT1401" s="1488"/>
      <c r="AU1401" s="1488"/>
      <c r="AV1401" s="1488"/>
      <c r="AW1401" s="1488"/>
      <c r="AX1401" s="1488"/>
      <c r="AY1401" s="1488"/>
    </row>
    <row r="1402" spans="3:51" s="1502" customFormat="1">
      <c r="C1402" s="1498"/>
      <c r="D1402" s="1501"/>
      <c r="E1402" s="1500"/>
      <c r="F1402" s="814"/>
      <c r="G1402" s="1494"/>
      <c r="H1402" s="1493"/>
      <c r="I1402" s="1493"/>
      <c r="J1402" s="813"/>
      <c r="K1402" s="814"/>
      <c r="L1402" s="1499"/>
      <c r="M1402" s="1488"/>
      <c r="N1402" s="1488"/>
      <c r="O1402" s="1488"/>
      <c r="P1402" s="1488"/>
      <c r="Q1402" s="1489"/>
      <c r="R1402" s="1489"/>
      <c r="S1402" s="1489"/>
      <c r="T1402" s="1489"/>
      <c r="U1402" s="1489"/>
      <c r="V1402" s="1489"/>
      <c r="W1402" s="1489"/>
      <c r="X1402" s="1489"/>
      <c r="Y1402" s="1489"/>
      <c r="Z1402" s="1489"/>
      <c r="AA1402" s="1489"/>
      <c r="AB1402" s="1489"/>
      <c r="AC1402" s="1489"/>
      <c r="AD1402" s="1489"/>
      <c r="AE1402" s="1489"/>
      <c r="AF1402" s="1489"/>
      <c r="AG1402" s="1489"/>
      <c r="AH1402" s="1489"/>
      <c r="AI1402" s="1489"/>
      <c r="AJ1402" s="1489"/>
      <c r="AK1402" s="1489"/>
      <c r="AL1402" s="1489"/>
      <c r="AM1402" s="1489"/>
      <c r="AN1402" s="1489"/>
      <c r="AO1402" s="1489"/>
      <c r="AP1402" s="1489"/>
      <c r="AQ1402" s="1489"/>
      <c r="AR1402" s="1488"/>
      <c r="AS1402" s="1488"/>
      <c r="AT1402" s="1488"/>
      <c r="AU1402" s="1488"/>
      <c r="AV1402" s="1488"/>
      <c r="AW1402" s="1488"/>
      <c r="AX1402" s="1488"/>
      <c r="AY1402" s="1488"/>
    </row>
    <row r="1403" spans="3:51" s="1502" customFormat="1">
      <c r="C1403" s="1498"/>
      <c r="D1403" s="1501"/>
      <c r="E1403" s="1500"/>
      <c r="F1403" s="814"/>
      <c r="G1403" s="1494"/>
      <c r="H1403" s="1493"/>
      <c r="I1403" s="1493"/>
      <c r="J1403" s="813"/>
      <c r="K1403" s="814"/>
      <c r="L1403" s="1499"/>
      <c r="M1403" s="1488"/>
      <c r="N1403" s="1488"/>
      <c r="O1403" s="1488"/>
      <c r="P1403" s="1488"/>
      <c r="Q1403" s="1489"/>
      <c r="R1403" s="1489"/>
      <c r="S1403" s="1489"/>
      <c r="T1403" s="1489"/>
      <c r="U1403" s="1489"/>
      <c r="V1403" s="1489"/>
      <c r="W1403" s="1489"/>
      <c r="X1403" s="1489"/>
      <c r="Y1403" s="1489"/>
      <c r="Z1403" s="1489"/>
      <c r="AA1403" s="1489"/>
      <c r="AB1403" s="1489"/>
      <c r="AC1403" s="1489"/>
      <c r="AD1403" s="1489"/>
      <c r="AE1403" s="1489"/>
      <c r="AF1403" s="1489"/>
      <c r="AG1403" s="1489"/>
      <c r="AH1403" s="1489"/>
      <c r="AI1403" s="1489"/>
      <c r="AJ1403" s="1489"/>
      <c r="AK1403" s="1489"/>
      <c r="AL1403" s="1489"/>
      <c r="AM1403" s="1489"/>
      <c r="AN1403" s="1489"/>
      <c r="AO1403" s="1489"/>
      <c r="AP1403" s="1489"/>
      <c r="AQ1403" s="1489"/>
      <c r="AR1403" s="1488"/>
      <c r="AS1403" s="1488"/>
      <c r="AT1403" s="1488"/>
      <c r="AU1403" s="1488"/>
      <c r="AV1403" s="1488"/>
      <c r="AW1403" s="1488"/>
      <c r="AX1403" s="1488"/>
      <c r="AY1403" s="1488"/>
    </row>
    <row r="1404" spans="3:51" s="1502" customFormat="1">
      <c r="C1404" s="1498"/>
      <c r="D1404" s="1501"/>
      <c r="E1404" s="1500"/>
      <c r="F1404" s="814"/>
      <c r="G1404" s="1494"/>
      <c r="H1404" s="1493"/>
      <c r="I1404" s="1493"/>
      <c r="J1404" s="813"/>
      <c r="K1404" s="814"/>
      <c r="L1404" s="1499"/>
      <c r="M1404" s="1488"/>
      <c r="N1404" s="1488"/>
      <c r="O1404" s="1488"/>
      <c r="P1404" s="1488"/>
      <c r="Q1404" s="1489"/>
      <c r="R1404" s="1489"/>
      <c r="S1404" s="1489"/>
      <c r="T1404" s="1489"/>
      <c r="U1404" s="1489"/>
      <c r="V1404" s="1489"/>
      <c r="W1404" s="1489"/>
      <c r="X1404" s="1489"/>
      <c r="Y1404" s="1489"/>
      <c r="Z1404" s="1489"/>
      <c r="AA1404" s="1489"/>
      <c r="AB1404" s="1489"/>
      <c r="AC1404" s="1489"/>
      <c r="AD1404" s="1489"/>
      <c r="AE1404" s="1489"/>
      <c r="AF1404" s="1489"/>
      <c r="AG1404" s="1489"/>
      <c r="AH1404" s="1489"/>
      <c r="AI1404" s="1489"/>
      <c r="AJ1404" s="1489"/>
      <c r="AK1404" s="1489"/>
      <c r="AL1404" s="1489"/>
      <c r="AM1404" s="1489"/>
      <c r="AN1404" s="1489"/>
      <c r="AO1404" s="1489"/>
      <c r="AP1404" s="1489"/>
      <c r="AQ1404" s="1489"/>
      <c r="AR1404" s="1488"/>
      <c r="AS1404" s="1488"/>
      <c r="AT1404" s="1488"/>
      <c r="AU1404" s="1488"/>
      <c r="AV1404" s="1488"/>
      <c r="AW1404" s="1488"/>
      <c r="AX1404" s="1488"/>
      <c r="AY1404" s="1488"/>
    </row>
    <row r="1405" spans="3:51" s="1502" customFormat="1">
      <c r="C1405" s="1498"/>
      <c r="D1405" s="1501"/>
      <c r="E1405" s="1500"/>
      <c r="F1405" s="814"/>
      <c r="G1405" s="1494"/>
      <c r="H1405" s="1493"/>
      <c r="I1405" s="1493"/>
      <c r="J1405" s="813"/>
      <c r="K1405" s="814"/>
      <c r="L1405" s="1499"/>
      <c r="M1405" s="1488"/>
      <c r="N1405" s="1488"/>
      <c r="O1405" s="1488"/>
      <c r="P1405" s="1488"/>
      <c r="Q1405" s="1489"/>
      <c r="R1405" s="1489"/>
      <c r="S1405" s="1489"/>
      <c r="T1405" s="1489"/>
      <c r="U1405" s="1489"/>
      <c r="V1405" s="1489"/>
      <c r="W1405" s="1489"/>
      <c r="X1405" s="1489"/>
      <c r="Y1405" s="1489"/>
      <c r="Z1405" s="1489"/>
      <c r="AA1405" s="1489"/>
      <c r="AB1405" s="1489"/>
      <c r="AC1405" s="1489"/>
      <c r="AD1405" s="1489"/>
      <c r="AE1405" s="1489"/>
      <c r="AF1405" s="1489"/>
      <c r="AG1405" s="1489"/>
      <c r="AH1405" s="1489"/>
      <c r="AI1405" s="1489"/>
      <c r="AJ1405" s="1489"/>
      <c r="AK1405" s="1489"/>
      <c r="AL1405" s="1489"/>
      <c r="AM1405" s="1489"/>
      <c r="AN1405" s="1489"/>
      <c r="AO1405" s="1489"/>
      <c r="AP1405" s="1489"/>
      <c r="AQ1405" s="1489"/>
      <c r="AR1405" s="1488"/>
      <c r="AS1405" s="1488"/>
      <c r="AT1405" s="1488"/>
      <c r="AU1405" s="1488"/>
      <c r="AV1405" s="1488"/>
      <c r="AW1405" s="1488"/>
      <c r="AX1405" s="1488"/>
      <c r="AY1405" s="1488"/>
    </row>
    <row r="1406" spans="3:51" s="1502" customFormat="1">
      <c r="C1406" s="1498"/>
      <c r="D1406" s="1501"/>
      <c r="E1406" s="1500"/>
      <c r="F1406" s="814"/>
      <c r="G1406" s="1494"/>
      <c r="H1406" s="1493"/>
      <c r="I1406" s="1493"/>
      <c r="J1406" s="813"/>
      <c r="K1406" s="814"/>
      <c r="L1406" s="1499"/>
      <c r="M1406" s="1488"/>
      <c r="N1406" s="1488"/>
      <c r="O1406" s="1488"/>
      <c r="P1406" s="1488"/>
      <c r="Q1406" s="1489"/>
      <c r="R1406" s="1489"/>
      <c r="S1406" s="1489"/>
      <c r="T1406" s="1489"/>
      <c r="U1406" s="1489"/>
      <c r="V1406" s="1489"/>
      <c r="W1406" s="1489"/>
      <c r="X1406" s="1489"/>
      <c r="Y1406" s="1489"/>
      <c r="Z1406" s="1489"/>
      <c r="AA1406" s="1489"/>
      <c r="AB1406" s="1489"/>
      <c r="AC1406" s="1489"/>
      <c r="AD1406" s="1489"/>
      <c r="AE1406" s="1489"/>
      <c r="AF1406" s="1489"/>
      <c r="AG1406" s="1489"/>
      <c r="AH1406" s="1489"/>
      <c r="AI1406" s="1489"/>
      <c r="AJ1406" s="1489"/>
      <c r="AK1406" s="1489"/>
      <c r="AL1406" s="1489"/>
      <c r="AM1406" s="1489"/>
      <c r="AN1406" s="1489"/>
      <c r="AO1406" s="1489"/>
      <c r="AP1406" s="1489"/>
      <c r="AQ1406" s="1489"/>
      <c r="AR1406" s="1488"/>
      <c r="AS1406" s="1488"/>
      <c r="AT1406" s="1488"/>
      <c r="AU1406" s="1488"/>
      <c r="AV1406" s="1488"/>
      <c r="AW1406" s="1488"/>
      <c r="AX1406" s="1488"/>
      <c r="AY1406" s="1488"/>
    </row>
    <row r="1407" spans="3:51" s="1502" customFormat="1">
      <c r="C1407" s="1498"/>
      <c r="D1407" s="1501"/>
      <c r="E1407" s="1500"/>
      <c r="F1407" s="814"/>
      <c r="G1407" s="1494"/>
      <c r="H1407" s="1493"/>
      <c r="I1407" s="1493"/>
      <c r="J1407" s="813"/>
      <c r="K1407" s="814"/>
      <c r="L1407" s="1499"/>
      <c r="M1407" s="1488"/>
      <c r="N1407" s="1488"/>
      <c r="O1407" s="1488"/>
      <c r="P1407" s="1488"/>
      <c r="Q1407" s="1489"/>
      <c r="R1407" s="1489"/>
      <c r="S1407" s="1489"/>
      <c r="T1407" s="1489"/>
      <c r="U1407" s="1489"/>
      <c r="V1407" s="1489"/>
      <c r="W1407" s="1489"/>
      <c r="X1407" s="1489"/>
      <c r="Y1407" s="1489"/>
      <c r="Z1407" s="1489"/>
      <c r="AA1407" s="1489"/>
      <c r="AB1407" s="1489"/>
      <c r="AC1407" s="1489"/>
      <c r="AD1407" s="1489"/>
      <c r="AE1407" s="1489"/>
      <c r="AF1407" s="1489"/>
      <c r="AG1407" s="1489"/>
      <c r="AH1407" s="1489"/>
      <c r="AI1407" s="1489"/>
      <c r="AJ1407" s="1489"/>
      <c r="AK1407" s="1489"/>
      <c r="AL1407" s="1489"/>
      <c r="AM1407" s="1489"/>
      <c r="AN1407" s="1489"/>
      <c r="AO1407" s="1489"/>
      <c r="AP1407" s="1489"/>
      <c r="AQ1407" s="1489"/>
      <c r="AR1407" s="1488"/>
      <c r="AS1407" s="1488"/>
      <c r="AT1407" s="1488"/>
      <c r="AU1407" s="1488"/>
      <c r="AV1407" s="1488"/>
      <c r="AW1407" s="1488"/>
      <c r="AX1407" s="1488"/>
      <c r="AY1407" s="1488"/>
    </row>
    <row r="1408" spans="3:51" s="1502" customFormat="1">
      <c r="C1408" s="1498"/>
      <c r="D1408" s="1501"/>
      <c r="E1408" s="1500"/>
      <c r="F1408" s="814"/>
      <c r="G1408" s="1494"/>
      <c r="H1408" s="1493"/>
      <c r="I1408" s="1493"/>
      <c r="J1408" s="813"/>
      <c r="K1408" s="814"/>
      <c r="L1408" s="1499"/>
      <c r="M1408" s="1488"/>
      <c r="N1408" s="1488"/>
      <c r="O1408" s="1488"/>
      <c r="P1408" s="1488"/>
      <c r="Q1408" s="1489"/>
      <c r="R1408" s="1489"/>
      <c r="S1408" s="1489"/>
      <c r="T1408" s="1489"/>
      <c r="U1408" s="1489"/>
      <c r="V1408" s="1489"/>
      <c r="W1408" s="1489"/>
      <c r="X1408" s="1489"/>
      <c r="Y1408" s="1489"/>
      <c r="Z1408" s="1489"/>
      <c r="AA1408" s="1489"/>
      <c r="AB1408" s="1489"/>
      <c r="AC1408" s="1489"/>
      <c r="AD1408" s="1489"/>
      <c r="AE1408" s="1489"/>
      <c r="AF1408" s="1489"/>
      <c r="AG1408" s="1489"/>
      <c r="AH1408" s="1489"/>
      <c r="AI1408" s="1489"/>
      <c r="AJ1408" s="1489"/>
      <c r="AK1408" s="1489"/>
      <c r="AL1408" s="1489"/>
      <c r="AM1408" s="1489"/>
      <c r="AN1408" s="1489"/>
      <c r="AO1408" s="1489"/>
      <c r="AP1408" s="1489"/>
      <c r="AQ1408" s="1489"/>
      <c r="AR1408" s="1488"/>
      <c r="AS1408" s="1488"/>
      <c r="AT1408" s="1488"/>
      <c r="AU1408" s="1488"/>
      <c r="AV1408" s="1488"/>
      <c r="AW1408" s="1488"/>
      <c r="AX1408" s="1488"/>
      <c r="AY1408" s="1488"/>
    </row>
    <row r="1409" spans="3:51" s="1502" customFormat="1">
      <c r="C1409" s="1498"/>
      <c r="D1409" s="1501"/>
      <c r="E1409" s="1500"/>
      <c r="F1409" s="814"/>
      <c r="G1409" s="1494"/>
      <c r="H1409" s="1493"/>
      <c r="I1409" s="1493"/>
      <c r="J1409" s="813"/>
      <c r="K1409" s="814"/>
      <c r="L1409" s="1499"/>
      <c r="M1409" s="1488"/>
      <c r="N1409" s="1488"/>
      <c r="O1409" s="1488"/>
      <c r="P1409" s="1488"/>
      <c r="Q1409" s="1489"/>
      <c r="R1409" s="1489"/>
      <c r="S1409" s="1489"/>
      <c r="T1409" s="1489"/>
      <c r="U1409" s="1489"/>
      <c r="V1409" s="1489"/>
      <c r="W1409" s="1489"/>
      <c r="X1409" s="1489"/>
      <c r="Y1409" s="1489"/>
      <c r="Z1409" s="1489"/>
      <c r="AA1409" s="1489"/>
      <c r="AB1409" s="1489"/>
      <c r="AC1409" s="1489"/>
      <c r="AD1409" s="1489"/>
      <c r="AE1409" s="1489"/>
      <c r="AF1409" s="1489"/>
      <c r="AG1409" s="1489"/>
      <c r="AH1409" s="1489"/>
      <c r="AI1409" s="1489"/>
      <c r="AJ1409" s="1489"/>
      <c r="AK1409" s="1489"/>
      <c r="AL1409" s="1489"/>
      <c r="AM1409" s="1489"/>
      <c r="AN1409" s="1489"/>
      <c r="AO1409" s="1489"/>
      <c r="AP1409" s="1489"/>
      <c r="AQ1409" s="1489"/>
      <c r="AR1409" s="1488"/>
      <c r="AS1409" s="1488"/>
      <c r="AT1409" s="1488"/>
      <c r="AU1409" s="1488"/>
      <c r="AV1409" s="1488"/>
      <c r="AW1409" s="1488"/>
      <c r="AX1409" s="1488"/>
      <c r="AY1409" s="1488"/>
    </row>
    <row r="1410" spans="3:51" s="1502" customFormat="1">
      <c r="C1410" s="1498"/>
      <c r="D1410" s="1501"/>
      <c r="E1410" s="1500"/>
      <c r="F1410" s="814"/>
      <c r="G1410" s="1494"/>
      <c r="H1410" s="1493"/>
      <c r="I1410" s="1493"/>
      <c r="J1410" s="813"/>
      <c r="K1410" s="814"/>
      <c r="L1410" s="1499"/>
      <c r="M1410" s="1488"/>
      <c r="N1410" s="1488"/>
      <c r="O1410" s="1488"/>
      <c r="P1410" s="1488"/>
      <c r="Q1410" s="1489"/>
      <c r="R1410" s="1489"/>
      <c r="S1410" s="1489"/>
      <c r="T1410" s="1489"/>
      <c r="U1410" s="1489"/>
      <c r="V1410" s="1489"/>
      <c r="W1410" s="1489"/>
      <c r="X1410" s="1489"/>
      <c r="Y1410" s="1489"/>
      <c r="Z1410" s="1489"/>
      <c r="AA1410" s="1489"/>
      <c r="AB1410" s="1489"/>
      <c r="AC1410" s="1489"/>
      <c r="AD1410" s="1489"/>
      <c r="AE1410" s="1489"/>
      <c r="AF1410" s="1489"/>
      <c r="AG1410" s="1489"/>
      <c r="AH1410" s="1489"/>
      <c r="AI1410" s="1489"/>
      <c r="AJ1410" s="1489"/>
      <c r="AK1410" s="1489"/>
      <c r="AL1410" s="1489"/>
      <c r="AM1410" s="1489"/>
      <c r="AN1410" s="1489"/>
      <c r="AO1410" s="1489"/>
      <c r="AP1410" s="1489"/>
      <c r="AQ1410" s="1489"/>
      <c r="AR1410" s="1488"/>
      <c r="AS1410" s="1488"/>
      <c r="AT1410" s="1488"/>
      <c r="AU1410" s="1488"/>
      <c r="AV1410" s="1488"/>
      <c r="AW1410" s="1488"/>
      <c r="AX1410" s="1488"/>
      <c r="AY1410" s="1488"/>
    </row>
    <row r="1411" spans="3:51" s="1502" customFormat="1">
      <c r="C1411" s="1498"/>
      <c r="D1411" s="1501"/>
      <c r="E1411" s="1500"/>
      <c r="F1411" s="814"/>
      <c r="G1411" s="1494"/>
      <c r="H1411" s="1493"/>
      <c r="I1411" s="1493"/>
      <c r="J1411" s="813"/>
      <c r="K1411" s="814"/>
      <c r="L1411" s="1499"/>
      <c r="M1411" s="1488"/>
      <c r="N1411" s="1488"/>
      <c r="O1411" s="1488"/>
      <c r="P1411" s="1488"/>
      <c r="Q1411" s="1489"/>
      <c r="R1411" s="1489"/>
      <c r="S1411" s="1489"/>
      <c r="T1411" s="1489"/>
      <c r="U1411" s="1489"/>
      <c r="V1411" s="1489"/>
      <c r="W1411" s="1489"/>
      <c r="X1411" s="1489"/>
      <c r="Y1411" s="1489"/>
      <c r="Z1411" s="1489"/>
      <c r="AA1411" s="1489"/>
      <c r="AB1411" s="1489"/>
      <c r="AC1411" s="1489"/>
      <c r="AD1411" s="1489"/>
      <c r="AE1411" s="1489"/>
      <c r="AF1411" s="1489"/>
      <c r="AG1411" s="1489"/>
      <c r="AH1411" s="1489"/>
      <c r="AI1411" s="1489"/>
      <c r="AJ1411" s="1489"/>
      <c r="AK1411" s="1489"/>
      <c r="AL1411" s="1489"/>
      <c r="AM1411" s="1489"/>
      <c r="AN1411" s="1489"/>
      <c r="AO1411" s="1489"/>
      <c r="AP1411" s="1489"/>
      <c r="AQ1411" s="1489"/>
      <c r="AR1411" s="1488"/>
      <c r="AS1411" s="1488"/>
      <c r="AT1411" s="1488"/>
      <c r="AU1411" s="1488"/>
      <c r="AV1411" s="1488"/>
      <c r="AW1411" s="1488"/>
      <c r="AX1411" s="1488"/>
      <c r="AY1411" s="1488"/>
    </row>
    <row r="1412" spans="3:51" s="1502" customFormat="1">
      <c r="C1412" s="1498"/>
      <c r="D1412" s="1501"/>
      <c r="E1412" s="1500"/>
      <c r="F1412" s="814"/>
      <c r="G1412" s="1494"/>
      <c r="H1412" s="1493"/>
      <c r="I1412" s="1493"/>
      <c r="J1412" s="813"/>
      <c r="K1412" s="814"/>
      <c r="L1412" s="1499"/>
      <c r="M1412" s="1488"/>
      <c r="N1412" s="1488"/>
      <c r="O1412" s="1488"/>
      <c r="P1412" s="1488"/>
      <c r="Q1412" s="1489"/>
      <c r="R1412" s="1489"/>
      <c r="S1412" s="1489"/>
      <c r="T1412" s="1489"/>
      <c r="U1412" s="1489"/>
      <c r="V1412" s="1489"/>
      <c r="W1412" s="1489"/>
      <c r="X1412" s="1489"/>
      <c r="Y1412" s="1489"/>
      <c r="Z1412" s="1489"/>
      <c r="AA1412" s="1489"/>
      <c r="AB1412" s="1489"/>
      <c r="AC1412" s="1489"/>
      <c r="AD1412" s="1489"/>
      <c r="AE1412" s="1489"/>
      <c r="AF1412" s="1489"/>
      <c r="AG1412" s="1489"/>
      <c r="AH1412" s="1489"/>
      <c r="AI1412" s="1489"/>
      <c r="AJ1412" s="1489"/>
      <c r="AK1412" s="1489"/>
      <c r="AL1412" s="1489"/>
      <c r="AM1412" s="1489"/>
      <c r="AN1412" s="1489"/>
      <c r="AO1412" s="1489"/>
      <c r="AP1412" s="1489"/>
      <c r="AQ1412" s="1489"/>
      <c r="AR1412" s="1488"/>
      <c r="AS1412" s="1488"/>
      <c r="AT1412" s="1488"/>
      <c r="AU1412" s="1488"/>
      <c r="AV1412" s="1488"/>
      <c r="AW1412" s="1488"/>
      <c r="AX1412" s="1488"/>
      <c r="AY1412" s="1488"/>
    </row>
    <row r="1413" spans="3:51" s="1502" customFormat="1">
      <c r="C1413" s="1498"/>
      <c r="D1413" s="1501"/>
      <c r="E1413" s="1500"/>
      <c r="F1413" s="814"/>
      <c r="G1413" s="1494"/>
      <c r="H1413" s="1493"/>
      <c r="I1413" s="1493"/>
      <c r="J1413" s="813"/>
      <c r="K1413" s="814"/>
      <c r="L1413" s="1499"/>
      <c r="M1413" s="1488"/>
      <c r="N1413" s="1488"/>
      <c r="O1413" s="1488"/>
      <c r="P1413" s="1488"/>
      <c r="Q1413" s="1489"/>
      <c r="R1413" s="1489"/>
      <c r="S1413" s="1489"/>
      <c r="T1413" s="1489"/>
      <c r="U1413" s="1489"/>
      <c r="V1413" s="1489"/>
      <c r="W1413" s="1489"/>
      <c r="X1413" s="1489"/>
      <c r="Y1413" s="1489"/>
      <c r="Z1413" s="1489"/>
      <c r="AA1413" s="1489"/>
      <c r="AB1413" s="1489"/>
      <c r="AC1413" s="1489"/>
      <c r="AD1413" s="1489"/>
      <c r="AE1413" s="1489"/>
      <c r="AF1413" s="1489"/>
      <c r="AG1413" s="1489"/>
      <c r="AH1413" s="1489"/>
      <c r="AI1413" s="1489"/>
      <c r="AJ1413" s="1489"/>
      <c r="AK1413" s="1489"/>
      <c r="AL1413" s="1489"/>
      <c r="AM1413" s="1489"/>
      <c r="AN1413" s="1489"/>
      <c r="AO1413" s="1489"/>
      <c r="AP1413" s="1489"/>
      <c r="AQ1413" s="1489"/>
      <c r="AR1413" s="1488"/>
      <c r="AS1413" s="1488"/>
      <c r="AT1413" s="1488"/>
      <c r="AU1413" s="1488"/>
      <c r="AV1413" s="1488"/>
      <c r="AW1413" s="1488"/>
      <c r="AX1413" s="1488"/>
      <c r="AY1413" s="1488"/>
    </row>
    <row r="1414" spans="3:51" s="1502" customFormat="1">
      <c r="C1414" s="1498"/>
      <c r="D1414" s="1501"/>
      <c r="E1414" s="1500"/>
      <c r="F1414" s="814"/>
      <c r="G1414" s="1494"/>
      <c r="H1414" s="1493"/>
      <c r="I1414" s="1493"/>
      <c r="J1414" s="813"/>
      <c r="K1414" s="814"/>
      <c r="L1414" s="1499"/>
      <c r="M1414" s="1488"/>
      <c r="N1414" s="1488"/>
      <c r="O1414" s="1488"/>
      <c r="P1414" s="1488"/>
      <c r="Q1414" s="1489"/>
      <c r="R1414" s="1489"/>
      <c r="S1414" s="1489"/>
      <c r="T1414" s="1489"/>
      <c r="U1414" s="1489"/>
      <c r="V1414" s="1489"/>
      <c r="W1414" s="1489"/>
      <c r="X1414" s="1489"/>
      <c r="Y1414" s="1489"/>
      <c r="Z1414" s="1489"/>
      <c r="AA1414" s="1489"/>
      <c r="AB1414" s="1489"/>
      <c r="AC1414" s="1489"/>
      <c r="AD1414" s="1489"/>
      <c r="AE1414" s="1489"/>
      <c r="AF1414" s="1489"/>
      <c r="AG1414" s="1489"/>
      <c r="AH1414" s="1489"/>
      <c r="AI1414" s="1489"/>
      <c r="AJ1414" s="1489"/>
      <c r="AK1414" s="1489"/>
      <c r="AL1414" s="1489"/>
      <c r="AM1414" s="1489"/>
      <c r="AN1414" s="1489"/>
      <c r="AO1414" s="1489"/>
      <c r="AP1414" s="1489"/>
      <c r="AQ1414" s="1489"/>
      <c r="AR1414" s="1488"/>
      <c r="AS1414" s="1488"/>
      <c r="AT1414" s="1488"/>
      <c r="AU1414" s="1488"/>
      <c r="AV1414" s="1488"/>
      <c r="AW1414" s="1488"/>
      <c r="AX1414" s="1488"/>
      <c r="AY1414" s="1488"/>
    </row>
    <row r="1415" spans="3:51" s="1502" customFormat="1">
      <c r="C1415" s="1498"/>
      <c r="D1415" s="1501"/>
      <c r="E1415" s="1500"/>
      <c r="F1415" s="814"/>
      <c r="G1415" s="1494"/>
      <c r="H1415" s="1493"/>
      <c r="I1415" s="1493"/>
      <c r="J1415" s="813"/>
      <c r="K1415" s="814"/>
      <c r="L1415" s="1499"/>
      <c r="M1415" s="1488"/>
      <c r="N1415" s="1488"/>
      <c r="O1415" s="1488"/>
      <c r="P1415" s="1488"/>
      <c r="Q1415" s="1489"/>
      <c r="R1415" s="1489"/>
      <c r="S1415" s="1489"/>
      <c r="T1415" s="1489"/>
      <c r="U1415" s="1489"/>
      <c r="V1415" s="1489"/>
      <c r="W1415" s="1489"/>
      <c r="X1415" s="1489"/>
      <c r="Y1415" s="1489"/>
      <c r="Z1415" s="1489"/>
      <c r="AA1415" s="1489"/>
      <c r="AB1415" s="1489"/>
      <c r="AC1415" s="1489"/>
      <c r="AD1415" s="1489"/>
      <c r="AE1415" s="1489"/>
      <c r="AF1415" s="1489"/>
      <c r="AG1415" s="1489"/>
      <c r="AH1415" s="1489"/>
      <c r="AI1415" s="1489"/>
      <c r="AJ1415" s="1489"/>
      <c r="AK1415" s="1489"/>
      <c r="AL1415" s="1489"/>
      <c r="AM1415" s="1489"/>
      <c r="AN1415" s="1489"/>
      <c r="AO1415" s="1489"/>
      <c r="AP1415" s="1489"/>
      <c r="AQ1415" s="1489"/>
      <c r="AR1415" s="1488"/>
      <c r="AS1415" s="1488"/>
      <c r="AT1415" s="1488"/>
      <c r="AU1415" s="1488"/>
      <c r="AV1415" s="1488"/>
      <c r="AW1415" s="1488"/>
      <c r="AX1415" s="1488"/>
      <c r="AY1415" s="1488"/>
    </row>
    <row r="1416" spans="3:51" s="1502" customFormat="1">
      <c r="C1416" s="1498"/>
      <c r="D1416" s="1501"/>
      <c r="E1416" s="1500"/>
      <c r="F1416" s="814"/>
      <c r="G1416" s="1494"/>
      <c r="H1416" s="1493"/>
      <c r="I1416" s="1493"/>
      <c r="J1416" s="813"/>
      <c r="K1416" s="814"/>
      <c r="L1416" s="1499"/>
      <c r="M1416" s="1488"/>
      <c r="N1416" s="1488"/>
      <c r="O1416" s="1488"/>
      <c r="P1416" s="1488"/>
      <c r="Q1416" s="1489"/>
      <c r="R1416" s="1489"/>
      <c r="S1416" s="1489"/>
      <c r="T1416" s="1489"/>
      <c r="U1416" s="1489"/>
      <c r="V1416" s="1489"/>
      <c r="W1416" s="1489"/>
      <c r="X1416" s="1489"/>
      <c r="Y1416" s="1489"/>
      <c r="Z1416" s="1489"/>
      <c r="AA1416" s="1489"/>
      <c r="AB1416" s="1489"/>
      <c r="AC1416" s="1489"/>
      <c r="AD1416" s="1489"/>
      <c r="AE1416" s="1489"/>
      <c r="AF1416" s="1489"/>
      <c r="AG1416" s="1489"/>
      <c r="AH1416" s="1489"/>
      <c r="AI1416" s="1489"/>
      <c r="AJ1416" s="1489"/>
      <c r="AK1416" s="1489"/>
      <c r="AL1416" s="1489"/>
      <c r="AM1416" s="1489"/>
      <c r="AN1416" s="1489"/>
      <c r="AO1416" s="1489"/>
      <c r="AP1416" s="1489"/>
      <c r="AQ1416" s="1489"/>
      <c r="AR1416" s="1488"/>
      <c r="AS1416" s="1488"/>
      <c r="AT1416" s="1488"/>
      <c r="AU1416" s="1488"/>
      <c r="AV1416" s="1488"/>
      <c r="AW1416" s="1488"/>
      <c r="AX1416" s="1488"/>
      <c r="AY1416" s="1488"/>
    </row>
    <row r="1417" spans="3:51" s="1502" customFormat="1">
      <c r="C1417" s="1498"/>
      <c r="D1417" s="1501"/>
      <c r="E1417" s="1500"/>
      <c r="F1417" s="814"/>
      <c r="G1417" s="1494"/>
      <c r="H1417" s="1493"/>
      <c r="I1417" s="1493"/>
      <c r="J1417" s="813"/>
      <c r="K1417" s="814"/>
      <c r="L1417" s="1499"/>
      <c r="M1417" s="1488"/>
      <c r="N1417" s="1488"/>
      <c r="O1417" s="1488"/>
      <c r="P1417" s="1488"/>
      <c r="Q1417" s="1489"/>
      <c r="R1417" s="1489"/>
      <c r="S1417" s="1489"/>
      <c r="T1417" s="1489"/>
      <c r="U1417" s="1489"/>
      <c r="V1417" s="1489"/>
      <c r="W1417" s="1489"/>
      <c r="X1417" s="1489"/>
      <c r="Y1417" s="1489"/>
      <c r="Z1417" s="1489"/>
      <c r="AA1417" s="1489"/>
      <c r="AB1417" s="1489"/>
      <c r="AC1417" s="1489"/>
      <c r="AD1417" s="1489"/>
      <c r="AE1417" s="1489"/>
      <c r="AF1417" s="1489"/>
      <c r="AG1417" s="1489"/>
      <c r="AH1417" s="1489"/>
      <c r="AI1417" s="1489"/>
      <c r="AJ1417" s="1489"/>
      <c r="AK1417" s="1489"/>
      <c r="AL1417" s="1489"/>
      <c r="AM1417" s="1489"/>
      <c r="AN1417" s="1489"/>
      <c r="AO1417" s="1489"/>
      <c r="AP1417" s="1489"/>
      <c r="AQ1417" s="1489"/>
      <c r="AR1417" s="1488"/>
      <c r="AS1417" s="1488"/>
      <c r="AT1417" s="1488"/>
      <c r="AU1417" s="1488"/>
      <c r="AV1417" s="1488"/>
      <c r="AW1417" s="1488"/>
      <c r="AX1417" s="1488"/>
      <c r="AY1417" s="1488"/>
    </row>
    <row r="1418" spans="3:51" s="1502" customFormat="1">
      <c r="C1418" s="1498"/>
      <c r="D1418" s="1501"/>
      <c r="E1418" s="1500"/>
      <c r="F1418" s="814"/>
      <c r="G1418" s="1494"/>
      <c r="H1418" s="1493"/>
      <c r="I1418" s="1493"/>
      <c r="J1418" s="813"/>
      <c r="K1418" s="814"/>
      <c r="L1418" s="1499"/>
      <c r="M1418" s="1488"/>
      <c r="N1418" s="1488"/>
      <c r="O1418" s="1488"/>
      <c r="P1418" s="1488"/>
      <c r="Q1418" s="1489"/>
      <c r="R1418" s="1489"/>
      <c r="S1418" s="1489"/>
      <c r="T1418" s="1489"/>
      <c r="U1418" s="1489"/>
      <c r="V1418" s="1489"/>
      <c r="W1418" s="1489"/>
      <c r="X1418" s="1489"/>
      <c r="Y1418" s="1489"/>
      <c r="Z1418" s="1489"/>
      <c r="AA1418" s="1489"/>
      <c r="AB1418" s="1489"/>
      <c r="AC1418" s="1489"/>
      <c r="AD1418" s="1489"/>
      <c r="AE1418" s="1489"/>
      <c r="AF1418" s="1489"/>
      <c r="AG1418" s="1489"/>
      <c r="AH1418" s="1489"/>
      <c r="AI1418" s="1489"/>
      <c r="AJ1418" s="1489"/>
      <c r="AK1418" s="1489"/>
      <c r="AL1418" s="1489"/>
      <c r="AM1418" s="1489"/>
      <c r="AN1418" s="1489"/>
      <c r="AO1418" s="1489"/>
      <c r="AP1418" s="1489"/>
      <c r="AQ1418" s="1489"/>
      <c r="AR1418" s="1488"/>
      <c r="AS1418" s="1488"/>
      <c r="AT1418" s="1488"/>
      <c r="AU1418" s="1488"/>
      <c r="AV1418" s="1488"/>
      <c r="AW1418" s="1488"/>
      <c r="AX1418" s="1488"/>
      <c r="AY1418" s="1488"/>
    </row>
    <row r="1419" spans="3:51" s="1502" customFormat="1">
      <c r="C1419" s="1498"/>
      <c r="D1419" s="1501"/>
      <c r="E1419" s="1500"/>
      <c r="F1419" s="814"/>
      <c r="G1419" s="1494"/>
      <c r="H1419" s="1493"/>
      <c r="I1419" s="1493"/>
      <c r="J1419" s="813"/>
      <c r="K1419" s="814"/>
      <c r="L1419" s="1499"/>
      <c r="M1419" s="1488"/>
      <c r="N1419" s="1488"/>
      <c r="O1419" s="1488"/>
      <c r="P1419" s="1488"/>
      <c r="Q1419" s="1489"/>
      <c r="R1419" s="1489"/>
      <c r="S1419" s="1489"/>
      <c r="T1419" s="1489"/>
      <c r="U1419" s="1489"/>
      <c r="V1419" s="1489"/>
      <c r="W1419" s="1489"/>
      <c r="X1419" s="1489"/>
      <c r="Y1419" s="1489"/>
      <c r="Z1419" s="1489"/>
      <c r="AA1419" s="1489"/>
      <c r="AB1419" s="1489"/>
      <c r="AC1419" s="1489"/>
      <c r="AD1419" s="1489"/>
      <c r="AE1419" s="1489"/>
      <c r="AF1419" s="1489"/>
      <c r="AG1419" s="1489"/>
      <c r="AH1419" s="1489"/>
      <c r="AI1419" s="1489"/>
      <c r="AJ1419" s="1489"/>
      <c r="AK1419" s="1489"/>
      <c r="AL1419" s="1489"/>
      <c r="AM1419" s="1489"/>
      <c r="AN1419" s="1489"/>
      <c r="AO1419" s="1489"/>
      <c r="AP1419" s="1489"/>
      <c r="AQ1419" s="1489"/>
      <c r="AR1419" s="1488"/>
      <c r="AS1419" s="1488"/>
      <c r="AT1419" s="1488"/>
      <c r="AU1419" s="1488"/>
      <c r="AV1419" s="1488"/>
      <c r="AW1419" s="1488"/>
      <c r="AX1419" s="1488"/>
      <c r="AY1419" s="1488"/>
    </row>
    <row r="1420" spans="3:51" s="1502" customFormat="1">
      <c r="C1420" s="1498"/>
      <c r="D1420" s="1501"/>
      <c r="E1420" s="1500"/>
      <c r="F1420" s="814"/>
      <c r="G1420" s="1494"/>
      <c r="H1420" s="1493"/>
      <c r="I1420" s="1493"/>
      <c r="J1420" s="813"/>
      <c r="K1420" s="814"/>
      <c r="L1420" s="1499"/>
      <c r="M1420" s="1488"/>
      <c r="N1420" s="1488"/>
      <c r="O1420" s="1488"/>
      <c r="P1420" s="1488"/>
      <c r="Q1420" s="1489"/>
      <c r="R1420" s="1489"/>
      <c r="S1420" s="1489"/>
      <c r="T1420" s="1489"/>
      <c r="U1420" s="1489"/>
      <c r="V1420" s="1489"/>
      <c r="W1420" s="1489"/>
      <c r="X1420" s="1489"/>
      <c r="Y1420" s="1489"/>
      <c r="Z1420" s="1489"/>
      <c r="AA1420" s="1489"/>
      <c r="AB1420" s="1489"/>
      <c r="AC1420" s="1489"/>
      <c r="AD1420" s="1489"/>
      <c r="AE1420" s="1489"/>
      <c r="AF1420" s="1489"/>
      <c r="AG1420" s="1489"/>
      <c r="AH1420" s="1489"/>
      <c r="AI1420" s="1489"/>
      <c r="AJ1420" s="1489"/>
      <c r="AK1420" s="1489"/>
      <c r="AL1420" s="1489"/>
      <c r="AM1420" s="1489"/>
      <c r="AN1420" s="1489"/>
      <c r="AO1420" s="1489"/>
      <c r="AP1420" s="1489"/>
      <c r="AQ1420" s="1489"/>
      <c r="AR1420" s="1488"/>
      <c r="AS1420" s="1488"/>
      <c r="AT1420" s="1488"/>
      <c r="AU1420" s="1488"/>
      <c r="AV1420" s="1488"/>
      <c r="AW1420" s="1488"/>
      <c r="AX1420" s="1488"/>
      <c r="AY1420" s="1488"/>
    </row>
    <row r="1421" spans="3:51" s="1502" customFormat="1">
      <c r="C1421" s="1498"/>
      <c r="D1421" s="1501"/>
      <c r="E1421" s="1500"/>
      <c r="F1421" s="814"/>
      <c r="G1421" s="1494"/>
      <c r="H1421" s="1493"/>
      <c r="I1421" s="1493"/>
      <c r="J1421" s="813"/>
      <c r="K1421" s="814"/>
      <c r="L1421" s="1499"/>
      <c r="M1421" s="1488"/>
      <c r="N1421" s="1488"/>
      <c r="O1421" s="1488"/>
      <c r="P1421" s="1488"/>
      <c r="Q1421" s="1489"/>
      <c r="R1421" s="1489"/>
      <c r="S1421" s="1489"/>
      <c r="T1421" s="1489"/>
      <c r="U1421" s="1489"/>
      <c r="V1421" s="1489"/>
      <c r="W1421" s="1489"/>
      <c r="X1421" s="1489"/>
      <c r="Y1421" s="1489"/>
      <c r="Z1421" s="1489"/>
      <c r="AA1421" s="1489"/>
      <c r="AB1421" s="1489"/>
      <c r="AC1421" s="1489"/>
      <c r="AD1421" s="1489"/>
      <c r="AE1421" s="1489"/>
      <c r="AF1421" s="1489"/>
      <c r="AG1421" s="1489"/>
      <c r="AH1421" s="1489"/>
      <c r="AI1421" s="1489"/>
      <c r="AJ1421" s="1489"/>
      <c r="AK1421" s="1489"/>
      <c r="AL1421" s="1489"/>
      <c r="AM1421" s="1489"/>
      <c r="AN1421" s="1489"/>
      <c r="AO1421" s="1489"/>
      <c r="AP1421" s="1489"/>
      <c r="AQ1421" s="1489"/>
      <c r="AR1421" s="1488"/>
      <c r="AS1421" s="1488"/>
      <c r="AT1421" s="1488"/>
      <c r="AU1421" s="1488"/>
      <c r="AV1421" s="1488"/>
      <c r="AW1421" s="1488"/>
      <c r="AX1421" s="1488"/>
      <c r="AY1421" s="1488"/>
    </row>
    <row r="1422" spans="3:51" s="1502" customFormat="1">
      <c r="C1422" s="1498"/>
      <c r="D1422" s="1501"/>
      <c r="E1422" s="1500"/>
      <c r="F1422" s="814"/>
      <c r="G1422" s="1494"/>
      <c r="H1422" s="1493"/>
      <c r="I1422" s="1493"/>
      <c r="J1422" s="813"/>
      <c r="K1422" s="814"/>
      <c r="L1422" s="1499"/>
      <c r="M1422" s="1488"/>
      <c r="N1422" s="1488"/>
      <c r="O1422" s="1488"/>
      <c r="P1422" s="1488"/>
      <c r="Q1422" s="1489"/>
      <c r="R1422" s="1489"/>
      <c r="S1422" s="1489"/>
      <c r="T1422" s="1489"/>
      <c r="U1422" s="1489"/>
      <c r="V1422" s="1489"/>
      <c r="W1422" s="1489"/>
      <c r="X1422" s="1489"/>
      <c r="Y1422" s="1489"/>
      <c r="Z1422" s="1489"/>
      <c r="AA1422" s="1489"/>
      <c r="AB1422" s="1489"/>
      <c r="AC1422" s="1489"/>
      <c r="AD1422" s="1489"/>
      <c r="AE1422" s="1489"/>
      <c r="AF1422" s="1489"/>
      <c r="AG1422" s="1489"/>
      <c r="AH1422" s="1489"/>
      <c r="AI1422" s="1489"/>
      <c r="AJ1422" s="1489"/>
      <c r="AK1422" s="1489"/>
      <c r="AL1422" s="1489"/>
      <c r="AM1422" s="1489"/>
      <c r="AN1422" s="1489"/>
      <c r="AO1422" s="1489"/>
      <c r="AP1422" s="1489"/>
      <c r="AQ1422" s="1489"/>
      <c r="AR1422" s="1488"/>
      <c r="AS1422" s="1488"/>
      <c r="AT1422" s="1488"/>
      <c r="AU1422" s="1488"/>
      <c r="AV1422" s="1488"/>
      <c r="AW1422" s="1488"/>
      <c r="AX1422" s="1488"/>
      <c r="AY1422" s="1488"/>
    </row>
    <row r="1423" spans="3:51" s="1502" customFormat="1">
      <c r="C1423" s="1498"/>
      <c r="D1423" s="1501"/>
      <c r="E1423" s="1500"/>
      <c r="F1423" s="814"/>
      <c r="G1423" s="1494"/>
      <c r="H1423" s="1493"/>
      <c r="I1423" s="1493"/>
      <c r="J1423" s="813"/>
      <c r="K1423" s="814"/>
      <c r="L1423" s="1499"/>
      <c r="M1423" s="1488"/>
      <c r="N1423" s="1488"/>
      <c r="O1423" s="1488"/>
      <c r="P1423" s="1488"/>
      <c r="Q1423" s="1489"/>
      <c r="R1423" s="1489"/>
      <c r="S1423" s="1489"/>
      <c r="T1423" s="1489"/>
      <c r="U1423" s="1489"/>
      <c r="V1423" s="1489"/>
      <c r="W1423" s="1489"/>
      <c r="X1423" s="1489"/>
      <c r="Y1423" s="1489"/>
      <c r="Z1423" s="1489"/>
      <c r="AA1423" s="1489"/>
      <c r="AB1423" s="1489"/>
      <c r="AC1423" s="1489"/>
      <c r="AD1423" s="1489"/>
      <c r="AE1423" s="1489"/>
      <c r="AF1423" s="1489"/>
      <c r="AG1423" s="1489"/>
      <c r="AH1423" s="1489"/>
      <c r="AI1423" s="1489"/>
      <c r="AJ1423" s="1489"/>
      <c r="AK1423" s="1489"/>
      <c r="AL1423" s="1489"/>
      <c r="AM1423" s="1489"/>
      <c r="AN1423" s="1489"/>
      <c r="AO1423" s="1489"/>
      <c r="AP1423" s="1489"/>
      <c r="AQ1423" s="1489"/>
      <c r="AR1423" s="1488"/>
      <c r="AS1423" s="1488"/>
      <c r="AT1423" s="1488"/>
      <c r="AU1423" s="1488"/>
      <c r="AV1423" s="1488"/>
      <c r="AW1423" s="1488"/>
      <c r="AX1423" s="1488"/>
      <c r="AY1423" s="1488"/>
    </row>
    <row r="1424" spans="3:51" s="1502" customFormat="1">
      <c r="C1424" s="1498"/>
      <c r="D1424" s="1501"/>
      <c r="E1424" s="1500"/>
      <c r="F1424" s="814"/>
      <c r="G1424" s="1494"/>
      <c r="H1424" s="1493"/>
      <c r="I1424" s="1493"/>
      <c r="J1424" s="813"/>
      <c r="K1424" s="814"/>
      <c r="L1424" s="1499"/>
      <c r="M1424" s="1488"/>
      <c r="N1424" s="1488"/>
      <c r="O1424" s="1488"/>
      <c r="P1424" s="1488"/>
      <c r="Q1424" s="1489"/>
      <c r="R1424" s="1489"/>
      <c r="S1424" s="1489"/>
      <c r="T1424" s="1489"/>
      <c r="U1424" s="1489"/>
      <c r="V1424" s="1489"/>
      <c r="W1424" s="1489"/>
      <c r="X1424" s="1489"/>
      <c r="Y1424" s="1489"/>
      <c r="Z1424" s="1489"/>
      <c r="AA1424" s="1489"/>
      <c r="AB1424" s="1489"/>
      <c r="AC1424" s="1489"/>
      <c r="AD1424" s="1489"/>
      <c r="AE1424" s="1489"/>
      <c r="AF1424" s="1489"/>
      <c r="AG1424" s="1489"/>
      <c r="AH1424" s="1489"/>
      <c r="AI1424" s="1489"/>
      <c r="AJ1424" s="1489"/>
      <c r="AK1424" s="1489"/>
      <c r="AL1424" s="1489"/>
      <c r="AM1424" s="1489"/>
      <c r="AN1424" s="1489"/>
      <c r="AO1424" s="1489"/>
      <c r="AP1424" s="1489"/>
      <c r="AQ1424" s="1489"/>
      <c r="AR1424" s="1488"/>
      <c r="AS1424" s="1488"/>
      <c r="AT1424" s="1488"/>
      <c r="AU1424" s="1488"/>
      <c r="AV1424" s="1488"/>
      <c r="AW1424" s="1488"/>
      <c r="AX1424" s="1488"/>
      <c r="AY1424" s="1488"/>
    </row>
    <row r="1425" spans="3:51" s="1502" customFormat="1">
      <c r="C1425" s="1498"/>
      <c r="D1425" s="1501"/>
      <c r="E1425" s="1500"/>
      <c r="F1425" s="814"/>
      <c r="G1425" s="1494"/>
      <c r="H1425" s="1493"/>
      <c r="I1425" s="1493"/>
      <c r="J1425" s="813"/>
      <c r="K1425" s="814"/>
      <c r="L1425" s="1499"/>
      <c r="M1425" s="1488"/>
      <c r="N1425" s="1488"/>
      <c r="O1425" s="1488"/>
      <c r="P1425" s="1488"/>
      <c r="Q1425" s="1489"/>
      <c r="R1425" s="1489"/>
      <c r="S1425" s="1489"/>
      <c r="T1425" s="1489"/>
      <c r="U1425" s="1489"/>
      <c r="V1425" s="1489"/>
      <c r="W1425" s="1489"/>
      <c r="X1425" s="1489"/>
      <c r="Y1425" s="1489"/>
      <c r="Z1425" s="1489"/>
      <c r="AA1425" s="1489"/>
      <c r="AB1425" s="1489"/>
      <c r="AC1425" s="1489"/>
      <c r="AD1425" s="1489"/>
      <c r="AE1425" s="1489"/>
      <c r="AF1425" s="1489"/>
      <c r="AG1425" s="1489"/>
      <c r="AH1425" s="1489"/>
      <c r="AI1425" s="1489"/>
      <c r="AJ1425" s="1489"/>
      <c r="AK1425" s="1489"/>
      <c r="AL1425" s="1489"/>
      <c r="AM1425" s="1489"/>
      <c r="AN1425" s="1489"/>
      <c r="AO1425" s="1489"/>
      <c r="AP1425" s="1489"/>
      <c r="AQ1425" s="1489"/>
      <c r="AR1425" s="1488"/>
      <c r="AS1425" s="1488"/>
      <c r="AT1425" s="1488"/>
      <c r="AU1425" s="1488"/>
      <c r="AV1425" s="1488"/>
      <c r="AW1425" s="1488"/>
      <c r="AX1425" s="1488"/>
      <c r="AY1425" s="1488"/>
    </row>
    <row r="1426" spans="3:51" s="1502" customFormat="1">
      <c r="C1426" s="1498"/>
      <c r="D1426" s="1501"/>
      <c r="E1426" s="1500"/>
      <c r="F1426" s="814"/>
      <c r="G1426" s="1494"/>
      <c r="H1426" s="1493"/>
      <c r="I1426" s="1493"/>
      <c r="J1426" s="813"/>
      <c r="K1426" s="814"/>
      <c r="L1426" s="1499"/>
      <c r="M1426" s="1488"/>
      <c r="N1426" s="1488"/>
      <c r="O1426" s="1488"/>
      <c r="P1426" s="1488"/>
      <c r="Q1426" s="1489"/>
      <c r="R1426" s="1489"/>
      <c r="S1426" s="1489"/>
      <c r="T1426" s="1489"/>
      <c r="U1426" s="1489"/>
      <c r="V1426" s="1489"/>
      <c r="W1426" s="1489"/>
      <c r="X1426" s="1489"/>
      <c r="Y1426" s="1489"/>
      <c r="Z1426" s="1489"/>
      <c r="AA1426" s="1489"/>
      <c r="AB1426" s="1489"/>
      <c r="AC1426" s="1489"/>
      <c r="AD1426" s="1489"/>
      <c r="AE1426" s="1489"/>
      <c r="AF1426" s="1489"/>
      <c r="AG1426" s="1489"/>
      <c r="AH1426" s="1489"/>
      <c r="AI1426" s="1489"/>
      <c r="AJ1426" s="1489"/>
      <c r="AK1426" s="1489"/>
      <c r="AL1426" s="1489"/>
      <c r="AM1426" s="1489"/>
      <c r="AN1426" s="1489"/>
      <c r="AO1426" s="1489"/>
      <c r="AP1426" s="1489"/>
      <c r="AQ1426" s="1489"/>
      <c r="AR1426" s="1488"/>
      <c r="AS1426" s="1488"/>
      <c r="AT1426" s="1488"/>
      <c r="AU1426" s="1488"/>
      <c r="AV1426" s="1488"/>
      <c r="AW1426" s="1488"/>
      <c r="AX1426" s="1488"/>
      <c r="AY1426" s="1488"/>
    </row>
    <row r="1427" spans="3:51" s="1502" customFormat="1">
      <c r="C1427" s="1498"/>
      <c r="D1427" s="1501"/>
      <c r="E1427" s="1500"/>
      <c r="F1427" s="814"/>
      <c r="G1427" s="1494"/>
      <c r="H1427" s="1493"/>
      <c r="I1427" s="1493"/>
      <c r="J1427" s="813"/>
      <c r="K1427" s="814"/>
      <c r="L1427" s="1499"/>
      <c r="M1427" s="1488"/>
      <c r="N1427" s="1488"/>
      <c r="O1427" s="1488"/>
      <c r="P1427" s="1488"/>
      <c r="Q1427" s="1489"/>
      <c r="R1427" s="1489"/>
      <c r="S1427" s="1489"/>
      <c r="T1427" s="1489"/>
      <c r="U1427" s="1489"/>
      <c r="V1427" s="1489"/>
      <c r="W1427" s="1489"/>
      <c r="X1427" s="1489"/>
      <c r="Y1427" s="1489"/>
      <c r="Z1427" s="1489"/>
      <c r="AA1427" s="1489"/>
      <c r="AB1427" s="1489"/>
      <c r="AC1427" s="1489"/>
      <c r="AD1427" s="1489"/>
      <c r="AE1427" s="1489"/>
      <c r="AF1427" s="1489"/>
      <c r="AG1427" s="1489"/>
      <c r="AH1427" s="1489"/>
      <c r="AI1427" s="1489"/>
      <c r="AJ1427" s="1489"/>
      <c r="AK1427" s="1489"/>
      <c r="AL1427" s="1489"/>
      <c r="AM1427" s="1489"/>
      <c r="AN1427" s="1489"/>
      <c r="AO1427" s="1489"/>
      <c r="AP1427" s="1489"/>
      <c r="AQ1427" s="1489"/>
      <c r="AR1427" s="1488"/>
      <c r="AS1427" s="1488"/>
      <c r="AT1427" s="1488"/>
      <c r="AU1427" s="1488"/>
      <c r="AV1427" s="1488"/>
      <c r="AW1427" s="1488"/>
      <c r="AX1427" s="1488"/>
      <c r="AY1427" s="1488"/>
    </row>
    <row r="1428" spans="3:51" s="1502" customFormat="1">
      <c r="C1428" s="1498"/>
      <c r="D1428" s="1501"/>
      <c r="E1428" s="1500"/>
      <c r="F1428" s="814"/>
      <c r="G1428" s="1494"/>
      <c r="H1428" s="1493"/>
      <c r="I1428" s="1493"/>
      <c r="J1428" s="813"/>
      <c r="K1428" s="814"/>
      <c r="L1428" s="1499"/>
      <c r="M1428" s="1488"/>
      <c r="N1428" s="1488"/>
      <c r="O1428" s="1488"/>
      <c r="P1428" s="1488"/>
      <c r="Q1428" s="1489"/>
      <c r="R1428" s="1489"/>
      <c r="S1428" s="1489"/>
      <c r="T1428" s="1489"/>
      <c r="U1428" s="1489"/>
      <c r="V1428" s="1489"/>
      <c r="W1428" s="1489"/>
      <c r="X1428" s="1489"/>
      <c r="Y1428" s="1489"/>
      <c r="Z1428" s="1489"/>
      <c r="AA1428" s="1489"/>
      <c r="AB1428" s="1489"/>
      <c r="AC1428" s="1489"/>
      <c r="AD1428" s="1489"/>
      <c r="AE1428" s="1489"/>
      <c r="AF1428" s="1489"/>
      <c r="AG1428" s="1489"/>
      <c r="AH1428" s="1489"/>
      <c r="AI1428" s="1489"/>
      <c r="AJ1428" s="1489"/>
      <c r="AK1428" s="1489"/>
      <c r="AL1428" s="1489"/>
      <c r="AM1428" s="1489"/>
      <c r="AN1428" s="1489"/>
      <c r="AO1428" s="1489"/>
      <c r="AP1428" s="1489"/>
      <c r="AQ1428" s="1489"/>
      <c r="AR1428" s="1488"/>
      <c r="AS1428" s="1488"/>
      <c r="AT1428" s="1488"/>
      <c r="AU1428" s="1488"/>
      <c r="AV1428" s="1488"/>
      <c r="AW1428" s="1488"/>
      <c r="AX1428" s="1488"/>
      <c r="AY1428" s="1488"/>
    </row>
    <row r="1429" spans="3:51" s="1502" customFormat="1">
      <c r="C1429" s="1498"/>
      <c r="D1429" s="1501"/>
      <c r="E1429" s="1500"/>
      <c r="F1429" s="814"/>
      <c r="G1429" s="1494"/>
      <c r="H1429" s="1493"/>
      <c r="I1429" s="1493"/>
      <c r="J1429" s="813"/>
      <c r="K1429" s="814"/>
      <c r="L1429" s="1499"/>
      <c r="M1429" s="1488"/>
      <c r="N1429" s="1488"/>
      <c r="O1429" s="1488"/>
      <c r="P1429" s="1488"/>
      <c r="Q1429" s="1489"/>
      <c r="R1429" s="1489"/>
      <c r="S1429" s="1489"/>
      <c r="T1429" s="1489"/>
      <c r="U1429" s="1489"/>
      <c r="V1429" s="1489"/>
      <c r="W1429" s="1489"/>
      <c r="X1429" s="1489"/>
      <c r="Y1429" s="1489"/>
      <c r="Z1429" s="1489"/>
      <c r="AA1429" s="1489"/>
      <c r="AB1429" s="1489"/>
      <c r="AC1429" s="1489"/>
      <c r="AD1429" s="1489"/>
      <c r="AE1429" s="1489"/>
      <c r="AF1429" s="1489"/>
      <c r="AG1429" s="1489"/>
      <c r="AH1429" s="1489"/>
      <c r="AI1429" s="1489"/>
      <c r="AJ1429" s="1489"/>
      <c r="AK1429" s="1489"/>
      <c r="AL1429" s="1489"/>
      <c r="AM1429" s="1489"/>
      <c r="AN1429" s="1489"/>
      <c r="AO1429" s="1489"/>
      <c r="AP1429" s="1489"/>
      <c r="AQ1429" s="1489"/>
      <c r="AR1429" s="1488"/>
      <c r="AS1429" s="1488"/>
      <c r="AT1429" s="1488"/>
      <c r="AU1429" s="1488"/>
      <c r="AV1429" s="1488"/>
      <c r="AW1429" s="1488"/>
      <c r="AX1429" s="1488"/>
      <c r="AY1429" s="1488"/>
    </row>
    <row r="1430" spans="3:51" s="1502" customFormat="1">
      <c r="C1430" s="1498"/>
      <c r="D1430" s="1501"/>
      <c r="E1430" s="1500"/>
      <c r="F1430" s="814"/>
      <c r="G1430" s="1494"/>
      <c r="H1430" s="1493"/>
      <c r="I1430" s="1493"/>
      <c r="J1430" s="813"/>
      <c r="K1430" s="814"/>
      <c r="L1430" s="1499"/>
      <c r="M1430" s="1488"/>
      <c r="N1430" s="1488"/>
      <c r="O1430" s="1488"/>
      <c r="P1430" s="1488"/>
      <c r="Q1430" s="1489"/>
      <c r="R1430" s="1489"/>
      <c r="S1430" s="1489"/>
      <c r="T1430" s="1489"/>
      <c r="U1430" s="1489"/>
      <c r="V1430" s="1489"/>
      <c r="W1430" s="1489"/>
      <c r="X1430" s="1489"/>
      <c r="Y1430" s="1489"/>
      <c r="Z1430" s="1489"/>
      <c r="AA1430" s="1489"/>
      <c r="AB1430" s="1489"/>
      <c r="AC1430" s="1489"/>
      <c r="AD1430" s="1489"/>
      <c r="AE1430" s="1489"/>
      <c r="AF1430" s="1489"/>
      <c r="AG1430" s="1489"/>
      <c r="AH1430" s="1489"/>
      <c r="AI1430" s="1489"/>
      <c r="AJ1430" s="1489"/>
      <c r="AK1430" s="1489"/>
      <c r="AL1430" s="1489"/>
      <c r="AM1430" s="1489"/>
      <c r="AN1430" s="1489"/>
      <c r="AO1430" s="1489"/>
      <c r="AP1430" s="1489"/>
      <c r="AQ1430" s="1489"/>
      <c r="AR1430" s="1488"/>
      <c r="AS1430" s="1488"/>
      <c r="AT1430" s="1488"/>
      <c r="AU1430" s="1488"/>
      <c r="AV1430" s="1488"/>
      <c r="AW1430" s="1488"/>
      <c r="AX1430" s="1488"/>
      <c r="AY1430" s="1488"/>
    </row>
    <row r="1431" spans="3:51">
      <c r="D1431" s="1501"/>
      <c r="E1431" s="1500"/>
      <c r="F1431" s="814"/>
      <c r="J1431" s="813"/>
      <c r="K1431" s="814"/>
      <c r="L1431" s="1499"/>
      <c r="M1431" s="1488"/>
      <c r="N1431" s="1488"/>
      <c r="O1431" s="1488"/>
      <c r="P1431" s="1488"/>
    </row>
    <row r="1432" spans="3:51">
      <c r="N1432" s="1488"/>
      <c r="O1432" s="1488"/>
      <c r="P1432" s="1488"/>
    </row>
  </sheetData>
  <sheetProtection formatCells="0" formatColumns="0" formatRows="0"/>
  <dataConsolidate/>
  <mergeCells count="5">
    <mergeCell ref="P6:S10"/>
    <mergeCell ref="C12:C13"/>
    <mergeCell ref="D12:D13"/>
    <mergeCell ref="J12:L12"/>
    <mergeCell ref="E12:I12"/>
  </mergeCells>
  <pageMargins left="0.75" right="0.75" top="1" bottom="1" header="0.5" footer="0.5"/>
  <pageSetup scale="58" fitToHeight="2" orientation="portrait" r:id="rId1"/>
  <headerFooter alignWithMargins="0">
    <oddFooter>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6600"/>
    <pageSetUpPr fitToPage="1"/>
  </sheetPr>
  <dimension ref="A1:AH181"/>
  <sheetViews>
    <sheetView showGridLines="0" view="pageBreakPreview" zoomScale="90" zoomScaleNormal="55" zoomScaleSheetLayoutView="90" workbookViewId="0">
      <selection activeCell="G3" sqref="G3"/>
    </sheetView>
  </sheetViews>
  <sheetFormatPr defaultRowHeight="12.75"/>
  <cols>
    <col min="1" max="1" width="9.140625" style="1324"/>
    <col min="2" max="2" width="20" style="1324" customWidth="1"/>
    <col min="3" max="3" width="16.85546875" style="1324" customWidth="1"/>
    <col min="4" max="6" width="15.7109375" style="1324" customWidth="1"/>
    <col min="7" max="7" width="12.42578125" style="1324" customWidth="1"/>
    <col min="8" max="10" width="15" style="1324" customWidth="1"/>
    <col min="11" max="11" width="10" style="1324" customWidth="1"/>
    <col min="12" max="12" width="23.28515625" style="1324" customWidth="1"/>
    <col min="13" max="13" width="11.5703125" style="1324" customWidth="1"/>
    <col min="14" max="15" width="5.7109375" style="1324" customWidth="1"/>
    <col min="16" max="16" width="17.28515625" style="1324" customWidth="1"/>
    <col min="17" max="17" width="20.28515625" style="1324" customWidth="1"/>
    <col min="18" max="18" width="11.140625" style="1324" bestFit="1" customWidth="1"/>
    <col min="19" max="20" width="9.140625" style="1324"/>
    <col min="21" max="21" width="9.140625" style="1324" hidden="1" customWidth="1"/>
    <col min="22" max="16384" width="9.140625" style="1324"/>
  </cols>
  <sheetData>
    <row r="1" spans="1:34" ht="26.25" customHeight="1">
      <c r="A1" s="1534" t="s">
        <v>1408</v>
      </c>
      <c r="B1" s="1138"/>
      <c r="C1" s="1137"/>
      <c r="D1" s="1138"/>
      <c r="E1" s="1138"/>
      <c r="F1" s="1140"/>
      <c r="G1" s="1138"/>
      <c r="H1" s="1138"/>
      <c r="I1" s="1138"/>
      <c r="J1" s="1138"/>
      <c r="K1" s="790"/>
      <c r="L1" s="790"/>
      <c r="M1" s="790"/>
    </row>
    <row r="2" spans="1:34" ht="26.25" customHeight="1">
      <c r="B2" s="1138"/>
      <c r="C2" s="1137" t="s">
        <v>1409</v>
      </c>
      <c r="D2" s="1138"/>
      <c r="E2" s="1138"/>
      <c r="F2" s="1140"/>
      <c r="G2" s="1138"/>
      <c r="H2" s="1138"/>
      <c r="I2" s="1138"/>
      <c r="J2" s="1138"/>
      <c r="K2" s="790"/>
      <c r="L2" s="790"/>
      <c r="M2" s="790"/>
    </row>
    <row r="3" spans="1:34" ht="26.25" customHeight="1">
      <c r="B3" s="1138"/>
      <c r="C3" s="1139" t="s">
        <v>368</v>
      </c>
      <c r="D3" s="1139">
        <f>'Project Info'!C3</f>
        <v>0</v>
      </c>
      <c r="E3" s="1138"/>
      <c r="F3" s="1140"/>
      <c r="G3" s="1138"/>
      <c r="H3" s="1138"/>
      <c r="I3" s="1138"/>
      <c r="J3" s="1138"/>
      <c r="K3" s="790"/>
      <c r="L3" s="790"/>
      <c r="M3" s="790"/>
    </row>
    <row r="4" spans="1:34" ht="26.25" customHeight="1">
      <c r="A4" s="1430"/>
      <c r="B4" s="1138"/>
      <c r="C4" s="1138"/>
      <c r="D4" s="1138"/>
      <c r="E4" s="1139"/>
      <c r="F4" s="1138"/>
      <c r="G4" s="1140"/>
      <c r="H4" s="1138"/>
      <c r="I4" s="1138"/>
      <c r="J4" s="1138"/>
      <c r="K4" s="1138"/>
      <c r="L4" s="1138"/>
      <c r="M4" s="1138"/>
      <c r="N4" s="795"/>
      <c r="O4" s="795"/>
      <c r="P4" s="795"/>
      <c r="Q4" s="795"/>
      <c r="R4" s="1430"/>
    </row>
    <row r="5" spans="1:34" s="1532" customFormat="1" ht="15.75">
      <c r="A5" s="1533"/>
      <c r="B5" s="1141" t="s">
        <v>1410</v>
      </c>
      <c r="C5" s="1142"/>
      <c r="D5" s="1143"/>
      <c r="E5" s="1142"/>
      <c r="F5" s="1337"/>
      <c r="G5" s="2666"/>
      <c r="H5" s="2666"/>
      <c r="I5" s="2666"/>
      <c r="J5" s="2666"/>
      <c r="K5" s="2666"/>
      <c r="L5" s="2666"/>
      <c r="M5" s="2666"/>
      <c r="N5" s="1395"/>
      <c r="O5" s="1395"/>
      <c r="P5" s="1352" t="s">
        <v>1411</v>
      </c>
      <c r="Q5" s="1352" t="s">
        <v>1412</v>
      </c>
      <c r="R5" s="1533"/>
      <c r="S5" s="1533"/>
      <c r="T5" s="1533"/>
      <c r="U5" s="1533"/>
      <c r="V5" s="1533"/>
      <c r="W5" s="1533"/>
      <c r="X5" s="1533"/>
      <c r="Y5" s="1533"/>
      <c r="Z5" s="1533"/>
      <c r="AA5" s="1533"/>
      <c r="AB5" s="1533"/>
      <c r="AC5" s="1533"/>
      <c r="AD5" s="1533"/>
      <c r="AE5" s="1533"/>
      <c r="AF5" s="1533"/>
      <c r="AG5" s="1533"/>
      <c r="AH5" s="1533"/>
    </row>
    <row r="6" spans="1:34">
      <c r="A6" s="1430"/>
      <c r="B6" s="1144"/>
      <c r="C6" s="1144"/>
      <c r="D6" s="1144"/>
      <c r="E6" s="1144"/>
      <c r="F6" s="1144"/>
      <c r="G6" s="1144"/>
      <c r="H6" s="1144"/>
      <c r="I6" s="1144"/>
      <c r="J6" s="1144"/>
      <c r="K6" s="1144"/>
      <c r="L6" s="1144"/>
      <c r="M6" s="1144"/>
      <c r="N6" s="1531"/>
      <c r="O6" s="1531"/>
      <c r="P6" s="1349" t="s">
        <v>1413</v>
      </c>
      <c r="Q6" s="890"/>
      <c r="R6" s="1430"/>
    </row>
    <row r="7" spans="1:34">
      <c r="A7" s="1430"/>
      <c r="B7" s="1146" t="s">
        <v>1414</v>
      </c>
      <c r="C7" s="1146"/>
      <c r="D7" s="1146"/>
      <c r="E7" s="1144"/>
      <c r="F7" s="1144"/>
      <c r="G7" s="1144"/>
      <c r="H7" s="1144"/>
      <c r="I7" s="1144"/>
      <c r="J7" s="1144"/>
      <c r="K7" s="1144"/>
      <c r="L7" s="1144"/>
      <c r="M7" s="1144"/>
      <c r="N7" s="1531"/>
      <c r="O7" s="1531"/>
      <c r="P7" s="1349"/>
      <c r="Q7" s="890"/>
      <c r="R7" s="1430"/>
    </row>
    <row r="8" spans="1:34" ht="23.25" customHeight="1">
      <c r="A8" s="1430"/>
      <c r="B8" s="2671" t="s">
        <v>2115</v>
      </c>
      <c r="C8" s="2671"/>
      <c r="D8" s="2671"/>
      <c r="E8" s="2671"/>
      <c r="F8" s="2671"/>
      <c r="G8" s="2671"/>
      <c r="H8" s="2671"/>
      <c r="I8" s="2671"/>
      <c r="J8" s="2671"/>
      <c r="K8" s="2671"/>
      <c r="L8" s="2671"/>
      <c r="M8" s="1144"/>
      <c r="N8" s="1531"/>
      <c r="O8" s="1531"/>
      <c r="P8" s="1349"/>
      <c r="Q8" s="890"/>
      <c r="R8" s="1430"/>
    </row>
    <row r="9" spans="1:34" ht="30.75" customHeight="1">
      <c r="A9" s="1430"/>
      <c r="B9" s="2673" t="s">
        <v>1415</v>
      </c>
      <c r="C9" s="2673"/>
      <c r="D9" s="2673"/>
      <c r="E9" s="2673"/>
      <c r="F9" s="2673"/>
      <c r="G9" s="2673"/>
      <c r="H9" s="2673"/>
      <c r="I9" s="2673"/>
      <c r="J9" s="2673"/>
      <c r="K9" s="2673"/>
      <c r="L9" s="2673"/>
      <c r="M9" s="1144"/>
      <c r="N9" s="1531"/>
      <c r="O9" s="1531"/>
      <c r="P9" s="1530"/>
      <c r="Q9" s="1529"/>
      <c r="R9" s="1430"/>
    </row>
    <row r="10" spans="1:34" ht="6.75" customHeight="1">
      <c r="B10" s="1147"/>
      <c r="C10" s="1147"/>
      <c r="D10" s="1144"/>
      <c r="E10" s="1144"/>
      <c r="F10" s="1144"/>
      <c r="G10" s="1144"/>
      <c r="H10" s="1144"/>
      <c r="I10" s="1144"/>
      <c r="J10" s="1144"/>
      <c r="K10" s="1144"/>
      <c r="L10" s="1144"/>
      <c r="M10" s="1348"/>
      <c r="N10" s="1529"/>
      <c r="O10" s="1529"/>
      <c r="P10" s="1530"/>
      <c r="Q10" s="1529"/>
    </row>
    <row r="11" spans="1:34">
      <c r="B11" s="1146" t="s">
        <v>1416</v>
      </c>
      <c r="C11" s="1146"/>
      <c r="D11" s="1146"/>
      <c r="E11" s="1144"/>
      <c r="F11" s="1144"/>
      <c r="G11" s="1144"/>
      <c r="H11" s="1144"/>
      <c r="I11" s="1144"/>
      <c r="J11" s="1144"/>
      <c r="K11" s="1144"/>
      <c r="L11" s="1144"/>
      <c r="M11" s="1348"/>
      <c r="N11" s="1529"/>
      <c r="O11" s="1529"/>
      <c r="P11" s="1530"/>
      <c r="Q11" s="1529"/>
    </row>
    <row r="12" spans="1:34">
      <c r="B12" s="1144" t="s">
        <v>1417</v>
      </c>
      <c r="C12" s="1144"/>
      <c r="D12" s="1144"/>
      <c r="E12" s="1144"/>
      <c r="F12" s="1144"/>
      <c r="G12" s="1144"/>
      <c r="H12" s="1144"/>
      <c r="I12" s="1144"/>
      <c r="J12" s="1144"/>
      <c r="K12" s="1144"/>
      <c r="L12" s="1144"/>
      <c r="M12" s="1144"/>
      <c r="N12" s="1529"/>
      <c r="O12" s="1529"/>
      <c r="P12" s="1530"/>
      <c r="Q12" s="1529"/>
    </row>
    <row r="13" spans="1:34">
      <c r="B13" s="1144" t="s">
        <v>1418</v>
      </c>
      <c r="C13" s="1144"/>
      <c r="D13" s="1144"/>
      <c r="E13" s="1144"/>
      <c r="F13" s="1144"/>
      <c r="G13" s="1144"/>
      <c r="H13" s="1144"/>
      <c r="I13" s="1144"/>
      <c r="J13" s="1144"/>
      <c r="K13" s="1144"/>
      <c r="L13" s="1144"/>
      <c r="M13" s="1144"/>
      <c r="N13" s="1529"/>
      <c r="O13" s="1529"/>
      <c r="P13" s="1529"/>
      <c r="Q13" s="1529"/>
    </row>
    <row r="14" spans="1:34">
      <c r="B14" s="1144" t="s">
        <v>1419</v>
      </c>
      <c r="C14" s="1144"/>
      <c r="D14" s="1144"/>
      <c r="E14" s="1144"/>
      <c r="F14" s="1144"/>
      <c r="G14" s="1144"/>
      <c r="H14" s="1144"/>
      <c r="I14" s="1144"/>
      <c r="J14" s="1144"/>
      <c r="K14" s="1144"/>
      <c r="L14" s="1144"/>
      <c r="M14" s="1144"/>
      <c r="N14" s="1529"/>
      <c r="O14" s="1529"/>
      <c r="P14" s="1529"/>
      <c r="Q14" s="1529"/>
    </row>
    <row r="15" spans="1:34">
      <c r="B15" s="1144"/>
      <c r="C15" s="1144"/>
      <c r="D15" s="1144"/>
      <c r="E15" s="1144"/>
      <c r="F15" s="1144"/>
      <c r="G15" s="1144"/>
      <c r="H15" s="1144"/>
      <c r="I15" s="1144"/>
      <c r="J15" s="1144"/>
      <c r="K15" s="1144"/>
      <c r="L15" s="1144"/>
      <c r="M15" s="1144"/>
      <c r="N15" s="1529"/>
      <c r="O15" s="1529"/>
      <c r="P15" s="1529"/>
      <c r="Q15" s="1529"/>
    </row>
    <row r="16" spans="1:34">
      <c r="B16" s="1148" t="s">
        <v>1420</v>
      </c>
      <c r="C16" s="1148"/>
      <c r="D16" s="1146"/>
      <c r="E16" s="1144"/>
      <c r="F16" s="1144"/>
      <c r="G16" s="1144"/>
      <c r="H16" s="1144"/>
      <c r="I16" s="1144"/>
      <c r="J16" s="1144"/>
      <c r="K16" s="1144"/>
      <c r="L16" s="1144"/>
      <c r="M16" s="1144"/>
      <c r="N16" s="1529"/>
      <c r="O16" s="1529"/>
      <c r="P16" s="1529"/>
      <c r="Q16" s="1529"/>
    </row>
    <row r="17" spans="1:19" ht="15">
      <c r="B17" s="1149" t="s">
        <v>1421</v>
      </c>
      <c r="C17" s="1149"/>
      <c r="D17" s="1144"/>
      <c r="E17" s="1144"/>
      <c r="F17" s="1144"/>
      <c r="G17" s="1144"/>
      <c r="H17" s="1144"/>
      <c r="I17" s="1144"/>
      <c r="J17" s="1144"/>
      <c r="K17" s="1144"/>
      <c r="L17" s="1144"/>
      <c r="M17" s="1144"/>
      <c r="N17" s="1529"/>
      <c r="O17" s="1529"/>
      <c r="P17" s="1529"/>
      <c r="Q17" s="1529"/>
    </row>
    <row r="18" spans="1:19">
      <c r="B18" s="1149" t="s">
        <v>1422</v>
      </c>
      <c r="C18" s="1149"/>
      <c r="D18" s="1144"/>
      <c r="E18" s="1144"/>
      <c r="F18" s="1144"/>
      <c r="G18" s="1144"/>
      <c r="H18" s="1144"/>
      <c r="I18" s="1144"/>
      <c r="J18" s="1144"/>
      <c r="K18" s="1144"/>
      <c r="L18" s="1144"/>
      <c r="M18" s="1144"/>
      <c r="N18" s="1529"/>
      <c r="O18" s="1529"/>
      <c r="P18" s="1529"/>
      <c r="Q18" s="1529"/>
    </row>
    <row r="19" spans="1:19">
      <c r="B19" s="1391" t="s">
        <v>1423</v>
      </c>
      <c r="C19" s="1391"/>
      <c r="D19" s="1391"/>
      <c r="E19" s="1144"/>
      <c r="F19" s="1144"/>
      <c r="G19" s="1144"/>
      <c r="H19" s="1144"/>
      <c r="I19" s="1144"/>
      <c r="J19" s="1144"/>
      <c r="K19" s="1144"/>
      <c r="L19" s="1144"/>
      <c r="M19" s="1144"/>
      <c r="N19" s="1529"/>
      <c r="O19" s="1529"/>
      <c r="P19" s="1529"/>
      <c r="Q19" s="1529"/>
      <c r="R19" s="1528"/>
      <c r="S19" s="1528"/>
    </row>
    <row r="20" spans="1:19">
      <c r="B20" s="1151" t="s">
        <v>1424</v>
      </c>
      <c r="C20" s="1151"/>
      <c r="D20" s="1391"/>
      <c r="E20" s="1144"/>
      <c r="F20" s="1144"/>
      <c r="G20" s="1144"/>
      <c r="H20" s="1144"/>
      <c r="I20" s="1144"/>
      <c r="J20" s="1144"/>
      <c r="K20" s="1144"/>
      <c r="L20" s="1144"/>
      <c r="M20" s="1144"/>
      <c r="N20" s="1529"/>
      <c r="O20" s="1529"/>
      <c r="P20" s="1529"/>
      <c r="Q20" s="1529"/>
      <c r="R20" s="1528"/>
      <c r="S20" s="1528"/>
    </row>
    <row r="21" spans="1:19">
      <c r="B21" s="1151" t="s">
        <v>2114</v>
      </c>
      <c r="C21" s="1151"/>
      <c r="D21" s="1391"/>
      <c r="E21" s="1144"/>
      <c r="F21" s="1144"/>
      <c r="G21" s="1144"/>
      <c r="H21" s="1144"/>
      <c r="I21" s="1144"/>
      <c r="J21" s="1144"/>
      <c r="K21" s="1144"/>
      <c r="L21" s="1144"/>
      <c r="M21" s="1144"/>
      <c r="N21" s="1529"/>
      <c r="O21" s="1529"/>
      <c r="P21" s="1529"/>
      <c r="Q21" s="1529"/>
      <c r="R21" s="1528"/>
      <c r="S21" s="1528"/>
    </row>
    <row r="22" spans="1:19">
      <c r="B22" s="1391"/>
      <c r="C22" s="1391"/>
      <c r="D22" s="1391"/>
      <c r="E22" s="1144"/>
      <c r="F22" s="1144"/>
      <c r="G22" s="1144"/>
      <c r="H22" s="1144"/>
      <c r="I22" s="1144"/>
      <c r="J22" s="1144"/>
      <c r="K22" s="1144"/>
      <c r="L22" s="1144"/>
      <c r="M22" s="1144"/>
      <c r="N22" s="1529"/>
      <c r="O22" s="1529"/>
      <c r="P22" s="1529"/>
      <c r="Q22" s="1529"/>
      <c r="R22" s="1528"/>
      <c r="S22" s="1528"/>
    </row>
    <row r="23" spans="1:19" ht="17.25" customHeight="1">
      <c r="A23" s="1430"/>
      <c r="B23" s="1391" t="s">
        <v>1425</v>
      </c>
      <c r="C23" s="1391"/>
      <c r="D23" s="1342"/>
      <c r="E23" s="1342"/>
      <c r="F23" s="1342"/>
      <c r="G23" s="1152"/>
      <c r="H23" s="1153"/>
      <c r="I23" s="1150"/>
      <c r="J23" s="790"/>
      <c r="K23" s="790"/>
      <c r="L23" s="790"/>
      <c r="M23" s="790"/>
    </row>
    <row r="24" spans="1:19" ht="28.5" customHeight="1">
      <c r="B24" s="2674" t="s">
        <v>2113</v>
      </c>
      <c r="C24" s="2674"/>
      <c r="D24" s="2675"/>
      <c r="E24" s="2675"/>
      <c r="F24" s="2675"/>
      <c r="G24" s="790"/>
      <c r="H24" s="790"/>
      <c r="I24" s="790"/>
      <c r="J24" s="790"/>
      <c r="K24" s="790"/>
      <c r="L24" s="790"/>
      <c r="M24" s="790"/>
    </row>
    <row r="25" spans="1:19" s="1526" customFormat="1" ht="78" customHeight="1">
      <c r="A25" s="1527"/>
      <c r="B25" s="1147"/>
      <c r="C25" s="1342" t="s">
        <v>1426</v>
      </c>
      <c r="D25" s="1339"/>
      <c r="E25" s="1339" t="s">
        <v>1427</v>
      </c>
      <c r="F25" s="1339" t="s">
        <v>1428</v>
      </c>
      <c r="G25" s="1154" t="s">
        <v>1429</v>
      </c>
      <c r="H25" s="1342" t="s">
        <v>1430</v>
      </c>
      <c r="I25" s="1342" t="s">
        <v>1431</v>
      </c>
      <c r="J25" s="1342" t="s">
        <v>1432</v>
      </c>
      <c r="K25" s="1339" t="s">
        <v>1433</v>
      </c>
      <c r="L25" s="1339" t="s">
        <v>1434</v>
      </c>
      <c r="M25" s="1155" t="s">
        <v>1435</v>
      </c>
      <c r="N25" s="1155" t="s">
        <v>1436</v>
      </c>
      <c r="O25" s="2667" t="s">
        <v>1437</v>
      </c>
      <c r="P25" s="2668"/>
    </row>
    <row r="26" spans="1:19" ht="70.5" customHeight="1">
      <c r="B26" s="2672" t="s">
        <v>2112</v>
      </c>
      <c r="C26" s="2676" t="str">
        <f>IF('Project Info'!C4='Project Info'!P32,'Prescriptive Path Checklist'!C12,IF('Project Info'!C4='Project Info'!P33,#REF!,"&lt;Select compliance path on the 'Project Info' tab&gt;"))</f>
        <v>When provided in common areas and/or apartments, refrigerators, dishwashers, clothes washers, ceiling fans and vending machines must be ENERGY STAR certified.</v>
      </c>
      <c r="D26" s="891" t="s">
        <v>384</v>
      </c>
      <c r="E26" s="1384">
        <f>ERMs!B12</f>
        <v>0</v>
      </c>
      <c r="F26" s="892"/>
      <c r="G26" s="1376"/>
      <c r="H26" s="1377"/>
      <c r="I26" s="1376"/>
      <c r="J26" s="1381"/>
      <c r="K26" s="1388"/>
      <c r="L26" s="1359"/>
      <c r="M26" s="1388"/>
      <c r="N26" s="1346"/>
      <c r="O26" s="2677"/>
      <c r="P26" s="2678"/>
    </row>
    <row r="27" spans="1:19" ht="52.5" customHeight="1">
      <c r="B27" s="2672"/>
      <c r="C27" s="2676"/>
      <c r="D27" s="891" t="s">
        <v>458</v>
      </c>
      <c r="E27" s="1384">
        <f>ERMs!B13</f>
        <v>0</v>
      </c>
      <c r="F27" s="892"/>
      <c r="G27" s="1376"/>
      <c r="H27" s="1377"/>
      <c r="I27" s="1376"/>
      <c r="J27" s="1381"/>
      <c r="K27" s="1388"/>
      <c r="L27" s="1359"/>
      <c r="M27" s="1388"/>
      <c r="N27" s="1346"/>
      <c r="O27" s="2677"/>
      <c r="P27" s="2678"/>
    </row>
    <row r="28" spans="1:19" ht="66.75" customHeight="1">
      <c r="B28" s="2672"/>
      <c r="C28" s="2676"/>
      <c r="D28" s="891" t="s">
        <v>1438</v>
      </c>
      <c r="E28" s="1384">
        <f>ERMs!B14</f>
        <v>0</v>
      </c>
      <c r="F28" s="892"/>
      <c r="G28" s="1376"/>
      <c r="H28" s="1377"/>
      <c r="I28" s="1376"/>
      <c r="J28" s="1381"/>
      <c r="K28" s="1388"/>
      <c r="L28" s="1359"/>
      <c r="M28" s="1388"/>
      <c r="N28" s="1346"/>
      <c r="O28" s="2669"/>
      <c r="P28" s="2670"/>
    </row>
    <row r="29" spans="1:19" ht="66.75" customHeight="1">
      <c r="B29" s="2672"/>
      <c r="C29" s="2676"/>
      <c r="D29" s="891" t="s">
        <v>459</v>
      </c>
      <c r="E29" s="1384">
        <f>ERMs!B15</f>
        <v>0</v>
      </c>
      <c r="F29" s="892"/>
      <c r="G29" s="1376"/>
      <c r="H29" s="1377"/>
      <c r="I29" s="1376"/>
      <c r="J29" s="1381"/>
      <c r="K29" s="1388"/>
      <c r="L29" s="1359"/>
      <c r="M29" s="1388"/>
      <c r="N29" s="1346"/>
      <c r="O29" s="2669"/>
      <c r="P29" s="2670"/>
    </row>
    <row r="30" spans="1:19" ht="66.75" customHeight="1">
      <c r="B30" s="2672"/>
      <c r="C30" s="2676"/>
      <c r="D30" s="891" t="s">
        <v>365</v>
      </c>
      <c r="E30" s="1384">
        <f>ERMs!B16</f>
        <v>0</v>
      </c>
      <c r="F30" s="892"/>
      <c r="G30" s="1376"/>
      <c r="H30" s="1377"/>
      <c r="I30" s="1376"/>
      <c r="J30" s="1381"/>
      <c r="K30" s="1388"/>
      <c r="L30" s="1359"/>
      <c r="M30" s="1388"/>
      <c r="N30" s="1346"/>
      <c r="O30" s="2669"/>
      <c r="P30" s="2670"/>
    </row>
    <row r="31" spans="1:19" s="1526" customFormat="1" ht="78" customHeight="1">
      <c r="A31" s="1527"/>
      <c r="B31" s="1339" t="s">
        <v>1439</v>
      </c>
      <c r="C31" s="1339"/>
      <c r="D31" s="1339"/>
      <c r="E31" s="1339" t="s">
        <v>1427</v>
      </c>
      <c r="F31" s="2679" t="s">
        <v>1433</v>
      </c>
      <c r="G31" s="2679"/>
      <c r="H31" s="2679"/>
      <c r="I31" s="2679"/>
      <c r="J31" s="2679"/>
      <c r="K31" s="2679"/>
      <c r="L31" s="1339" t="s">
        <v>1434</v>
      </c>
      <c r="M31" s="1155" t="s">
        <v>1435</v>
      </c>
      <c r="N31" s="1155" t="s">
        <v>1436</v>
      </c>
      <c r="O31" s="2667" t="s">
        <v>1437</v>
      </c>
      <c r="P31" s="2668"/>
    </row>
    <row r="32" spans="1:19" ht="33.75" customHeight="1">
      <c r="A32" s="1525"/>
      <c r="B32" s="2680" t="s">
        <v>1440</v>
      </c>
      <c r="C32" s="2681"/>
      <c r="D32" s="2681"/>
      <c r="E32" s="1384">
        <f>ERMs!B17</f>
        <v>0</v>
      </c>
      <c r="F32" s="2684"/>
      <c r="G32" s="2685"/>
      <c r="H32" s="2685"/>
      <c r="I32" s="2685"/>
      <c r="J32" s="2685"/>
      <c r="K32" s="2685"/>
      <c r="L32" s="1359"/>
      <c r="M32" s="1388"/>
      <c r="N32" s="1346"/>
      <c r="O32" s="2669"/>
      <c r="P32" s="2670"/>
    </row>
    <row r="33" spans="1:21" ht="44.25" customHeight="1">
      <c r="A33" s="1525"/>
      <c r="B33" s="2682" t="s">
        <v>1441</v>
      </c>
      <c r="C33" s="2683"/>
      <c r="D33" s="2683"/>
      <c r="E33" s="2683"/>
      <c r="F33" s="2683"/>
      <c r="G33" s="2683"/>
      <c r="H33" s="2683"/>
      <c r="I33" s="2683"/>
      <c r="J33" s="2683"/>
      <c r="K33" s="2683"/>
      <c r="L33" s="2683"/>
      <c r="M33" s="2683"/>
      <c r="N33" s="2683"/>
      <c r="O33" s="1341"/>
      <c r="P33" s="2669"/>
      <c r="Q33" s="2670"/>
    </row>
    <row r="34" spans="1:21" ht="25.5">
      <c r="D34" s="1524"/>
      <c r="E34" s="1426"/>
    </row>
    <row r="35" spans="1:21" ht="25.5">
      <c r="D35" s="1524"/>
      <c r="E35" s="1426"/>
      <c r="U35" s="1426" t="s">
        <v>362</v>
      </c>
    </row>
    <row r="36" spans="1:21">
      <c r="U36" s="1426" t="s">
        <v>364</v>
      </c>
    </row>
    <row r="37" spans="1:21">
      <c r="U37" s="1426" t="s">
        <v>363</v>
      </c>
    </row>
    <row r="181" spans="2:2" ht="18">
      <c r="B181" s="794"/>
    </row>
  </sheetData>
  <sheetProtection formatCells="0" formatColumns="0" formatRows="0" insertColumns="0" insertRows="0"/>
  <mergeCells count="19">
    <mergeCell ref="F31:K31"/>
    <mergeCell ref="O31:P31"/>
    <mergeCell ref="B32:D32"/>
    <mergeCell ref="P33:Q33"/>
    <mergeCell ref="B33:N33"/>
    <mergeCell ref="F32:K32"/>
    <mergeCell ref="O32:P32"/>
    <mergeCell ref="G5:M5"/>
    <mergeCell ref="O25:P25"/>
    <mergeCell ref="O28:P28"/>
    <mergeCell ref="B8:L8"/>
    <mergeCell ref="B26:B30"/>
    <mergeCell ref="O30:P30"/>
    <mergeCell ref="B9:L9"/>
    <mergeCell ref="B24:F24"/>
    <mergeCell ref="C26:C30"/>
    <mergeCell ref="O26:P26"/>
    <mergeCell ref="O27:P27"/>
    <mergeCell ref="O29:P29"/>
  </mergeCells>
  <dataValidations count="2">
    <dataValidation type="list" allowBlank="1" showInputMessage="1" showErrorMessage="1" sqref="M26:N30 JI26:JJ30 TE26:TF30 ADA26:ADB30 AMW26:AMX30 AWS26:AWT30 BGO26:BGP30 BQK26:BQL30 CAG26:CAH30 CKC26:CKD30 CTY26:CTZ30 DDU26:DDV30 DNQ26:DNR30 DXM26:DXN30 EHI26:EHJ30 ERE26:ERF30 FBA26:FBB30 FKW26:FKX30 FUS26:FUT30 GEO26:GEP30 GOK26:GOL30 GYG26:GYH30 HIC26:HID30 HRY26:HRZ30 IBU26:IBV30 ILQ26:ILR30 IVM26:IVN30 JFI26:JFJ30 JPE26:JPF30 JZA26:JZB30 KIW26:KIX30 KSS26:KST30 LCO26:LCP30 LMK26:LML30 LWG26:LWH30 MGC26:MGD30 MPY26:MPZ30 MZU26:MZV30 NJQ26:NJR30 NTM26:NTN30 ODI26:ODJ30 ONE26:ONF30 OXA26:OXB30 PGW26:PGX30 PQS26:PQT30 QAO26:QAP30 QKK26:QKL30 QUG26:QUH30 REC26:RED30 RNY26:RNZ30 RXU26:RXV30 SHQ26:SHR30 SRM26:SRN30 TBI26:TBJ30 TLE26:TLF30 TVA26:TVB30 UEW26:UEX30 UOS26:UOT30 UYO26:UYP30 VIK26:VIL30 VSG26:VSH30 WCC26:WCD30 WLY26:WLZ30 WVU26:WVV30 M65562:N65566 JI65562:JJ65566 TE65562:TF65566 ADA65562:ADB65566 AMW65562:AMX65566 AWS65562:AWT65566 BGO65562:BGP65566 BQK65562:BQL65566 CAG65562:CAH65566 CKC65562:CKD65566 CTY65562:CTZ65566 DDU65562:DDV65566 DNQ65562:DNR65566 DXM65562:DXN65566 EHI65562:EHJ65566 ERE65562:ERF65566 FBA65562:FBB65566 FKW65562:FKX65566 FUS65562:FUT65566 GEO65562:GEP65566 GOK65562:GOL65566 GYG65562:GYH65566 HIC65562:HID65566 HRY65562:HRZ65566 IBU65562:IBV65566 ILQ65562:ILR65566 IVM65562:IVN65566 JFI65562:JFJ65566 JPE65562:JPF65566 JZA65562:JZB65566 KIW65562:KIX65566 KSS65562:KST65566 LCO65562:LCP65566 LMK65562:LML65566 LWG65562:LWH65566 MGC65562:MGD65566 MPY65562:MPZ65566 MZU65562:MZV65566 NJQ65562:NJR65566 NTM65562:NTN65566 ODI65562:ODJ65566 ONE65562:ONF65566 OXA65562:OXB65566 PGW65562:PGX65566 PQS65562:PQT65566 QAO65562:QAP65566 QKK65562:QKL65566 QUG65562:QUH65566 REC65562:RED65566 RNY65562:RNZ65566 RXU65562:RXV65566 SHQ65562:SHR65566 SRM65562:SRN65566 TBI65562:TBJ65566 TLE65562:TLF65566 TVA65562:TVB65566 UEW65562:UEX65566 UOS65562:UOT65566 UYO65562:UYP65566 VIK65562:VIL65566 VSG65562:VSH65566 WCC65562:WCD65566 WLY65562:WLZ65566 WVU65562:WVV65566 M131098:N131102 JI131098:JJ131102 TE131098:TF131102 ADA131098:ADB131102 AMW131098:AMX131102 AWS131098:AWT131102 BGO131098:BGP131102 BQK131098:BQL131102 CAG131098:CAH131102 CKC131098:CKD131102 CTY131098:CTZ131102 DDU131098:DDV131102 DNQ131098:DNR131102 DXM131098:DXN131102 EHI131098:EHJ131102 ERE131098:ERF131102 FBA131098:FBB131102 FKW131098:FKX131102 FUS131098:FUT131102 GEO131098:GEP131102 GOK131098:GOL131102 GYG131098:GYH131102 HIC131098:HID131102 HRY131098:HRZ131102 IBU131098:IBV131102 ILQ131098:ILR131102 IVM131098:IVN131102 JFI131098:JFJ131102 JPE131098:JPF131102 JZA131098:JZB131102 KIW131098:KIX131102 KSS131098:KST131102 LCO131098:LCP131102 LMK131098:LML131102 LWG131098:LWH131102 MGC131098:MGD131102 MPY131098:MPZ131102 MZU131098:MZV131102 NJQ131098:NJR131102 NTM131098:NTN131102 ODI131098:ODJ131102 ONE131098:ONF131102 OXA131098:OXB131102 PGW131098:PGX131102 PQS131098:PQT131102 QAO131098:QAP131102 QKK131098:QKL131102 QUG131098:QUH131102 REC131098:RED131102 RNY131098:RNZ131102 RXU131098:RXV131102 SHQ131098:SHR131102 SRM131098:SRN131102 TBI131098:TBJ131102 TLE131098:TLF131102 TVA131098:TVB131102 UEW131098:UEX131102 UOS131098:UOT131102 UYO131098:UYP131102 VIK131098:VIL131102 VSG131098:VSH131102 WCC131098:WCD131102 WLY131098:WLZ131102 WVU131098:WVV131102 M196634:N196638 JI196634:JJ196638 TE196634:TF196638 ADA196634:ADB196638 AMW196634:AMX196638 AWS196634:AWT196638 BGO196634:BGP196638 BQK196634:BQL196638 CAG196634:CAH196638 CKC196634:CKD196638 CTY196634:CTZ196638 DDU196634:DDV196638 DNQ196634:DNR196638 DXM196634:DXN196638 EHI196634:EHJ196638 ERE196634:ERF196638 FBA196634:FBB196638 FKW196634:FKX196638 FUS196634:FUT196638 GEO196634:GEP196638 GOK196634:GOL196638 GYG196634:GYH196638 HIC196634:HID196638 HRY196634:HRZ196638 IBU196634:IBV196638 ILQ196634:ILR196638 IVM196634:IVN196638 JFI196634:JFJ196638 JPE196634:JPF196638 JZA196634:JZB196638 KIW196634:KIX196638 KSS196634:KST196638 LCO196634:LCP196638 LMK196634:LML196638 LWG196634:LWH196638 MGC196634:MGD196638 MPY196634:MPZ196638 MZU196634:MZV196638 NJQ196634:NJR196638 NTM196634:NTN196638 ODI196634:ODJ196638 ONE196634:ONF196638 OXA196634:OXB196638 PGW196634:PGX196638 PQS196634:PQT196638 QAO196634:QAP196638 QKK196634:QKL196638 QUG196634:QUH196638 REC196634:RED196638 RNY196634:RNZ196638 RXU196634:RXV196638 SHQ196634:SHR196638 SRM196634:SRN196638 TBI196634:TBJ196638 TLE196634:TLF196638 TVA196634:TVB196638 UEW196634:UEX196638 UOS196634:UOT196638 UYO196634:UYP196638 VIK196634:VIL196638 VSG196634:VSH196638 WCC196634:WCD196638 WLY196634:WLZ196638 WVU196634:WVV196638 M262170:N262174 JI262170:JJ262174 TE262170:TF262174 ADA262170:ADB262174 AMW262170:AMX262174 AWS262170:AWT262174 BGO262170:BGP262174 BQK262170:BQL262174 CAG262170:CAH262174 CKC262170:CKD262174 CTY262170:CTZ262174 DDU262170:DDV262174 DNQ262170:DNR262174 DXM262170:DXN262174 EHI262170:EHJ262174 ERE262170:ERF262174 FBA262170:FBB262174 FKW262170:FKX262174 FUS262170:FUT262174 GEO262170:GEP262174 GOK262170:GOL262174 GYG262170:GYH262174 HIC262170:HID262174 HRY262170:HRZ262174 IBU262170:IBV262174 ILQ262170:ILR262174 IVM262170:IVN262174 JFI262170:JFJ262174 JPE262170:JPF262174 JZA262170:JZB262174 KIW262170:KIX262174 KSS262170:KST262174 LCO262170:LCP262174 LMK262170:LML262174 LWG262170:LWH262174 MGC262170:MGD262174 MPY262170:MPZ262174 MZU262170:MZV262174 NJQ262170:NJR262174 NTM262170:NTN262174 ODI262170:ODJ262174 ONE262170:ONF262174 OXA262170:OXB262174 PGW262170:PGX262174 PQS262170:PQT262174 QAO262170:QAP262174 QKK262170:QKL262174 QUG262170:QUH262174 REC262170:RED262174 RNY262170:RNZ262174 RXU262170:RXV262174 SHQ262170:SHR262174 SRM262170:SRN262174 TBI262170:TBJ262174 TLE262170:TLF262174 TVA262170:TVB262174 UEW262170:UEX262174 UOS262170:UOT262174 UYO262170:UYP262174 VIK262170:VIL262174 VSG262170:VSH262174 WCC262170:WCD262174 WLY262170:WLZ262174 WVU262170:WVV262174 M327706:N327710 JI327706:JJ327710 TE327706:TF327710 ADA327706:ADB327710 AMW327706:AMX327710 AWS327706:AWT327710 BGO327706:BGP327710 BQK327706:BQL327710 CAG327706:CAH327710 CKC327706:CKD327710 CTY327706:CTZ327710 DDU327706:DDV327710 DNQ327706:DNR327710 DXM327706:DXN327710 EHI327706:EHJ327710 ERE327706:ERF327710 FBA327706:FBB327710 FKW327706:FKX327710 FUS327706:FUT327710 GEO327706:GEP327710 GOK327706:GOL327710 GYG327706:GYH327710 HIC327706:HID327710 HRY327706:HRZ327710 IBU327706:IBV327710 ILQ327706:ILR327710 IVM327706:IVN327710 JFI327706:JFJ327710 JPE327706:JPF327710 JZA327706:JZB327710 KIW327706:KIX327710 KSS327706:KST327710 LCO327706:LCP327710 LMK327706:LML327710 LWG327706:LWH327710 MGC327706:MGD327710 MPY327706:MPZ327710 MZU327706:MZV327710 NJQ327706:NJR327710 NTM327706:NTN327710 ODI327706:ODJ327710 ONE327706:ONF327710 OXA327706:OXB327710 PGW327706:PGX327710 PQS327706:PQT327710 QAO327706:QAP327710 QKK327706:QKL327710 QUG327706:QUH327710 REC327706:RED327710 RNY327706:RNZ327710 RXU327706:RXV327710 SHQ327706:SHR327710 SRM327706:SRN327710 TBI327706:TBJ327710 TLE327706:TLF327710 TVA327706:TVB327710 UEW327706:UEX327710 UOS327706:UOT327710 UYO327706:UYP327710 VIK327706:VIL327710 VSG327706:VSH327710 WCC327706:WCD327710 WLY327706:WLZ327710 WVU327706:WVV327710 M393242:N393246 JI393242:JJ393246 TE393242:TF393246 ADA393242:ADB393246 AMW393242:AMX393246 AWS393242:AWT393246 BGO393242:BGP393246 BQK393242:BQL393246 CAG393242:CAH393246 CKC393242:CKD393246 CTY393242:CTZ393246 DDU393242:DDV393246 DNQ393242:DNR393246 DXM393242:DXN393246 EHI393242:EHJ393246 ERE393242:ERF393246 FBA393242:FBB393246 FKW393242:FKX393246 FUS393242:FUT393246 GEO393242:GEP393246 GOK393242:GOL393246 GYG393242:GYH393246 HIC393242:HID393246 HRY393242:HRZ393246 IBU393242:IBV393246 ILQ393242:ILR393246 IVM393242:IVN393246 JFI393242:JFJ393246 JPE393242:JPF393246 JZA393242:JZB393246 KIW393242:KIX393246 KSS393242:KST393246 LCO393242:LCP393246 LMK393242:LML393246 LWG393242:LWH393246 MGC393242:MGD393246 MPY393242:MPZ393246 MZU393242:MZV393246 NJQ393242:NJR393246 NTM393242:NTN393246 ODI393242:ODJ393246 ONE393242:ONF393246 OXA393242:OXB393246 PGW393242:PGX393246 PQS393242:PQT393246 QAO393242:QAP393246 QKK393242:QKL393246 QUG393242:QUH393246 REC393242:RED393246 RNY393242:RNZ393246 RXU393242:RXV393246 SHQ393242:SHR393246 SRM393242:SRN393246 TBI393242:TBJ393246 TLE393242:TLF393246 TVA393242:TVB393246 UEW393242:UEX393246 UOS393242:UOT393246 UYO393242:UYP393246 VIK393242:VIL393246 VSG393242:VSH393246 WCC393242:WCD393246 WLY393242:WLZ393246 WVU393242:WVV393246 M458778:N458782 JI458778:JJ458782 TE458778:TF458782 ADA458778:ADB458782 AMW458778:AMX458782 AWS458778:AWT458782 BGO458778:BGP458782 BQK458778:BQL458782 CAG458778:CAH458782 CKC458778:CKD458782 CTY458778:CTZ458782 DDU458778:DDV458782 DNQ458778:DNR458782 DXM458778:DXN458782 EHI458778:EHJ458782 ERE458778:ERF458782 FBA458778:FBB458782 FKW458778:FKX458782 FUS458778:FUT458782 GEO458778:GEP458782 GOK458778:GOL458782 GYG458778:GYH458782 HIC458778:HID458782 HRY458778:HRZ458782 IBU458778:IBV458782 ILQ458778:ILR458782 IVM458778:IVN458782 JFI458778:JFJ458782 JPE458778:JPF458782 JZA458778:JZB458782 KIW458778:KIX458782 KSS458778:KST458782 LCO458778:LCP458782 LMK458778:LML458782 LWG458778:LWH458782 MGC458778:MGD458782 MPY458778:MPZ458782 MZU458778:MZV458782 NJQ458778:NJR458782 NTM458778:NTN458782 ODI458778:ODJ458782 ONE458778:ONF458782 OXA458778:OXB458782 PGW458778:PGX458782 PQS458778:PQT458782 QAO458778:QAP458782 QKK458778:QKL458782 QUG458778:QUH458782 REC458778:RED458782 RNY458778:RNZ458782 RXU458778:RXV458782 SHQ458778:SHR458782 SRM458778:SRN458782 TBI458778:TBJ458782 TLE458778:TLF458782 TVA458778:TVB458782 UEW458778:UEX458782 UOS458778:UOT458782 UYO458778:UYP458782 VIK458778:VIL458782 VSG458778:VSH458782 WCC458778:WCD458782 WLY458778:WLZ458782 WVU458778:WVV458782 M524314:N524318 JI524314:JJ524318 TE524314:TF524318 ADA524314:ADB524318 AMW524314:AMX524318 AWS524314:AWT524318 BGO524314:BGP524318 BQK524314:BQL524318 CAG524314:CAH524318 CKC524314:CKD524318 CTY524314:CTZ524318 DDU524314:DDV524318 DNQ524314:DNR524318 DXM524314:DXN524318 EHI524314:EHJ524318 ERE524314:ERF524318 FBA524314:FBB524318 FKW524314:FKX524318 FUS524314:FUT524318 GEO524314:GEP524318 GOK524314:GOL524318 GYG524314:GYH524318 HIC524314:HID524318 HRY524314:HRZ524318 IBU524314:IBV524318 ILQ524314:ILR524318 IVM524314:IVN524318 JFI524314:JFJ524318 JPE524314:JPF524318 JZA524314:JZB524318 KIW524314:KIX524318 KSS524314:KST524318 LCO524314:LCP524318 LMK524314:LML524318 LWG524314:LWH524318 MGC524314:MGD524318 MPY524314:MPZ524318 MZU524314:MZV524318 NJQ524314:NJR524318 NTM524314:NTN524318 ODI524314:ODJ524318 ONE524314:ONF524318 OXA524314:OXB524318 PGW524314:PGX524318 PQS524314:PQT524318 QAO524314:QAP524318 QKK524314:QKL524318 QUG524314:QUH524318 REC524314:RED524318 RNY524314:RNZ524318 RXU524314:RXV524318 SHQ524314:SHR524318 SRM524314:SRN524318 TBI524314:TBJ524318 TLE524314:TLF524318 TVA524314:TVB524318 UEW524314:UEX524318 UOS524314:UOT524318 UYO524314:UYP524318 VIK524314:VIL524318 VSG524314:VSH524318 WCC524314:WCD524318 WLY524314:WLZ524318 WVU524314:WVV524318 M589850:N589854 JI589850:JJ589854 TE589850:TF589854 ADA589850:ADB589854 AMW589850:AMX589854 AWS589850:AWT589854 BGO589850:BGP589854 BQK589850:BQL589854 CAG589850:CAH589854 CKC589850:CKD589854 CTY589850:CTZ589854 DDU589850:DDV589854 DNQ589850:DNR589854 DXM589850:DXN589854 EHI589850:EHJ589854 ERE589850:ERF589854 FBA589850:FBB589854 FKW589850:FKX589854 FUS589850:FUT589854 GEO589850:GEP589854 GOK589850:GOL589854 GYG589850:GYH589854 HIC589850:HID589854 HRY589850:HRZ589854 IBU589850:IBV589854 ILQ589850:ILR589854 IVM589850:IVN589854 JFI589850:JFJ589854 JPE589850:JPF589854 JZA589850:JZB589854 KIW589850:KIX589854 KSS589850:KST589854 LCO589850:LCP589854 LMK589850:LML589854 LWG589850:LWH589854 MGC589850:MGD589854 MPY589850:MPZ589854 MZU589850:MZV589854 NJQ589850:NJR589854 NTM589850:NTN589854 ODI589850:ODJ589854 ONE589850:ONF589854 OXA589850:OXB589854 PGW589850:PGX589854 PQS589850:PQT589854 QAO589850:QAP589854 QKK589850:QKL589854 QUG589850:QUH589854 REC589850:RED589854 RNY589850:RNZ589854 RXU589850:RXV589854 SHQ589850:SHR589854 SRM589850:SRN589854 TBI589850:TBJ589854 TLE589850:TLF589854 TVA589850:TVB589854 UEW589850:UEX589854 UOS589850:UOT589854 UYO589850:UYP589854 VIK589850:VIL589854 VSG589850:VSH589854 WCC589850:WCD589854 WLY589850:WLZ589854 WVU589850:WVV589854 M655386:N655390 JI655386:JJ655390 TE655386:TF655390 ADA655386:ADB655390 AMW655386:AMX655390 AWS655386:AWT655390 BGO655386:BGP655390 BQK655386:BQL655390 CAG655386:CAH655390 CKC655386:CKD655390 CTY655386:CTZ655390 DDU655386:DDV655390 DNQ655386:DNR655390 DXM655386:DXN655390 EHI655386:EHJ655390 ERE655386:ERF655390 FBA655386:FBB655390 FKW655386:FKX655390 FUS655386:FUT655390 GEO655386:GEP655390 GOK655386:GOL655390 GYG655386:GYH655390 HIC655386:HID655390 HRY655386:HRZ655390 IBU655386:IBV655390 ILQ655386:ILR655390 IVM655386:IVN655390 JFI655386:JFJ655390 JPE655386:JPF655390 JZA655386:JZB655390 KIW655386:KIX655390 KSS655386:KST655390 LCO655386:LCP655390 LMK655386:LML655390 LWG655386:LWH655390 MGC655386:MGD655390 MPY655386:MPZ655390 MZU655386:MZV655390 NJQ655386:NJR655390 NTM655386:NTN655390 ODI655386:ODJ655390 ONE655386:ONF655390 OXA655386:OXB655390 PGW655386:PGX655390 PQS655386:PQT655390 QAO655386:QAP655390 QKK655386:QKL655390 QUG655386:QUH655390 REC655386:RED655390 RNY655386:RNZ655390 RXU655386:RXV655390 SHQ655386:SHR655390 SRM655386:SRN655390 TBI655386:TBJ655390 TLE655386:TLF655390 TVA655386:TVB655390 UEW655386:UEX655390 UOS655386:UOT655390 UYO655386:UYP655390 VIK655386:VIL655390 VSG655386:VSH655390 WCC655386:WCD655390 WLY655386:WLZ655390 WVU655386:WVV655390 M720922:N720926 JI720922:JJ720926 TE720922:TF720926 ADA720922:ADB720926 AMW720922:AMX720926 AWS720922:AWT720926 BGO720922:BGP720926 BQK720922:BQL720926 CAG720922:CAH720926 CKC720922:CKD720926 CTY720922:CTZ720926 DDU720922:DDV720926 DNQ720922:DNR720926 DXM720922:DXN720926 EHI720922:EHJ720926 ERE720922:ERF720926 FBA720922:FBB720926 FKW720922:FKX720926 FUS720922:FUT720926 GEO720922:GEP720926 GOK720922:GOL720926 GYG720922:GYH720926 HIC720922:HID720926 HRY720922:HRZ720926 IBU720922:IBV720926 ILQ720922:ILR720926 IVM720922:IVN720926 JFI720922:JFJ720926 JPE720922:JPF720926 JZA720922:JZB720926 KIW720922:KIX720926 KSS720922:KST720926 LCO720922:LCP720926 LMK720922:LML720926 LWG720922:LWH720926 MGC720922:MGD720926 MPY720922:MPZ720926 MZU720922:MZV720926 NJQ720922:NJR720926 NTM720922:NTN720926 ODI720922:ODJ720926 ONE720922:ONF720926 OXA720922:OXB720926 PGW720922:PGX720926 PQS720922:PQT720926 QAO720922:QAP720926 QKK720922:QKL720926 QUG720922:QUH720926 REC720922:RED720926 RNY720922:RNZ720926 RXU720922:RXV720926 SHQ720922:SHR720926 SRM720922:SRN720926 TBI720922:TBJ720926 TLE720922:TLF720926 TVA720922:TVB720926 UEW720922:UEX720926 UOS720922:UOT720926 UYO720922:UYP720926 VIK720922:VIL720926 VSG720922:VSH720926 WCC720922:WCD720926 WLY720922:WLZ720926 WVU720922:WVV720926 M786458:N786462 JI786458:JJ786462 TE786458:TF786462 ADA786458:ADB786462 AMW786458:AMX786462 AWS786458:AWT786462 BGO786458:BGP786462 BQK786458:BQL786462 CAG786458:CAH786462 CKC786458:CKD786462 CTY786458:CTZ786462 DDU786458:DDV786462 DNQ786458:DNR786462 DXM786458:DXN786462 EHI786458:EHJ786462 ERE786458:ERF786462 FBA786458:FBB786462 FKW786458:FKX786462 FUS786458:FUT786462 GEO786458:GEP786462 GOK786458:GOL786462 GYG786458:GYH786462 HIC786458:HID786462 HRY786458:HRZ786462 IBU786458:IBV786462 ILQ786458:ILR786462 IVM786458:IVN786462 JFI786458:JFJ786462 JPE786458:JPF786462 JZA786458:JZB786462 KIW786458:KIX786462 KSS786458:KST786462 LCO786458:LCP786462 LMK786458:LML786462 LWG786458:LWH786462 MGC786458:MGD786462 MPY786458:MPZ786462 MZU786458:MZV786462 NJQ786458:NJR786462 NTM786458:NTN786462 ODI786458:ODJ786462 ONE786458:ONF786462 OXA786458:OXB786462 PGW786458:PGX786462 PQS786458:PQT786462 QAO786458:QAP786462 QKK786458:QKL786462 QUG786458:QUH786462 REC786458:RED786462 RNY786458:RNZ786462 RXU786458:RXV786462 SHQ786458:SHR786462 SRM786458:SRN786462 TBI786458:TBJ786462 TLE786458:TLF786462 TVA786458:TVB786462 UEW786458:UEX786462 UOS786458:UOT786462 UYO786458:UYP786462 VIK786458:VIL786462 VSG786458:VSH786462 WCC786458:WCD786462 WLY786458:WLZ786462 WVU786458:WVV786462 M851994:N851998 JI851994:JJ851998 TE851994:TF851998 ADA851994:ADB851998 AMW851994:AMX851998 AWS851994:AWT851998 BGO851994:BGP851998 BQK851994:BQL851998 CAG851994:CAH851998 CKC851994:CKD851998 CTY851994:CTZ851998 DDU851994:DDV851998 DNQ851994:DNR851998 DXM851994:DXN851998 EHI851994:EHJ851998 ERE851994:ERF851998 FBA851994:FBB851998 FKW851994:FKX851998 FUS851994:FUT851998 GEO851994:GEP851998 GOK851994:GOL851998 GYG851994:GYH851998 HIC851994:HID851998 HRY851994:HRZ851998 IBU851994:IBV851998 ILQ851994:ILR851998 IVM851994:IVN851998 JFI851994:JFJ851998 JPE851994:JPF851998 JZA851994:JZB851998 KIW851994:KIX851998 KSS851994:KST851998 LCO851994:LCP851998 LMK851994:LML851998 LWG851994:LWH851998 MGC851994:MGD851998 MPY851994:MPZ851998 MZU851994:MZV851998 NJQ851994:NJR851998 NTM851994:NTN851998 ODI851994:ODJ851998 ONE851994:ONF851998 OXA851994:OXB851998 PGW851994:PGX851998 PQS851994:PQT851998 QAO851994:QAP851998 QKK851994:QKL851998 QUG851994:QUH851998 REC851994:RED851998 RNY851994:RNZ851998 RXU851994:RXV851998 SHQ851994:SHR851998 SRM851994:SRN851998 TBI851994:TBJ851998 TLE851994:TLF851998 TVA851994:TVB851998 UEW851994:UEX851998 UOS851994:UOT851998 UYO851994:UYP851998 VIK851994:VIL851998 VSG851994:VSH851998 WCC851994:WCD851998 WLY851994:WLZ851998 WVU851994:WVV851998 M917530:N917534 JI917530:JJ917534 TE917530:TF917534 ADA917530:ADB917534 AMW917530:AMX917534 AWS917530:AWT917534 BGO917530:BGP917534 BQK917530:BQL917534 CAG917530:CAH917534 CKC917530:CKD917534 CTY917530:CTZ917534 DDU917530:DDV917534 DNQ917530:DNR917534 DXM917530:DXN917534 EHI917530:EHJ917534 ERE917530:ERF917534 FBA917530:FBB917534 FKW917530:FKX917534 FUS917530:FUT917534 GEO917530:GEP917534 GOK917530:GOL917534 GYG917530:GYH917534 HIC917530:HID917534 HRY917530:HRZ917534 IBU917530:IBV917534 ILQ917530:ILR917534 IVM917530:IVN917534 JFI917530:JFJ917534 JPE917530:JPF917534 JZA917530:JZB917534 KIW917530:KIX917534 KSS917530:KST917534 LCO917530:LCP917534 LMK917530:LML917534 LWG917530:LWH917534 MGC917530:MGD917534 MPY917530:MPZ917534 MZU917530:MZV917534 NJQ917530:NJR917534 NTM917530:NTN917534 ODI917530:ODJ917534 ONE917530:ONF917534 OXA917530:OXB917534 PGW917530:PGX917534 PQS917530:PQT917534 QAO917530:QAP917534 QKK917530:QKL917534 QUG917530:QUH917534 REC917530:RED917534 RNY917530:RNZ917534 RXU917530:RXV917534 SHQ917530:SHR917534 SRM917530:SRN917534 TBI917530:TBJ917534 TLE917530:TLF917534 TVA917530:TVB917534 UEW917530:UEX917534 UOS917530:UOT917534 UYO917530:UYP917534 VIK917530:VIL917534 VSG917530:VSH917534 WCC917530:WCD917534 WLY917530:WLZ917534 WVU917530:WVV917534 M983066:N983070 JI983066:JJ983070 TE983066:TF983070 ADA983066:ADB983070 AMW983066:AMX983070 AWS983066:AWT983070 BGO983066:BGP983070 BQK983066:BQL983070 CAG983066:CAH983070 CKC983066:CKD983070 CTY983066:CTZ983070 DDU983066:DDV983070 DNQ983066:DNR983070 DXM983066:DXN983070 EHI983066:EHJ983070 ERE983066:ERF983070 FBA983066:FBB983070 FKW983066:FKX983070 FUS983066:FUT983070 GEO983066:GEP983070 GOK983066:GOL983070 GYG983066:GYH983070 HIC983066:HID983070 HRY983066:HRZ983070 IBU983066:IBV983070 ILQ983066:ILR983070 IVM983066:IVN983070 JFI983066:JFJ983070 JPE983066:JPF983070 JZA983066:JZB983070 KIW983066:KIX983070 KSS983066:KST983070 LCO983066:LCP983070 LMK983066:LML983070 LWG983066:LWH983070 MGC983066:MGD983070 MPY983066:MPZ983070 MZU983066:MZV983070 NJQ983066:NJR983070 NTM983066:NTN983070 ODI983066:ODJ983070 ONE983066:ONF983070 OXA983066:OXB983070 PGW983066:PGX983070 PQS983066:PQT983070 QAO983066:QAP983070 QKK983066:QKL983070 QUG983066:QUH983070 REC983066:RED983070 RNY983066:RNZ983070 RXU983066:RXV983070 SHQ983066:SHR983070 SRM983066:SRN983070 TBI983066:TBJ983070 TLE983066:TLF983070 TVA983066:TVB983070 UEW983066:UEX983070 UOS983066:UOT983070 UYO983066:UYP983070 VIK983066:VIL983070 VSG983066:VSH983070 WCC983066:WCD983070 WLY983066:WLZ983070 WVU983066:WVV983070 M32:N32 JI32:JJ32 TE32:TF32 ADA32:ADB32 AMW32:AMX32 AWS32:AWT32 BGO32:BGP32 BQK32:BQL32 CAG32:CAH32 CKC32:CKD32 CTY32:CTZ32 DDU32:DDV32 DNQ32:DNR32 DXM32:DXN32 EHI32:EHJ32 ERE32:ERF32 FBA32:FBB32 FKW32:FKX32 FUS32:FUT32 GEO32:GEP32 GOK32:GOL32 GYG32:GYH32 HIC32:HID32 HRY32:HRZ32 IBU32:IBV32 ILQ32:ILR32 IVM32:IVN32 JFI32:JFJ32 JPE32:JPF32 JZA32:JZB32 KIW32:KIX32 KSS32:KST32 LCO32:LCP32 LMK32:LML32 LWG32:LWH32 MGC32:MGD32 MPY32:MPZ32 MZU32:MZV32 NJQ32:NJR32 NTM32:NTN32 ODI32:ODJ32 ONE32:ONF32 OXA32:OXB32 PGW32:PGX32 PQS32:PQT32 QAO32:QAP32 QKK32:QKL32 QUG32:QUH32 REC32:RED32 RNY32:RNZ32 RXU32:RXV32 SHQ32:SHR32 SRM32:SRN32 TBI32:TBJ32 TLE32:TLF32 TVA32:TVB32 UEW32:UEX32 UOS32:UOT32 UYO32:UYP32 VIK32:VIL32 VSG32:VSH32 WCC32:WCD32 WLY32:WLZ32 WVU32:WVV32 M65568:N65568 JI65568:JJ65568 TE65568:TF65568 ADA65568:ADB65568 AMW65568:AMX65568 AWS65568:AWT65568 BGO65568:BGP65568 BQK65568:BQL65568 CAG65568:CAH65568 CKC65568:CKD65568 CTY65568:CTZ65568 DDU65568:DDV65568 DNQ65568:DNR65568 DXM65568:DXN65568 EHI65568:EHJ65568 ERE65568:ERF65568 FBA65568:FBB65568 FKW65568:FKX65568 FUS65568:FUT65568 GEO65568:GEP65568 GOK65568:GOL65568 GYG65568:GYH65568 HIC65568:HID65568 HRY65568:HRZ65568 IBU65568:IBV65568 ILQ65568:ILR65568 IVM65568:IVN65568 JFI65568:JFJ65568 JPE65568:JPF65568 JZA65568:JZB65568 KIW65568:KIX65568 KSS65568:KST65568 LCO65568:LCP65568 LMK65568:LML65568 LWG65568:LWH65568 MGC65568:MGD65568 MPY65568:MPZ65568 MZU65568:MZV65568 NJQ65568:NJR65568 NTM65568:NTN65568 ODI65568:ODJ65568 ONE65568:ONF65568 OXA65568:OXB65568 PGW65568:PGX65568 PQS65568:PQT65568 QAO65568:QAP65568 QKK65568:QKL65568 QUG65568:QUH65568 REC65568:RED65568 RNY65568:RNZ65568 RXU65568:RXV65568 SHQ65568:SHR65568 SRM65568:SRN65568 TBI65568:TBJ65568 TLE65568:TLF65568 TVA65568:TVB65568 UEW65568:UEX65568 UOS65568:UOT65568 UYO65568:UYP65568 VIK65568:VIL65568 VSG65568:VSH65568 WCC65568:WCD65568 WLY65568:WLZ65568 WVU65568:WVV65568 M131104:N131104 JI131104:JJ131104 TE131104:TF131104 ADA131104:ADB131104 AMW131104:AMX131104 AWS131104:AWT131104 BGO131104:BGP131104 BQK131104:BQL131104 CAG131104:CAH131104 CKC131104:CKD131104 CTY131104:CTZ131104 DDU131104:DDV131104 DNQ131104:DNR131104 DXM131104:DXN131104 EHI131104:EHJ131104 ERE131104:ERF131104 FBA131104:FBB131104 FKW131104:FKX131104 FUS131104:FUT131104 GEO131104:GEP131104 GOK131104:GOL131104 GYG131104:GYH131104 HIC131104:HID131104 HRY131104:HRZ131104 IBU131104:IBV131104 ILQ131104:ILR131104 IVM131104:IVN131104 JFI131104:JFJ131104 JPE131104:JPF131104 JZA131104:JZB131104 KIW131104:KIX131104 KSS131104:KST131104 LCO131104:LCP131104 LMK131104:LML131104 LWG131104:LWH131104 MGC131104:MGD131104 MPY131104:MPZ131104 MZU131104:MZV131104 NJQ131104:NJR131104 NTM131104:NTN131104 ODI131104:ODJ131104 ONE131104:ONF131104 OXA131104:OXB131104 PGW131104:PGX131104 PQS131104:PQT131104 QAO131104:QAP131104 QKK131104:QKL131104 QUG131104:QUH131104 REC131104:RED131104 RNY131104:RNZ131104 RXU131104:RXV131104 SHQ131104:SHR131104 SRM131104:SRN131104 TBI131104:TBJ131104 TLE131104:TLF131104 TVA131104:TVB131104 UEW131104:UEX131104 UOS131104:UOT131104 UYO131104:UYP131104 VIK131104:VIL131104 VSG131104:VSH131104 WCC131104:WCD131104 WLY131104:WLZ131104 WVU131104:WVV131104 M196640:N196640 JI196640:JJ196640 TE196640:TF196640 ADA196640:ADB196640 AMW196640:AMX196640 AWS196640:AWT196640 BGO196640:BGP196640 BQK196640:BQL196640 CAG196640:CAH196640 CKC196640:CKD196640 CTY196640:CTZ196640 DDU196640:DDV196640 DNQ196640:DNR196640 DXM196640:DXN196640 EHI196640:EHJ196640 ERE196640:ERF196640 FBA196640:FBB196640 FKW196640:FKX196640 FUS196640:FUT196640 GEO196640:GEP196640 GOK196640:GOL196640 GYG196640:GYH196640 HIC196640:HID196640 HRY196640:HRZ196640 IBU196640:IBV196640 ILQ196640:ILR196640 IVM196640:IVN196640 JFI196640:JFJ196640 JPE196640:JPF196640 JZA196640:JZB196640 KIW196640:KIX196640 KSS196640:KST196640 LCO196640:LCP196640 LMK196640:LML196640 LWG196640:LWH196640 MGC196640:MGD196640 MPY196640:MPZ196640 MZU196640:MZV196640 NJQ196640:NJR196640 NTM196640:NTN196640 ODI196640:ODJ196640 ONE196640:ONF196640 OXA196640:OXB196640 PGW196640:PGX196640 PQS196640:PQT196640 QAO196640:QAP196640 QKK196640:QKL196640 QUG196640:QUH196640 REC196640:RED196640 RNY196640:RNZ196640 RXU196640:RXV196640 SHQ196640:SHR196640 SRM196640:SRN196640 TBI196640:TBJ196640 TLE196640:TLF196640 TVA196640:TVB196640 UEW196640:UEX196640 UOS196640:UOT196640 UYO196640:UYP196640 VIK196640:VIL196640 VSG196640:VSH196640 WCC196640:WCD196640 WLY196640:WLZ196640 WVU196640:WVV196640 M262176:N262176 JI262176:JJ262176 TE262176:TF262176 ADA262176:ADB262176 AMW262176:AMX262176 AWS262176:AWT262176 BGO262176:BGP262176 BQK262176:BQL262176 CAG262176:CAH262176 CKC262176:CKD262176 CTY262176:CTZ262176 DDU262176:DDV262176 DNQ262176:DNR262176 DXM262176:DXN262176 EHI262176:EHJ262176 ERE262176:ERF262176 FBA262176:FBB262176 FKW262176:FKX262176 FUS262176:FUT262176 GEO262176:GEP262176 GOK262176:GOL262176 GYG262176:GYH262176 HIC262176:HID262176 HRY262176:HRZ262176 IBU262176:IBV262176 ILQ262176:ILR262176 IVM262176:IVN262176 JFI262176:JFJ262176 JPE262176:JPF262176 JZA262176:JZB262176 KIW262176:KIX262176 KSS262176:KST262176 LCO262176:LCP262176 LMK262176:LML262176 LWG262176:LWH262176 MGC262176:MGD262176 MPY262176:MPZ262176 MZU262176:MZV262176 NJQ262176:NJR262176 NTM262176:NTN262176 ODI262176:ODJ262176 ONE262176:ONF262176 OXA262176:OXB262176 PGW262176:PGX262176 PQS262176:PQT262176 QAO262176:QAP262176 QKK262176:QKL262176 QUG262176:QUH262176 REC262176:RED262176 RNY262176:RNZ262176 RXU262176:RXV262176 SHQ262176:SHR262176 SRM262176:SRN262176 TBI262176:TBJ262176 TLE262176:TLF262176 TVA262176:TVB262176 UEW262176:UEX262176 UOS262176:UOT262176 UYO262176:UYP262176 VIK262176:VIL262176 VSG262176:VSH262176 WCC262176:WCD262176 WLY262176:WLZ262176 WVU262176:WVV262176 M327712:N327712 JI327712:JJ327712 TE327712:TF327712 ADA327712:ADB327712 AMW327712:AMX327712 AWS327712:AWT327712 BGO327712:BGP327712 BQK327712:BQL327712 CAG327712:CAH327712 CKC327712:CKD327712 CTY327712:CTZ327712 DDU327712:DDV327712 DNQ327712:DNR327712 DXM327712:DXN327712 EHI327712:EHJ327712 ERE327712:ERF327712 FBA327712:FBB327712 FKW327712:FKX327712 FUS327712:FUT327712 GEO327712:GEP327712 GOK327712:GOL327712 GYG327712:GYH327712 HIC327712:HID327712 HRY327712:HRZ327712 IBU327712:IBV327712 ILQ327712:ILR327712 IVM327712:IVN327712 JFI327712:JFJ327712 JPE327712:JPF327712 JZA327712:JZB327712 KIW327712:KIX327712 KSS327712:KST327712 LCO327712:LCP327712 LMK327712:LML327712 LWG327712:LWH327712 MGC327712:MGD327712 MPY327712:MPZ327712 MZU327712:MZV327712 NJQ327712:NJR327712 NTM327712:NTN327712 ODI327712:ODJ327712 ONE327712:ONF327712 OXA327712:OXB327712 PGW327712:PGX327712 PQS327712:PQT327712 QAO327712:QAP327712 QKK327712:QKL327712 QUG327712:QUH327712 REC327712:RED327712 RNY327712:RNZ327712 RXU327712:RXV327712 SHQ327712:SHR327712 SRM327712:SRN327712 TBI327712:TBJ327712 TLE327712:TLF327712 TVA327712:TVB327712 UEW327712:UEX327712 UOS327712:UOT327712 UYO327712:UYP327712 VIK327712:VIL327712 VSG327712:VSH327712 WCC327712:WCD327712 WLY327712:WLZ327712 WVU327712:WVV327712 M393248:N393248 JI393248:JJ393248 TE393248:TF393248 ADA393248:ADB393248 AMW393248:AMX393248 AWS393248:AWT393248 BGO393248:BGP393248 BQK393248:BQL393248 CAG393248:CAH393248 CKC393248:CKD393248 CTY393248:CTZ393248 DDU393248:DDV393248 DNQ393248:DNR393248 DXM393248:DXN393248 EHI393248:EHJ393248 ERE393248:ERF393248 FBA393248:FBB393248 FKW393248:FKX393248 FUS393248:FUT393248 GEO393248:GEP393248 GOK393248:GOL393248 GYG393248:GYH393248 HIC393248:HID393248 HRY393248:HRZ393248 IBU393248:IBV393248 ILQ393248:ILR393248 IVM393248:IVN393248 JFI393248:JFJ393248 JPE393248:JPF393248 JZA393248:JZB393248 KIW393248:KIX393248 KSS393248:KST393248 LCO393248:LCP393248 LMK393248:LML393248 LWG393248:LWH393248 MGC393248:MGD393248 MPY393248:MPZ393248 MZU393248:MZV393248 NJQ393248:NJR393248 NTM393248:NTN393248 ODI393248:ODJ393248 ONE393248:ONF393248 OXA393248:OXB393248 PGW393248:PGX393248 PQS393248:PQT393248 QAO393248:QAP393248 QKK393248:QKL393248 QUG393248:QUH393248 REC393248:RED393248 RNY393248:RNZ393248 RXU393248:RXV393248 SHQ393248:SHR393248 SRM393248:SRN393248 TBI393248:TBJ393248 TLE393248:TLF393248 TVA393248:TVB393248 UEW393248:UEX393248 UOS393248:UOT393248 UYO393248:UYP393248 VIK393248:VIL393248 VSG393248:VSH393248 WCC393248:WCD393248 WLY393248:WLZ393248 WVU393248:WVV393248 M458784:N458784 JI458784:JJ458784 TE458784:TF458784 ADA458784:ADB458784 AMW458784:AMX458784 AWS458784:AWT458784 BGO458784:BGP458784 BQK458784:BQL458784 CAG458784:CAH458784 CKC458784:CKD458784 CTY458784:CTZ458784 DDU458784:DDV458784 DNQ458784:DNR458784 DXM458784:DXN458784 EHI458784:EHJ458784 ERE458784:ERF458784 FBA458784:FBB458784 FKW458784:FKX458784 FUS458784:FUT458784 GEO458784:GEP458784 GOK458784:GOL458784 GYG458784:GYH458784 HIC458784:HID458784 HRY458784:HRZ458784 IBU458784:IBV458784 ILQ458784:ILR458784 IVM458784:IVN458784 JFI458784:JFJ458784 JPE458784:JPF458784 JZA458784:JZB458784 KIW458784:KIX458784 KSS458784:KST458784 LCO458784:LCP458784 LMK458784:LML458784 LWG458784:LWH458784 MGC458784:MGD458784 MPY458784:MPZ458784 MZU458784:MZV458784 NJQ458784:NJR458784 NTM458784:NTN458784 ODI458784:ODJ458784 ONE458784:ONF458784 OXA458784:OXB458784 PGW458784:PGX458784 PQS458784:PQT458784 QAO458784:QAP458784 QKK458784:QKL458784 QUG458784:QUH458784 REC458784:RED458784 RNY458784:RNZ458784 RXU458784:RXV458784 SHQ458784:SHR458784 SRM458784:SRN458784 TBI458784:TBJ458784 TLE458784:TLF458784 TVA458784:TVB458784 UEW458784:UEX458784 UOS458784:UOT458784 UYO458784:UYP458784 VIK458784:VIL458784 VSG458784:VSH458784 WCC458784:WCD458784 WLY458784:WLZ458784 WVU458784:WVV458784 M524320:N524320 JI524320:JJ524320 TE524320:TF524320 ADA524320:ADB524320 AMW524320:AMX524320 AWS524320:AWT524320 BGO524320:BGP524320 BQK524320:BQL524320 CAG524320:CAH524320 CKC524320:CKD524320 CTY524320:CTZ524320 DDU524320:DDV524320 DNQ524320:DNR524320 DXM524320:DXN524320 EHI524320:EHJ524320 ERE524320:ERF524320 FBA524320:FBB524320 FKW524320:FKX524320 FUS524320:FUT524320 GEO524320:GEP524320 GOK524320:GOL524320 GYG524320:GYH524320 HIC524320:HID524320 HRY524320:HRZ524320 IBU524320:IBV524320 ILQ524320:ILR524320 IVM524320:IVN524320 JFI524320:JFJ524320 JPE524320:JPF524320 JZA524320:JZB524320 KIW524320:KIX524320 KSS524320:KST524320 LCO524320:LCP524320 LMK524320:LML524320 LWG524320:LWH524320 MGC524320:MGD524320 MPY524320:MPZ524320 MZU524320:MZV524320 NJQ524320:NJR524320 NTM524320:NTN524320 ODI524320:ODJ524320 ONE524320:ONF524320 OXA524320:OXB524320 PGW524320:PGX524320 PQS524320:PQT524320 QAO524320:QAP524320 QKK524320:QKL524320 QUG524320:QUH524320 REC524320:RED524320 RNY524320:RNZ524320 RXU524320:RXV524320 SHQ524320:SHR524320 SRM524320:SRN524320 TBI524320:TBJ524320 TLE524320:TLF524320 TVA524320:TVB524320 UEW524320:UEX524320 UOS524320:UOT524320 UYO524320:UYP524320 VIK524320:VIL524320 VSG524320:VSH524320 WCC524320:WCD524320 WLY524320:WLZ524320 WVU524320:WVV524320 M589856:N589856 JI589856:JJ589856 TE589856:TF589856 ADA589856:ADB589856 AMW589856:AMX589856 AWS589856:AWT589856 BGO589856:BGP589856 BQK589856:BQL589856 CAG589856:CAH589856 CKC589856:CKD589856 CTY589856:CTZ589856 DDU589856:DDV589856 DNQ589856:DNR589856 DXM589856:DXN589856 EHI589856:EHJ589856 ERE589856:ERF589856 FBA589856:FBB589856 FKW589856:FKX589856 FUS589856:FUT589856 GEO589856:GEP589856 GOK589856:GOL589856 GYG589856:GYH589856 HIC589856:HID589856 HRY589856:HRZ589856 IBU589856:IBV589856 ILQ589856:ILR589856 IVM589856:IVN589856 JFI589856:JFJ589856 JPE589856:JPF589856 JZA589856:JZB589856 KIW589856:KIX589856 KSS589856:KST589856 LCO589856:LCP589856 LMK589856:LML589856 LWG589856:LWH589856 MGC589856:MGD589856 MPY589856:MPZ589856 MZU589856:MZV589856 NJQ589856:NJR589856 NTM589856:NTN589856 ODI589856:ODJ589856 ONE589856:ONF589856 OXA589856:OXB589856 PGW589856:PGX589856 PQS589856:PQT589856 QAO589856:QAP589856 QKK589856:QKL589856 QUG589856:QUH589856 REC589856:RED589856 RNY589856:RNZ589856 RXU589856:RXV589856 SHQ589856:SHR589856 SRM589856:SRN589856 TBI589856:TBJ589856 TLE589856:TLF589856 TVA589856:TVB589856 UEW589856:UEX589856 UOS589856:UOT589856 UYO589856:UYP589856 VIK589856:VIL589856 VSG589856:VSH589856 WCC589856:WCD589856 WLY589856:WLZ589856 WVU589856:WVV589856 M655392:N655392 JI655392:JJ655392 TE655392:TF655392 ADA655392:ADB655392 AMW655392:AMX655392 AWS655392:AWT655392 BGO655392:BGP655392 BQK655392:BQL655392 CAG655392:CAH655392 CKC655392:CKD655392 CTY655392:CTZ655392 DDU655392:DDV655392 DNQ655392:DNR655392 DXM655392:DXN655392 EHI655392:EHJ655392 ERE655392:ERF655392 FBA655392:FBB655392 FKW655392:FKX655392 FUS655392:FUT655392 GEO655392:GEP655392 GOK655392:GOL655392 GYG655392:GYH655392 HIC655392:HID655392 HRY655392:HRZ655392 IBU655392:IBV655392 ILQ655392:ILR655392 IVM655392:IVN655392 JFI655392:JFJ655392 JPE655392:JPF655392 JZA655392:JZB655392 KIW655392:KIX655392 KSS655392:KST655392 LCO655392:LCP655392 LMK655392:LML655392 LWG655392:LWH655392 MGC655392:MGD655392 MPY655392:MPZ655392 MZU655392:MZV655392 NJQ655392:NJR655392 NTM655392:NTN655392 ODI655392:ODJ655392 ONE655392:ONF655392 OXA655392:OXB655392 PGW655392:PGX655392 PQS655392:PQT655392 QAO655392:QAP655392 QKK655392:QKL655392 QUG655392:QUH655392 REC655392:RED655392 RNY655392:RNZ655392 RXU655392:RXV655392 SHQ655392:SHR655392 SRM655392:SRN655392 TBI655392:TBJ655392 TLE655392:TLF655392 TVA655392:TVB655392 UEW655392:UEX655392 UOS655392:UOT655392 UYO655392:UYP655392 VIK655392:VIL655392 VSG655392:VSH655392 WCC655392:WCD655392 WLY655392:WLZ655392 WVU655392:WVV655392 M720928:N720928 JI720928:JJ720928 TE720928:TF720928 ADA720928:ADB720928 AMW720928:AMX720928 AWS720928:AWT720928 BGO720928:BGP720928 BQK720928:BQL720928 CAG720928:CAH720928 CKC720928:CKD720928 CTY720928:CTZ720928 DDU720928:DDV720928 DNQ720928:DNR720928 DXM720928:DXN720928 EHI720928:EHJ720928 ERE720928:ERF720928 FBA720928:FBB720928 FKW720928:FKX720928 FUS720928:FUT720928 GEO720928:GEP720928 GOK720928:GOL720928 GYG720928:GYH720928 HIC720928:HID720928 HRY720928:HRZ720928 IBU720928:IBV720928 ILQ720928:ILR720928 IVM720928:IVN720928 JFI720928:JFJ720928 JPE720928:JPF720928 JZA720928:JZB720928 KIW720928:KIX720928 KSS720928:KST720928 LCO720928:LCP720928 LMK720928:LML720928 LWG720928:LWH720928 MGC720928:MGD720928 MPY720928:MPZ720928 MZU720928:MZV720928 NJQ720928:NJR720928 NTM720928:NTN720928 ODI720928:ODJ720928 ONE720928:ONF720928 OXA720928:OXB720928 PGW720928:PGX720928 PQS720928:PQT720928 QAO720928:QAP720928 QKK720928:QKL720928 QUG720928:QUH720928 REC720928:RED720928 RNY720928:RNZ720928 RXU720928:RXV720928 SHQ720928:SHR720928 SRM720928:SRN720928 TBI720928:TBJ720928 TLE720928:TLF720928 TVA720928:TVB720928 UEW720928:UEX720928 UOS720928:UOT720928 UYO720928:UYP720928 VIK720928:VIL720928 VSG720928:VSH720928 WCC720928:WCD720928 WLY720928:WLZ720928 WVU720928:WVV720928 M786464:N786464 JI786464:JJ786464 TE786464:TF786464 ADA786464:ADB786464 AMW786464:AMX786464 AWS786464:AWT786464 BGO786464:BGP786464 BQK786464:BQL786464 CAG786464:CAH786464 CKC786464:CKD786464 CTY786464:CTZ786464 DDU786464:DDV786464 DNQ786464:DNR786464 DXM786464:DXN786464 EHI786464:EHJ786464 ERE786464:ERF786464 FBA786464:FBB786464 FKW786464:FKX786464 FUS786464:FUT786464 GEO786464:GEP786464 GOK786464:GOL786464 GYG786464:GYH786464 HIC786464:HID786464 HRY786464:HRZ786464 IBU786464:IBV786464 ILQ786464:ILR786464 IVM786464:IVN786464 JFI786464:JFJ786464 JPE786464:JPF786464 JZA786464:JZB786464 KIW786464:KIX786464 KSS786464:KST786464 LCO786464:LCP786464 LMK786464:LML786464 LWG786464:LWH786464 MGC786464:MGD786464 MPY786464:MPZ786464 MZU786464:MZV786464 NJQ786464:NJR786464 NTM786464:NTN786464 ODI786464:ODJ786464 ONE786464:ONF786464 OXA786464:OXB786464 PGW786464:PGX786464 PQS786464:PQT786464 QAO786464:QAP786464 QKK786464:QKL786464 QUG786464:QUH786464 REC786464:RED786464 RNY786464:RNZ786464 RXU786464:RXV786464 SHQ786464:SHR786464 SRM786464:SRN786464 TBI786464:TBJ786464 TLE786464:TLF786464 TVA786464:TVB786464 UEW786464:UEX786464 UOS786464:UOT786464 UYO786464:UYP786464 VIK786464:VIL786464 VSG786464:VSH786464 WCC786464:WCD786464 WLY786464:WLZ786464 WVU786464:WVV786464 M852000:N852000 JI852000:JJ852000 TE852000:TF852000 ADA852000:ADB852000 AMW852000:AMX852000 AWS852000:AWT852000 BGO852000:BGP852000 BQK852000:BQL852000 CAG852000:CAH852000 CKC852000:CKD852000 CTY852000:CTZ852000 DDU852000:DDV852000 DNQ852000:DNR852000 DXM852000:DXN852000 EHI852000:EHJ852000 ERE852000:ERF852000 FBA852000:FBB852000 FKW852000:FKX852000 FUS852000:FUT852000 GEO852000:GEP852000 GOK852000:GOL852000 GYG852000:GYH852000 HIC852000:HID852000 HRY852000:HRZ852000 IBU852000:IBV852000 ILQ852000:ILR852000 IVM852000:IVN852000 JFI852000:JFJ852000 JPE852000:JPF852000 JZA852000:JZB852000 KIW852000:KIX852000 KSS852000:KST852000 LCO852000:LCP852000 LMK852000:LML852000 LWG852000:LWH852000 MGC852000:MGD852000 MPY852000:MPZ852000 MZU852000:MZV852000 NJQ852000:NJR852000 NTM852000:NTN852000 ODI852000:ODJ852000 ONE852000:ONF852000 OXA852000:OXB852000 PGW852000:PGX852000 PQS852000:PQT852000 QAO852000:QAP852000 QKK852000:QKL852000 QUG852000:QUH852000 REC852000:RED852000 RNY852000:RNZ852000 RXU852000:RXV852000 SHQ852000:SHR852000 SRM852000:SRN852000 TBI852000:TBJ852000 TLE852000:TLF852000 TVA852000:TVB852000 UEW852000:UEX852000 UOS852000:UOT852000 UYO852000:UYP852000 VIK852000:VIL852000 VSG852000:VSH852000 WCC852000:WCD852000 WLY852000:WLZ852000 WVU852000:WVV852000 M917536:N917536 JI917536:JJ917536 TE917536:TF917536 ADA917536:ADB917536 AMW917536:AMX917536 AWS917536:AWT917536 BGO917536:BGP917536 BQK917536:BQL917536 CAG917536:CAH917536 CKC917536:CKD917536 CTY917536:CTZ917536 DDU917536:DDV917536 DNQ917536:DNR917536 DXM917536:DXN917536 EHI917536:EHJ917536 ERE917536:ERF917536 FBA917536:FBB917536 FKW917536:FKX917536 FUS917536:FUT917536 GEO917536:GEP917536 GOK917536:GOL917536 GYG917536:GYH917536 HIC917536:HID917536 HRY917536:HRZ917536 IBU917536:IBV917536 ILQ917536:ILR917536 IVM917536:IVN917536 JFI917536:JFJ917536 JPE917536:JPF917536 JZA917536:JZB917536 KIW917536:KIX917536 KSS917536:KST917536 LCO917536:LCP917536 LMK917536:LML917536 LWG917536:LWH917536 MGC917536:MGD917536 MPY917536:MPZ917536 MZU917536:MZV917536 NJQ917536:NJR917536 NTM917536:NTN917536 ODI917536:ODJ917536 ONE917536:ONF917536 OXA917536:OXB917536 PGW917536:PGX917536 PQS917536:PQT917536 QAO917536:QAP917536 QKK917536:QKL917536 QUG917536:QUH917536 REC917536:RED917536 RNY917536:RNZ917536 RXU917536:RXV917536 SHQ917536:SHR917536 SRM917536:SRN917536 TBI917536:TBJ917536 TLE917536:TLF917536 TVA917536:TVB917536 UEW917536:UEX917536 UOS917536:UOT917536 UYO917536:UYP917536 VIK917536:VIL917536 VSG917536:VSH917536 WCC917536:WCD917536 WLY917536:WLZ917536 WVU917536:WVV917536 M983072:N983072 JI983072:JJ983072 TE983072:TF983072 ADA983072:ADB983072 AMW983072:AMX983072 AWS983072:AWT983072 BGO983072:BGP983072 BQK983072:BQL983072 CAG983072:CAH983072 CKC983072:CKD983072 CTY983072:CTZ983072 DDU983072:DDV983072 DNQ983072:DNR983072 DXM983072:DXN983072 EHI983072:EHJ983072 ERE983072:ERF983072 FBA983072:FBB983072 FKW983072:FKX983072 FUS983072:FUT983072 GEO983072:GEP983072 GOK983072:GOL983072 GYG983072:GYH983072 HIC983072:HID983072 HRY983072:HRZ983072 IBU983072:IBV983072 ILQ983072:ILR983072 IVM983072:IVN983072 JFI983072:JFJ983072 JPE983072:JPF983072 JZA983072:JZB983072 KIW983072:KIX983072 KSS983072:KST983072 LCO983072:LCP983072 LMK983072:LML983072 LWG983072:LWH983072 MGC983072:MGD983072 MPY983072:MPZ983072 MZU983072:MZV983072 NJQ983072:NJR983072 NTM983072:NTN983072 ODI983072:ODJ983072 ONE983072:ONF983072 OXA983072:OXB983072 PGW983072:PGX983072 PQS983072:PQT983072 QAO983072:QAP983072 QKK983072:QKL983072 QUG983072:QUH983072 REC983072:RED983072 RNY983072:RNZ983072 RXU983072:RXV983072 SHQ983072:SHR983072 SRM983072:SRN983072 TBI983072:TBJ983072 TLE983072:TLF983072 TVA983072:TVB983072 UEW983072:UEX983072 UOS983072:UOT983072 UYO983072:UYP983072 VIK983072:VIL983072 VSG983072:VSH983072 WCC983072:WCD983072 WLY983072:WLZ983072 WVU983072:WVV983072 O33 JK33 TG33 ADC33 AMY33 AWU33 BGQ33 BQM33 CAI33 CKE33 CUA33 DDW33 DNS33 DXO33 EHK33 ERG33 FBC33 FKY33 FUU33 GEQ33 GOM33 GYI33 HIE33 HSA33 IBW33 ILS33 IVO33 JFK33 JPG33 JZC33 KIY33 KSU33 LCQ33 LMM33 LWI33 MGE33 MQA33 MZW33 NJS33 NTO33 ODK33 ONG33 OXC33 PGY33 PQU33 QAQ33 QKM33 QUI33 REE33 ROA33 RXW33 SHS33 SRO33 TBK33 TLG33 TVC33 UEY33 UOU33 UYQ33 VIM33 VSI33 WCE33 WMA33 WVW33 O65569 JK65569 TG65569 ADC65569 AMY65569 AWU65569 BGQ65569 BQM65569 CAI65569 CKE65569 CUA65569 DDW65569 DNS65569 DXO65569 EHK65569 ERG65569 FBC65569 FKY65569 FUU65569 GEQ65569 GOM65569 GYI65569 HIE65569 HSA65569 IBW65569 ILS65569 IVO65569 JFK65569 JPG65569 JZC65569 KIY65569 KSU65569 LCQ65569 LMM65569 LWI65569 MGE65569 MQA65569 MZW65569 NJS65569 NTO65569 ODK65569 ONG65569 OXC65569 PGY65569 PQU65569 QAQ65569 QKM65569 QUI65569 REE65569 ROA65569 RXW65569 SHS65569 SRO65569 TBK65569 TLG65569 TVC65569 UEY65569 UOU65569 UYQ65569 VIM65569 VSI65569 WCE65569 WMA65569 WVW65569 O131105 JK131105 TG131105 ADC131105 AMY131105 AWU131105 BGQ131105 BQM131105 CAI131105 CKE131105 CUA131105 DDW131105 DNS131105 DXO131105 EHK131105 ERG131105 FBC131105 FKY131105 FUU131105 GEQ131105 GOM131105 GYI131105 HIE131105 HSA131105 IBW131105 ILS131105 IVO131105 JFK131105 JPG131105 JZC131105 KIY131105 KSU131105 LCQ131105 LMM131105 LWI131105 MGE131105 MQA131105 MZW131105 NJS131105 NTO131105 ODK131105 ONG131105 OXC131105 PGY131105 PQU131105 QAQ131105 QKM131105 QUI131105 REE131105 ROA131105 RXW131105 SHS131105 SRO131105 TBK131105 TLG131105 TVC131105 UEY131105 UOU131105 UYQ131105 VIM131105 VSI131105 WCE131105 WMA131105 WVW131105 O196641 JK196641 TG196641 ADC196641 AMY196641 AWU196641 BGQ196641 BQM196641 CAI196641 CKE196641 CUA196641 DDW196641 DNS196641 DXO196641 EHK196641 ERG196641 FBC196641 FKY196641 FUU196641 GEQ196641 GOM196641 GYI196641 HIE196641 HSA196641 IBW196641 ILS196641 IVO196641 JFK196641 JPG196641 JZC196641 KIY196641 KSU196641 LCQ196641 LMM196641 LWI196641 MGE196641 MQA196641 MZW196641 NJS196641 NTO196641 ODK196641 ONG196641 OXC196641 PGY196641 PQU196641 QAQ196641 QKM196641 QUI196641 REE196641 ROA196641 RXW196641 SHS196641 SRO196641 TBK196641 TLG196641 TVC196641 UEY196641 UOU196641 UYQ196641 VIM196641 VSI196641 WCE196641 WMA196641 WVW196641 O262177 JK262177 TG262177 ADC262177 AMY262177 AWU262177 BGQ262177 BQM262177 CAI262177 CKE262177 CUA262177 DDW262177 DNS262177 DXO262177 EHK262177 ERG262177 FBC262177 FKY262177 FUU262177 GEQ262177 GOM262177 GYI262177 HIE262177 HSA262177 IBW262177 ILS262177 IVO262177 JFK262177 JPG262177 JZC262177 KIY262177 KSU262177 LCQ262177 LMM262177 LWI262177 MGE262177 MQA262177 MZW262177 NJS262177 NTO262177 ODK262177 ONG262177 OXC262177 PGY262177 PQU262177 QAQ262177 QKM262177 QUI262177 REE262177 ROA262177 RXW262177 SHS262177 SRO262177 TBK262177 TLG262177 TVC262177 UEY262177 UOU262177 UYQ262177 VIM262177 VSI262177 WCE262177 WMA262177 WVW262177 O327713 JK327713 TG327713 ADC327713 AMY327713 AWU327713 BGQ327713 BQM327713 CAI327713 CKE327713 CUA327713 DDW327713 DNS327713 DXO327713 EHK327713 ERG327713 FBC327713 FKY327713 FUU327713 GEQ327713 GOM327713 GYI327713 HIE327713 HSA327713 IBW327713 ILS327713 IVO327713 JFK327713 JPG327713 JZC327713 KIY327713 KSU327713 LCQ327713 LMM327713 LWI327713 MGE327713 MQA327713 MZW327713 NJS327713 NTO327713 ODK327713 ONG327713 OXC327713 PGY327713 PQU327713 QAQ327713 QKM327713 QUI327713 REE327713 ROA327713 RXW327713 SHS327713 SRO327713 TBK327713 TLG327713 TVC327713 UEY327713 UOU327713 UYQ327713 VIM327713 VSI327713 WCE327713 WMA327713 WVW327713 O393249 JK393249 TG393249 ADC393249 AMY393249 AWU393249 BGQ393249 BQM393249 CAI393249 CKE393249 CUA393249 DDW393249 DNS393249 DXO393249 EHK393249 ERG393249 FBC393249 FKY393249 FUU393249 GEQ393249 GOM393249 GYI393249 HIE393249 HSA393249 IBW393249 ILS393249 IVO393249 JFK393249 JPG393249 JZC393249 KIY393249 KSU393249 LCQ393249 LMM393249 LWI393249 MGE393249 MQA393249 MZW393249 NJS393249 NTO393249 ODK393249 ONG393249 OXC393249 PGY393249 PQU393249 QAQ393249 QKM393249 QUI393249 REE393249 ROA393249 RXW393249 SHS393249 SRO393249 TBK393249 TLG393249 TVC393249 UEY393249 UOU393249 UYQ393249 VIM393249 VSI393249 WCE393249 WMA393249 WVW393249 O458785 JK458785 TG458785 ADC458785 AMY458785 AWU458785 BGQ458785 BQM458785 CAI458785 CKE458785 CUA458785 DDW458785 DNS458785 DXO458785 EHK458785 ERG458785 FBC458785 FKY458785 FUU458785 GEQ458785 GOM458785 GYI458785 HIE458785 HSA458785 IBW458785 ILS458785 IVO458785 JFK458785 JPG458785 JZC458785 KIY458785 KSU458785 LCQ458785 LMM458785 LWI458785 MGE458785 MQA458785 MZW458785 NJS458785 NTO458785 ODK458785 ONG458785 OXC458785 PGY458785 PQU458785 QAQ458785 QKM458785 QUI458785 REE458785 ROA458785 RXW458785 SHS458785 SRO458785 TBK458785 TLG458785 TVC458785 UEY458785 UOU458785 UYQ458785 VIM458785 VSI458785 WCE458785 WMA458785 WVW458785 O524321 JK524321 TG524321 ADC524321 AMY524321 AWU524321 BGQ524321 BQM524321 CAI524321 CKE524321 CUA524321 DDW524321 DNS524321 DXO524321 EHK524321 ERG524321 FBC524321 FKY524321 FUU524321 GEQ524321 GOM524321 GYI524321 HIE524321 HSA524321 IBW524321 ILS524321 IVO524321 JFK524321 JPG524321 JZC524321 KIY524321 KSU524321 LCQ524321 LMM524321 LWI524321 MGE524321 MQA524321 MZW524321 NJS524321 NTO524321 ODK524321 ONG524321 OXC524321 PGY524321 PQU524321 QAQ524321 QKM524321 QUI524321 REE524321 ROA524321 RXW524321 SHS524321 SRO524321 TBK524321 TLG524321 TVC524321 UEY524321 UOU524321 UYQ524321 VIM524321 VSI524321 WCE524321 WMA524321 WVW524321 O589857 JK589857 TG589857 ADC589857 AMY589857 AWU589857 BGQ589857 BQM589857 CAI589857 CKE589857 CUA589857 DDW589857 DNS589857 DXO589857 EHK589857 ERG589857 FBC589857 FKY589857 FUU589857 GEQ589857 GOM589857 GYI589857 HIE589857 HSA589857 IBW589857 ILS589857 IVO589857 JFK589857 JPG589857 JZC589857 KIY589857 KSU589857 LCQ589857 LMM589857 LWI589857 MGE589857 MQA589857 MZW589857 NJS589857 NTO589857 ODK589857 ONG589857 OXC589857 PGY589857 PQU589857 QAQ589857 QKM589857 QUI589857 REE589857 ROA589857 RXW589857 SHS589857 SRO589857 TBK589857 TLG589857 TVC589857 UEY589857 UOU589857 UYQ589857 VIM589857 VSI589857 WCE589857 WMA589857 WVW589857 O655393 JK655393 TG655393 ADC655393 AMY655393 AWU655393 BGQ655393 BQM655393 CAI655393 CKE655393 CUA655393 DDW655393 DNS655393 DXO655393 EHK655393 ERG655393 FBC655393 FKY655393 FUU655393 GEQ655393 GOM655393 GYI655393 HIE655393 HSA655393 IBW655393 ILS655393 IVO655393 JFK655393 JPG655393 JZC655393 KIY655393 KSU655393 LCQ655393 LMM655393 LWI655393 MGE655393 MQA655393 MZW655393 NJS655393 NTO655393 ODK655393 ONG655393 OXC655393 PGY655393 PQU655393 QAQ655393 QKM655393 QUI655393 REE655393 ROA655393 RXW655393 SHS655393 SRO655393 TBK655393 TLG655393 TVC655393 UEY655393 UOU655393 UYQ655393 VIM655393 VSI655393 WCE655393 WMA655393 WVW655393 O720929 JK720929 TG720929 ADC720929 AMY720929 AWU720929 BGQ720929 BQM720929 CAI720929 CKE720929 CUA720929 DDW720929 DNS720929 DXO720929 EHK720929 ERG720929 FBC720929 FKY720929 FUU720929 GEQ720929 GOM720929 GYI720929 HIE720929 HSA720929 IBW720929 ILS720929 IVO720929 JFK720929 JPG720929 JZC720929 KIY720929 KSU720929 LCQ720929 LMM720929 LWI720929 MGE720929 MQA720929 MZW720929 NJS720929 NTO720929 ODK720929 ONG720929 OXC720929 PGY720929 PQU720929 QAQ720929 QKM720929 QUI720929 REE720929 ROA720929 RXW720929 SHS720929 SRO720929 TBK720929 TLG720929 TVC720929 UEY720929 UOU720929 UYQ720929 VIM720929 VSI720929 WCE720929 WMA720929 WVW720929 O786465 JK786465 TG786465 ADC786465 AMY786465 AWU786465 BGQ786465 BQM786465 CAI786465 CKE786465 CUA786465 DDW786465 DNS786465 DXO786465 EHK786465 ERG786465 FBC786465 FKY786465 FUU786465 GEQ786465 GOM786465 GYI786465 HIE786465 HSA786465 IBW786465 ILS786465 IVO786465 JFK786465 JPG786465 JZC786465 KIY786465 KSU786465 LCQ786465 LMM786465 LWI786465 MGE786465 MQA786465 MZW786465 NJS786465 NTO786465 ODK786465 ONG786465 OXC786465 PGY786465 PQU786465 QAQ786465 QKM786465 QUI786465 REE786465 ROA786465 RXW786465 SHS786465 SRO786465 TBK786465 TLG786465 TVC786465 UEY786465 UOU786465 UYQ786465 VIM786465 VSI786465 WCE786465 WMA786465 WVW786465 O852001 JK852001 TG852001 ADC852001 AMY852001 AWU852001 BGQ852001 BQM852001 CAI852001 CKE852001 CUA852001 DDW852001 DNS852001 DXO852001 EHK852001 ERG852001 FBC852001 FKY852001 FUU852001 GEQ852001 GOM852001 GYI852001 HIE852001 HSA852001 IBW852001 ILS852001 IVO852001 JFK852001 JPG852001 JZC852001 KIY852001 KSU852001 LCQ852001 LMM852001 LWI852001 MGE852001 MQA852001 MZW852001 NJS852001 NTO852001 ODK852001 ONG852001 OXC852001 PGY852001 PQU852001 QAQ852001 QKM852001 QUI852001 REE852001 ROA852001 RXW852001 SHS852001 SRO852001 TBK852001 TLG852001 TVC852001 UEY852001 UOU852001 UYQ852001 VIM852001 VSI852001 WCE852001 WMA852001 WVW852001 O917537 JK917537 TG917537 ADC917537 AMY917537 AWU917537 BGQ917537 BQM917537 CAI917537 CKE917537 CUA917537 DDW917537 DNS917537 DXO917537 EHK917537 ERG917537 FBC917537 FKY917537 FUU917537 GEQ917537 GOM917537 GYI917537 HIE917537 HSA917537 IBW917537 ILS917537 IVO917537 JFK917537 JPG917537 JZC917537 KIY917537 KSU917537 LCQ917537 LMM917537 LWI917537 MGE917537 MQA917537 MZW917537 NJS917537 NTO917537 ODK917537 ONG917537 OXC917537 PGY917537 PQU917537 QAQ917537 QKM917537 QUI917537 REE917537 ROA917537 RXW917537 SHS917537 SRO917537 TBK917537 TLG917537 TVC917537 UEY917537 UOU917537 UYQ917537 VIM917537 VSI917537 WCE917537 WMA917537 WVW917537 O983073 JK983073 TG983073 ADC983073 AMY983073 AWU983073 BGQ983073 BQM983073 CAI983073 CKE983073 CUA983073 DDW983073 DNS983073 DXO983073 EHK983073 ERG983073 FBC983073 FKY983073 FUU983073 GEQ983073 GOM983073 GYI983073 HIE983073 HSA983073 IBW983073 ILS983073 IVO983073 JFK983073 JPG983073 JZC983073 KIY983073 KSU983073 LCQ983073 LMM983073 LWI983073 MGE983073 MQA983073 MZW983073 NJS983073 NTO983073 ODK983073 ONG983073 OXC983073 PGY983073 PQU983073 QAQ983073 QKM983073 QUI983073 REE983073 ROA983073 RXW983073 SHS983073 SRO983073 TBK983073 TLG983073 TVC983073 UEY983073 UOU983073 UYQ983073 VIM983073 VSI983073 WCE983073 WMA983073 WVW983073">
      <formula1>"Yes,No,NA"</formula1>
    </dataValidation>
    <dataValidation type="list" allowBlank="1" showInputMessage="1" showErrorMessage="1" sqref="J26:J30 JF26:JF30 TB26:TB30 ACX26:ACX30 AMT26:AMT30 AWP26:AWP30 BGL26:BGL30 BQH26:BQH30 CAD26:CAD30 CJZ26:CJZ30 CTV26:CTV30 DDR26:DDR30 DNN26:DNN30 DXJ26:DXJ30 EHF26:EHF30 ERB26:ERB30 FAX26:FAX30 FKT26:FKT30 FUP26:FUP30 GEL26:GEL30 GOH26:GOH30 GYD26:GYD30 HHZ26:HHZ30 HRV26:HRV30 IBR26:IBR30 ILN26:ILN30 IVJ26:IVJ30 JFF26:JFF30 JPB26:JPB30 JYX26:JYX30 KIT26:KIT30 KSP26:KSP30 LCL26:LCL30 LMH26:LMH30 LWD26:LWD30 MFZ26:MFZ30 MPV26:MPV30 MZR26:MZR30 NJN26:NJN30 NTJ26:NTJ30 ODF26:ODF30 ONB26:ONB30 OWX26:OWX30 PGT26:PGT30 PQP26:PQP30 QAL26:QAL30 QKH26:QKH30 QUD26:QUD30 RDZ26:RDZ30 RNV26:RNV30 RXR26:RXR30 SHN26:SHN30 SRJ26:SRJ30 TBF26:TBF30 TLB26:TLB30 TUX26:TUX30 UET26:UET30 UOP26:UOP30 UYL26:UYL30 VIH26:VIH30 VSD26:VSD30 WBZ26:WBZ30 WLV26:WLV30 WVR26:WVR30 J65562:J65566 JF65562:JF65566 TB65562:TB65566 ACX65562:ACX65566 AMT65562:AMT65566 AWP65562:AWP65566 BGL65562:BGL65566 BQH65562:BQH65566 CAD65562:CAD65566 CJZ65562:CJZ65566 CTV65562:CTV65566 DDR65562:DDR65566 DNN65562:DNN65566 DXJ65562:DXJ65566 EHF65562:EHF65566 ERB65562:ERB65566 FAX65562:FAX65566 FKT65562:FKT65566 FUP65562:FUP65566 GEL65562:GEL65566 GOH65562:GOH65566 GYD65562:GYD65566 HHZ65562:HHZ65566 HRV65562:HRV65566 IBR65562:IBR65566 ILN65562:ILN65566 IVJ65562:IVJ65566 JFF65562:JFF65566 JPB65562:JPB65566 JYX65562:JYX65566 KIT65562:KIT65566 KSP65562:KSP65566 LCL65562:LCL65566 LMH65562:LMH65566 LWD65562:LWD65566 MFZ65562:MFZ65566 MPV65562:MPV65566 MZR65562:MZR65566 NJN65562:NJN65566 NTJ65562:NTJ65566 ODF65562:ODF65566 ONB65562:ONB65566 OWX65562:OWX65566 PGT65562:PGT65566 PQP65562:PQP65566 QAL65562:QAL65566 QKH65562:QKH65566 QUD65562:QUD65566 RDZ65562:RDZ65566 RNV65562:RNV65566 RXR65562:RXR65566 SHN65562:SHN65566 SRJ65562:SRJ65566 TBF65562:TBF65566 TLB65562:TLB65566 TUX65562:TUX65566 UET65562:UET65566 UOP65562:UOP65566 UYL65562:UYL65566 VIH65562:VIH65566 VSD65562:VSD65566 WBZ65562:WBZ65566 WLV65562:WLV65566 WVR65562:WVR65566 J131098:J131102 JF131098:JF131102 TB131098:TB131102 ACX131098:ACX131102 AMT131098:AMT131102 AWP131098:AWP131102 BGL131098:BGL131102 BQH131098:BQH131102 CAD131098:CAD131102 CJZ131098:CJZ131102 CTV131098:CTV131102 DDR131098:DDR131102 DNN131098:DNN131102 DXJ131098:DXJ131102 EHF131098:EHF131102 ERB131098:ERB131102 FAX131098:FAX131102 FKT131098:FKT131102 FUP131098:FUP131102 GEL131098:GEL131102 GOH131098:GOH131102 GYD131098:GYD131102 HHZ131098:HHZ131102 HRV131098:HRV131102 IBR131098:IBR131102 ILN131098:ILN131102 IVJ131098:IVJ131102 JFF131098:JFF131102 JPB131098:JPB131102 JYX131098:JYX131102 KIT131098:KIT131102 KSP131098:KSP131102 LCL131098:LCL131102 LMH131098:LMH131102 LWD131098:LWD131102 MFZ131098:MFZ131102 MPV131098:MPV131102 MZR131098:MZR131102 NJN131098:NJN131102 NTJ131098:NTJ131102 ODF131098:ODF131102 ONB131098:ONB131102 OWX131098:OWX131102 PGT131098:PGT131102 PQP131098:PQP131102 QAL131098:QAL131102 QKH131098:QKH131102 QUD131098:QUD131102 RDZ131098:RDZ131102 RNV131098:RNV131102 RXR131098:RXR131102 SHN131098:SHN131102 SRJ131098:SRJ131102 TBF131098:TBF131102 TLB131098:TLB131102 TUX131098:TUX131102 UET131098:UET131102 UOP131098:UOP131102 UYL131098:UYL131102 VIH131098:VIH131102 VSD131098:VSD131102 WBZ131098:WBZ131102 WLV131098:WLV131102 WVR131098:WVR131102 J196634:J196638 JF196634:JF196638 TB196634:TB196638 ACX196634:ACX196638 AMT196634:AMT196638 AWP196634:AWP196638 BGL196634:BGL196638 BQH196634:BQH196638 CAD196634:CAD196638 CJZ196634:CJZ196638 CTV196634:CTV196638 DDR196634:DDR196638 DNN196634:DNN196638 DXJ196634:DXJ196638 EHF196634:EHF196638 ERB196634:ERB196638 FAX196634:FAX196638 FKT196634:FKT196638 FUP196634:FUP196638 GEL196634:GEL196638 GOH196634:GOH196638 GYD196634:GYD196638 HHZ196634:HHZ196638 HRV196634:HRV196638 IBR196634:IBR196638 ILN196634:ILN196638 IVJ196634:IVJ196638 JFF196634:JFF196638 JPB196634:JPB196638 JYX196634:JYX196638 KIT196634:KIT196638 KSP196634:KSP196638 LCL196634:LCL196638 LMH196634:LMH196638 LWD196634:LWD196638 MFZ196634:MFZ196638 MPV196634:MPV196638 MZR196634:MZR196638 NJN196634:NJN196638 NTJ196634:NTJ196638 ODF196634:ODF196638 ONB196634:ONB196638 OWX196634:OWX196638 PGT196634:PGT196638 PQP196634:PQP196638 QAL196634:QAL196638 QKH196634:QKH196638 QUD196634:QUD196638 RDZ196634:RDZ196638 RNV196634:RNV196638 RXR196634:RXR196638 SHN196634:SHN196638 SRJ196634:SRJ196638 TBF196634:TBF196638 TLB196634:TLB196638 TUX196634:TUX196638 UET196634:UET196638 UOP196634:UOP196638 UYL196634:UYL196638 VIH196634:VIH196638 VSD196634:VSD196638 WBZ196634:WBZ196638 WLV196634:WLV196638 WVR196634:WVR196638 J262170:J262174 JF262170:JF262174 TB262170:TB262174 ACX262170:ACX262174 AMT262170:AMT262174 AWP262170:AWP262174 BGL262170:BGL262174 BQH262170:BQH262174 CAD262170:CAD262174 CJZ262170:CJZ262174 CTV262170:CTV262174 DDR262170:DDR262174 DNN262170:DNN262174 DXJ262170:DXJ262174 EHF262170:EHF262174 ERB262170:ERB262174 FAX262170:FAX262174 FKT262170:FKT262174 FUP262170:FUP262174 GEL262170:GEL262174 GOH262170:GOH262174 GYD262170:GYD262174 HHZ262170:HHZ262174 HRV262170:HRV262174 IBR262170:IBR262174 ILN262170:ILN262174 IVJ262170:IVJ262174 JFF262170:JFF262174 JPB262170:JPB262174 JYX262170:JYX262174 KIT262170:KIT262174 KSP262170:KSP262174 LCL262170:LCL262174 LMH262170:LMH262174 LWD262170:LWD262174 MFZ262170:MFZ262174 MPV262170:MPV262174 MZR262170:MZR262174 NJN262170:NJN262174 NTJ262170:NTJ262174 ODF262170:ODF262174 ONB262170:ONB262174 OWX262170:OWX262174 PGT262170:PGT262174 PQP262170:PQP262174 QAL262170:QAL262174 QKH262170:QKH262174 QUD262170:QUD262174 RDZ262170:RDZ262174 RNV262170:RNV262174 RXR262170:RXR262174 SHN262170:SHN262174 SRJ262170:SRJ262174 TBF262170:TBF262174 TLB262170:TLB262174 TUX262170:TUX262174 UET262170:UET262174 UOP262170:UOP262174 UYL262170:UYL262174 VIH262170:VIH262174 VSD262170:VSD262174 WBZ262170:WBZ262174 WLV262170:WLV262174 WVR262170:WVR262174 J327706:J327710 JF327706:JF327710 TB327706:TB327710 ACX327706:ACX327710 AMT327706:AMT327710 AWP327706:AWP327710 BGL327706:BGL327710 BQH327706:BQH327710 CAD327706:CAD327710 CJZ327706:CJZ327710 CTV327706:CTV327710 DDR327706:DDR327710 DNN327706:DNN327710 DXJ327706:DXJ327710 EHF327706:EHF327710 ERB327706:ERB327710 FAX327706:FAX327710 FKT327706:FKT327710 FUP327706:FUP327710 GEL327706:GEL327710 GOH327706:GOH327710 GYD327706:GYD327710 HHZ327706:HHZ327710 HRV327706:HRV327710 IBR327706:IBR327710 ILN327706:ILN327710 IVJ327706:IVJ327710 JFF327706:JFF327710 JPB327706:JPB327710 JYX327706:JYX327710 KIT327706:KIT327710 KSP327706:KSP327710 LCL327706:LCL327710 LMH327706:LMH327710 LWD327706:LWD327710 MFZ327706:MFZ327710 MPV327706:MPV327710 MZR327706:MZR327710 NJN327706:NJN327710 NTJ327706:NTJ327710 ODF327706:ODF327710 ONB327706:ONB327710 OWX327706:OWX327710 PGT327706:PGT327710 PQP327706:PQP327710 QAL327706:QAL327710 QKH327706:QKH327710 QUD327706:QUD327710 RDZ327706:RDZ327710 RNV327706:RNV327710 RXR327706:RXR327710 SHN327706:SHN327710 SRJ327706:SRJ327710 TBF327706:TBF327710 TLB327706:TLB327710 TUX327706:TUX327710 UET327706:UET327710 UOP327706:UOP327710 UYL327706:UYL327710 VIH327706:VIH327710 VSD327706:VSD327710 WBZ327706:WBZ327710 WLV327706:WLV327710 WVR327706:WVR327710 J393242:J393246 JF393242:JF393246 TB393242:TB393246 ACX393242:ACX393246 AMT393242:AMT393246 AWP393242:AWP393246 BGL393242:BGL393246 BQH393242:BQH393246 CAD393242:CAD393246 CJZ393242:CJZ393246 CTV393242:CTV393246 DDR393242:DDR393246 DNN393242:DNN393246 DXJ393242:DXJ393246 EHF393242:EHF393246 ERB393242:ERB393246 FAX393242:FAX393246 FKT393242:FKT393246 FUP393242:FUP393246 GEL393242:GEL393246 GOH393242:GOH393246 GYD393242:GYD393246 HHZ393242:HHZ393246 HRV393242:HRV393246 IBR393242:IBR393246 ILN393242:ILN393246 IVJ393242:IVJ393246 JFF393242:JFF393246 JPB393242:JPB393246 JYX393242:JYX393246 KIT393242:KIT393246 KSP393242:KSP393246 LCL393242:LCL393246 LMH393242:LMH393246 LWD393242:LWD393246 MFZ393242:MFZ393246 MPV393242:MPV393246 MZR393242:MZR393246 NJN393242:NJN393246 NTJ393242:NTJ393246 ODF393242:ODF393246 ONB393242:ONB393246 OWX393242:OWX393246 PGT393242:PGT393246 PQP393242:PQP393246 QAL393242:QAL393246 QKH393242:QKH393246 QUD393242:QUD393246 RDZ393242:RDZ393246 RNV393242:RNV393246 RXR393242:RXR393246 SHN393242:SHN393246 SRJ393242:SRJ393246 TBF393242:TBF393246 TLB393242:TLB393246 TUX393242:TUX393246 UET393242:UET393246 UOP393242:UOP393246 UYL393242:UYL393246 VIH393242:VIH393246 VSD393242:VSD393246 WBZ393242:WBZ393246 WLV393242:WLV393246 WVR393242:WVR393246 J458778:J458782 JF458778:JF458782 TB458778:TB458782 ACX458778:ACX458782 AMT458778:AMT458782 AWP458778:AWP458782 BGL458778:BGL458782 BQH458778:BQH458782 CAD458778:CAD458782 CJZ458778:CJZ458782 CTV458778:CTV458782 DDR458778:DDR458782 DNN458778:DNN458782 DXJ458778:DXJ458782 EHF458778:EHF458782 ERB458778:ERB458782 FAX458778:FAX458782 FKT458778:FKT458782 FUP458778:FUP458782 GEL458778:GEL458782 GOH458778:GOH458782 GYD458778:GYD458782 HHZ458778:HHZ458782 HRV458778:HRV458782 IBR458778:IBR458782 ILN458778:ILN458782 IVJ458778:IVJ458782 JFF458778:JFF458782 JPB458778:JPB458782 JYX458778:JYX458782 KIT458778:KIT458782 KSP458778:KSP458782 LCL458778:LCL458782 LMH458778:LMH458782 LWD458778:LWD458782 MFZ458778:MFZ458782 MPV458778:MPV458782 MZR458778:MZR458782 NJN458778:NJN458782 NTJ458778:NTJ458782 ODF458778:ODF458782 ONB458778:ONB458782 OWX458778:OWX458782 PGT458778:PGT458782 PQP458778:PQP458782 QAL458778:QAL458782 QKH458778:QKH458782 QUD458778:QUD458782 RDZ458778:RDZ458782 RNV458778:RNV458782 RXR458778:RXR458782 SHN458778:SHN458782 SRJ458778:SRJ458782 TBF458778:TBF458782 TLB458778:TLB458782 TUX458778:TUX458782 UET458778:UET458782 UOP458778:UOP458782 UYL458778:UYL458782 VIH458778:VIH458782 VSD458778:VSD458782 WBZ458778:WBZ458782 WLV458778:WLV458782 WVR458778:WVR458782 J524314:J524318 JF524314:JF524318 TB524314:TB524318 ACX524314:ACX524318 AMT524314:AMT524318 AWP524314:AWP524318 BGL524314:BGL524318 BQH524314:BQH524318 CAD524314:CAD524318 CJZ524314:CJZ524318 CTV524314:CTV524318 DDR524314:DDR524318 DNN524314:DNN524318 DXJ524314:DXJ524318 EHF524314:EHF524318 ERB524314:ERB524318 FAX524314:FAX524318 FKT524314:FKT524318 FUP524314:FUP524318 GEL524314:GEL524318 GOH524314:GOH524318 GYD524314:GYD524318 HHZ524314:HHZ524318 HRV524314:HRV524318 IBR524314:IBR524318 ILN524314:ILN524318 IVJ524314:IVJ524318 JFF524314:JFF524318 JPB524314:JPB524318 JYX524314:JYX524318 KIT524314:KIT524318 KSP524314:KSP524318 LCL524314:LCL524318 LMH524314:LMH524318 LWD524314:LWD524318 MFZ524314:MFZ524318 MPV524314:MPV524318 MZR524314:MZR524318 NJN524314:NJN524318 NTJ524314:NTJ524318 ODF524314:ODF524318 ONB524314:ONB524318 OWX524314:OWX524318 PGT524314:PGT524318 PQP524314:PQP524318 QAL524314:QAL524318 QKH524314:QKH524318 QUD524314:QUD524318 RDZ524314:RDZ524318 RNV524314:RNV524318 RXR524314:RXR524318 SHN524314:SHN524318 SRJ524314:SRJ524318 TBF524314:TBF524318 TLB524314:TLB524318 TUX524314:TUX524318 UET524314:UET524318 UOP524314:UOP524318 UYL524314:UYL524318 VIH524314:VIH524318 VSD524314:VSD524318 WBZ524314:WBZ524318 WLV524314:WLV524318 WVR524314:WVR524318 J589850:J589854 JF589850:JF589854 TB589850:TB589854 ACX589850:ACX589854 AMT589850:AMT589854 AWP589850:AWP589854 BGL589850:BGL589854 BQH589850:BQH589854 CAD589850:CAD589854 CJZ589850:CJZ589854 CTV589850:CTV589854 DDR589850:DDR589854 DNN589850:DNN589854 DXJ589850:DXJ589854 EHF589850:EHF589854 ERB589850:ERB589854 FAX589850:FAX589854 FKT589850:FKT589854 FUP589850:FUP589854 GEL589850:GEL589854 GOH589850:GOH589854 GYD589850:GYD589854 HHZ589850:HHZ589854 HRV589850:HRV589854 IBR589850:IBR589854 ILN589850:ILN589854 IVJ589850:IVJ589854 JFF589850:JFF589854 JPB589850:JPB589854 JYX589850:JYX589854 KIT589850:KIT589854 KSP589850:KSP589854 LCL589850:LCL589854 LMH589850:LMH589854 LWD589850:LWD589854 MFZ589850:MFZ589854 MPV589850:MPV589854 MZR589850:MZR589854 NJN589850:NJN589854 NTJ589850:NTJ589854 ODF589850:ODF589854 ONB589850:ONB589854 OWX589850:OWX589854 PGT589850:PGT589854 PQP589850:PQP589854 QAL589850:QAL589854 QKH589850:QKH589854 QUD589850:QUD589854 RDZ589850:RDZ589854 RNV589850:RNV589854 RXR589850:RXR589854 SHN589850:SHN589854 SRJ589850:SRJ589854 TBF589850:TBF589854 TLB589850:TLB589854 TUX589850:TUX589854 UET589850:UET589854 UOP589850:UOP589854 UYL589850:UYL589854 VIH589850:VIH589854 VSD589850:VSD589854 WBZ589850:WBZ589854 WLV589850:WLV589854 WVR589850:WVR589854 J655386:J655390 JF655386:JF655390 TB655386:TB655390 ACX655386:ACX655390 AMT655386:AMT655390 AWP655386:AWP655390 BGL655386:BGL655390 BQH655386:BQH655390 CAD655386:CAD655390 CJZ655386:CJZ655390 CTV655386:CTV655390 DDR655386:DDR655390 DNN655386:DNN655390 DXJ655386:DXJ655390 EHF655386:EHF655390 ERB655386:ERB655390 FAX655386:FAX655390 FKT655386:FKT655390 FUP655386:FUP655390 GEL655386:GEL655390 GOH655386:GOH655390 GYD655386:GYD655390 HHZ655386:HHZ655390 HRV655386:HRV655390 IBR655386:IBR655390 ILN655386:ILN655390 IVJ655386:IVJ655390 JFF655386:JFF655390 JPB655386:JPB655390 JYX655386:JYX655390 KIT655386:KIT655390 KSP655386:KSP655390 LCL655386:LCL655390 LMH655386:LMH655390 LWD655386:LWD655390 MFZ655386:MFZ655390 MPV655386:MPV655390 MZR655386:MZR655390 NJN655386:NJN655390 NTJ655386:NTJ655390 ODF655386:ODF655390 ONB655386:ONB655390 OWX655386:OWX655390 PGT655386:PGT655390 PQP655386:PQP655390 QAL655386:QAL655390 QKH655386:QKH655390 QUD655386:QUD655390 RDZ655386:RDZ655390 RNV655386:RNV655390 RXR655386:RXR655390 SHN655386:SHN655390 SRJ655386:SRJ655390 TBF655386:TBF655390 TLB655386:TLB655390 TUX655386:TUX655390 UET655386:UET655390 UOP655386:UOP655390 UYL655386:UYL655390 VIH655386:VIH655390 VSD655386:VSD655390 WBZ655386:WBZ655390 WLV655386:WLV655390 WVR655386:WVR655390 J720922:J720926 JF720922:JF720926 TB720922:TB720926 ACX720922:ACX720926 AMT720922:AMT720926 AWP720922:AWP720926 BGL720922:BGL720926 BQH720922:BQH720926 CAD720922:CAD720926 CJZ720922:CJZ720926 CTV720922:CTV720926 DDR720922:DDR720926 DNN720922:DNN720926 DXJ720922:DXJ720926 EHF720922:EHF720926 ERB720922:ERB720926 FAX720922:FAX720926 FKT720922:FKT720926 FUP720922:FUP720926 GEL720922:GEL720926 GOH720922:GOH720926 GYD720922:GYD720926 HHZ720922:HHZ720926 HRV720922:HRV720926 IBR720922:IBR720926 ILN720922:ILN720926 IVJ720922:IVJ720926 JFF720922:JFF720926 JPB720922:JPB720926 JYX720922:JYX720926 KIT720922:KIT720926 KSP720922:KSP720926 LCL720922:LCL720926 LMH720922:LMH720926 LWD720922:LWD720926 MFZ720922:MFZ720926 MPV720922:MPV720926 MZR720922:MZR720926 NJN720922:NJN720926 NTJ720922:NTJ720926 ODF720922:ODF720926 ONB720922:ONB720926 OWX720922:OWX720926 PGT720922:PGT720926 PQP720922:PQP720926 QAL720922:QAL720926 QKH720922:QKH720926 QUD720922:QUD720926 RDZ720922:RDZ720926 RNV720922:RNV720926 RXR720922:RXR720926 SHN720922:SHN720926 SRJ720922:SRJ720926 TBF720922:TBF720926 TLB720922:TLB720926 TUX720922:TUX720926 UET720922:UET720926 UOP720922:UOP720926 UYL720922:UYL720926 VIH720922:VIH720926 VSD720922:VSD720926 WBZ720922:WBZ720926 WLV720922:WLV720926 WVR720922:WVR720926 J786458:J786462 JF786458:JF786462 TB786458:TB786462 ACX786458:ACX786462 AMT786458:AMT786462 AWP786458:AWP786462 BGL786458:BGL786462 BQH786458:BQH786462 CAD786458:CAD786462 CJZ786458:CJZ786462 CTV786458:CTV786462 DDR786458:DDR786462 DNN786458:DNN786462 DXJ786458:DXJ786462 EHF786458:EHF786462 ERB786458:ERB786462 FAX786458:FAX786462 FKT786458:FKT786462 FUP786458:FUP786462 GEL786458:GEL786462 GOH786458:GOH786462 GYD786458:GYD786462 HHZ786458:HHZ786462 HRV786458:HRV786462 IBR786458:IBR786462 ILN786458:ILN786462 IVJ786458:IVJ786462 JFF786458:JFF786462 JPB786458:JPB786462 JYX786458:JYX786462 KIT786458:KIT786462 KSP786458:KSP786462 LCL786458:LCL786462 LMH786458:LMH786462 LWD786458:LWD786462 MFZ786458:MFZ786462 MPV786458:MPV786462 MZR786458:MZR786462 NJN786458:NJN786462 NTJ786458:NTJ786462 ODF786458:ODF786462 ONB786458:ONB786462 OWX786458:OWX786462 PGT786458:PGT786462 PQP786458:PQP786462 QAL786458:QAL786462 QKH786458:QKH786462 QUD786458:QUD786462 RDZ786458:RDZ786462 RNV786458:RNV786462 RXR786458:RXR786462 SHN786458:SHN786462 SRJ786458:SRJ786462 TBF786458:TBF786462 TLB786458:TLB786462 TUX786458:TUX786462 UET786458:UET786462 UOP786458:UOP786462 UYL786458:UYL786462 VIH786458:VIH786462 VSD786458:VSD786462 WBZ786458:WBZ786462 WLV786458:WLV786462 WVR786458:WVR786462 J851994:J851998 JF851994:JF851998 TB851994:TB851998 ACX851994:ACX851998 AMT851994:AMT851998 AWP851994:AWP851998 BGL851994:BGL851998 BQH851994:BQH851998 CAD851994:CAD851998 CJZ851994:CJZ851998 CTV851994:CTV851998 DDR851994:DDR851998 DNN851994:DNN851998 DXJ851994:DXJ851998 EHF851994:EHF851998 ERB851994:ERB851998 FAX851994:FAX851998 FKT851994:FKT851998 FUP851994:FUP851998 GEL851994:GEL851998 GOH851994:GOH851998 GYD851994:GYD851998 HHZ851994:HHZ851998 HRV851994:HRV851998 IBR851994:IBR851998 ILN851994:ILN851998 IVJ851994:IVJ851998 JFF851994:JFF851998 JPB851994:JPB851998 JYX851994:JYX851998 KIT851994:KIT851998 KSP851994:KSP851998 LCL851994:LCL851998 LMH851994:LMH851998 LWD851994:LWD851998 MFZ851994:MFZ851998 MPV851994:MPV851998 MZR851994:MZR851998 NJN851994:NJN851998 NTJ851994:NTJ851998 ODF851994:ODF851998 ONB851994:ONB851998 OWX851994:OWX851998 PGT851994:PGT851998 PQP851994:PQP851998 QAL851994:QAL851998 QKH851994:QKH851998 QUD851994:QUD851998 RDZ851994:RDZ851998 RNV851994:RNV851998 RXR851994:RXR851998 SHN851994:SHN851998 SRJ851994:SRJ851998 TBF851994:TBF851998 TLB851994:TLB851998 TUX851994:TUX851998 UET851994:UET851998 UOP851994:UOP851998 UYL851994:UYL851998 VIH851994:VIH851998 VSD851994:VSD851998 WBZ851994:WBZ851998 WLV851994:WLV851998 WVR851994:WVR851998 J917530:J917534 JF917530:JF917534 TB917530:TB917534 ACX917530:ACX917534 AMT917530:AMT917534 AWP917530:AWP917534 BGL917530:BGL917534 BQH917530:BQH917534 CAD917530:CAD917534 CJZ917530:CJZ917534 CTV917530:CTV917534 DDR917530:DDR917534 DNN917530:DNN917534 DXJ917530:DXJ917534 EHF917530:EHF917534 ERB917530:ERB917534 FAX917530:FAX917534 FKT917530:FKT917534 FUP917530:FUP917534 GEL917530:GEL917534 GOH917530:GOH917534 GYD917530:GYD917534 HHZ917530:HHZ917534 HRV917530:HRV917534 IBR917530:IBR917534 ILN917530:ILN917534 IVJ917530:IVJ917534 JFF917530:JFF917534 JPB917530:JPB917534 JYX917530:JYX917534 KIT917530:KIT917534 KSP917530:KSP917534 LCL917530:LCL917534 LMH917530:LMH917534 LWD917530:LWD917534 MFZ917530:MFZ917534 MPV917530:MPV917534 MZR917530:MZR917534 NJN917530:NJN917534 NTJ917530:NTJ917534 ODF917530:ODF917534 ONB917530:ONB917534 OWX917530:OWX917534 PGT917530:PGT917534 PQP917530:PQP917534 QAL917530:QAL917534 QKH917530:QKH917534 QUD917530:QUD917534 RDZ917530:RDZ917534 RNV917530:RNV917534 RXR917530:RXR917534 SHN917530:SHN917534 SRJ917530:SRJ917534 TBF917530:TBF917534 TLB917530:TLB917534 TUX917530:TUX917534 UET917530:UET917534 UOP917530:UOP917534 UYL917530:UYL917534 VIH917530:VIH917534 VSD917530:VSD917534 WBZ917530:WBZ917534 WLV917530:WLV917534 WVR917530:WVR917534 J983066:J983070 JF983066:JF983070 TB983066:TB983070 ACX983066:ACX983070 AMT983066:AMT983070 AWP983066:AWP983070 BGL983066:BGL983070 BQH983066:BQH983070 CAD983066:CAD983070 CJZ983066:CJZ983070 CTV983066:CTV983070 DDR983066:DDR983070 DNN983066:DNN983070 DXJ983066:DXJ983070 EHF983066:EHF983070 ERB983066:ERB983070 FAX983066:FAX983070 FKT983066:FKT983070 FUP983066:FUP983070 GEL983066:GEL983070 GOH983066:GOH983070 GYD983066:GYD983070 HHZ983066:HHZ983070 HRV983066:HRV983070 IBR983066:IBR983070 ILN983066:ILN983070 IVJ983066:IVJ983070 JFF983066:JFF983070 JPB983066:JPB983070 JYX983066:JYX983070 KIT983066:KIT983070 KSP983066:KSP983070 LCL983066:LCL983070 LMH983066:LMH983070 LWD983066:LWD983070 MFZ983066:MFZ983070 MPV983066:MPV983070 MZR983066:MZR983070 NJN983066:NJN983070 NTJ983066:NTJ983070 ODF983066:ODF983070 ONB983066:ONB983070 OWX983066:OWX983070 PGT983066:PGT983070 PQP983066:PQP983070 QAL983066:QAL983070 QKH983066:QKH983070 QUD983066:QUD983070 RDZ983066:RDZ983070 RNV983066:RNV983070 RXR983066:RXR983070 SHN983066:SHN983070 SRJ983066:SRJ983070 TBF983066:TBF983070 TLB983066:TLB983070 TUX983066:TUX983070 UET983066:UET983070 UOP983066:UOP983070 UYL983066:UYL983070 VIH983066:VIH983070 VSD983066:VSD983070 WBZ983066:WBZ983070 WLV983066:WLV983070 WVR983066:WVR983070">
      <formula1>"Yes,No"</formula1>
    </dataValidation>
  </dataValidations>
  <hyperlinks>
    <hyperlink ref="A1" location="'Table Of Contents'!A1" display="TOC"/>
  </hyperlinks>
  <pageMargins left="0.75" right="0.75" top="1" bottom="1" header="0.5" footer="0.5"/>
  <pageSetup scale="37" fitToHeight="0" orientation="portrait" r:id="rId1"/>
  <headerFooter alignWithMargins="0">
    <oddFooter>Page &amp;P of &amp;N</oddFooter>
  </headerFooter>
  <colBreaks count="1" manualBreakCount="1">
    <brk id="17" max="47"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66FF33"/>
    <pageSetUpPr fitToPage="1"/>
  </sheetPr>
  <dimension ref="A1:BT142"/>
  <sheetViews>
    <sheetView showGridLines="0" view="pageBreakPreview" topLeftCell="B49" zoomScale="90" zoomScaleNormal="75" zoomScaleSheetLayoutView="90" workbookViewId="0">
      <selection activeCell="B54" sqref="B54:G54"/>
    </sheetView>
  </sheetViews>
  <sheetFormatPr defaultRowHeight="12.75"/>
  <cols>
    <col min="1" max="1" width="9.28515625" style="1324" customWidth="1"/>
    <col min="2" max="2" width="20" style="1324" customWidth="1"/>
    <col min="3" max="3" width="20.42578125" style="1324" customWidth="1"/>
    <col min="4" max="4" width="20.28515625" style="1324" customWidth="1"/>
    <col min="5" max="5" width="12.42578125" style="1324" customWidth="1"/>
    <col min="6" max="6" width="13.140625" style="1324" customWidth="1"/>
    <col min="7" max="7" width="10.140625" style="1324" customWidth="1"/>
    <col min="8" max="8" width="7.7109375" style="1324" customWidth="1"/>
    <col min="9" max="9" width="11" style="1324" customWidth="1"/>
    <col min="10" max="10" width="14.5703125" style="1324" customWidth="1"/>
    <col min="11" max="11" width="7.7109375" style="1324" customWidth="1"/>
    <col min="12" max="12" width="11.42578125" style="1324" customWidth="1"/>
    <col min="13" max="13" width="10.42578125" style="1324" customWidth="1"/>
    <col min="14" max="14" width="5.7109375" style="1324" customWidth="1"/>
    <col min="15" max="15" width="7" style="1324" customWidth="1"/>
    <col min="16" max="16" width="29.140625" style="1324" customWidth="1"/>
    <col min="17" max="21" width="9.140625" style="1324"/>
    <col min="22" max="22" width="9.140625" style="1324" hidden="1" customWidth="1"/>
    <col min="23" max="16384" width="9.140625" style="1324"/>
  </cols>
  <sheetData>
    <row r="1" spans="1:72" ht="26.25" customHeight="1">
      <c r="A1" s="1534" t="s">
        <v>1408</v>
      </c>
      <c r="B1" s="1138"/>
      <c r="C1" s="1137"/>
      <c r="D1" s="1138"/>
      <c r="E1" s="1138"/>
      <c r="F1" s="1140"/>
      <c r="G1" s="1138"/>
      <c r="H1" s="1138"/>
      <c r="I1" s="1138"/>
      <c r="J1" s="1138"/>
    </row>
    <row r="2" spans="1:72" ht="26.25" customHeight="1">
      <c r="B2" s="1138"/>
      <c r="C2" s="1137" t="str">
        <f>'1.1 - APPLIANCES'!C2</f>
        <v>MULTIFAMILY PERFORMANCE PROGRAM</v>
      </c>
      <c r="D2" s="1138"/>
      <c r="E2" s="1138"/>
      <c r="F2" s="1140"/>
      <c r="G2" s="1138"/>
      <c r="H2" s="1138"/>
      <c r="I2" s="1138"/>
      <c r="J2" s="1138"/>
    </row>
    <row r="3" spans="1:72" ht="26.25" customHeight="1">
      <c r="B3" s="1138"/>
      <c r="C3" s="1139" t="s">
        <v>368</v>
      </c>
      <c r="D3" s="1139">
        <f>'Project Info'!C3</f>
        <v>0</v>
      </c>
      <c r="E3" s="1138"/>
      <c r="F3" s="1140"/>
      <c r="G3" s="1138"/>
      <c r="H3" s="1138"/>
      <c r="I3" s="1138"/>
      <c r="J3" s="1138"/>
    </row>
    <row r="4" spans="1:72" ht="26.25" customHeight="1">
      <c r="A4" s="1551"/>
      <c r="B4" s="790"/>
      <c r="C4" s="1138"/>
      <c r="D4" s="1138"/>
      <c r="E4" s="1138"/>
      <c r="F4" s="1138"/>
      <c r="G4" s="1138"/>
      <c r="H4" s="1138"/>
      <c r="I4" s="1138"/>
      <c r="J4" s="1157"/>
      <c r="K4" s="795"/>
      <c r="L4" s="1529"/>
      <c r="M4" s="1529"/>
      <c r="N4" s="1529"/>
      <c r="O4" s="795"/>
    </row>
    <row r="5" spans="1:72" s="1539" customFormat="1" ht="15.75">
      <c r="A5" s="1533"/>
      <c r="B5" s="1158" t="s">
        <v>1442</v>
      </c>
      <c r="C5" s="1159"/>
      <c r="D5" s="1160"/>
      <c r="E5" s="1159"/>
      <c r="F5" s="1159"/>
      <c r="G5" s="1159"/>
      <c r="H5" s="1159"/>
      <c r="I5" s="1159"/>
      <c r="J5" s="1159"/>
      <c r="K5" s="1159"/>
      <c r="L5" s="1161"/>
      <c r="M5" s="2721" t="s">
        <v>1411</v>
      </c>
      <c r="N5" s="2722"/>
      <c r="O5" s="2723" t="s">
        <v>1412</v>
      </c>
      <c r="P5" s="2723"/>
      <c r="Q5" s="1540"/>
      <c r="R5" s="1540"/>
      <c r="S5" s="1540"/>
      <c r="T5" s="1540"/>
      <c r="U5" s="1540"/>
      <c r="V5" s="1540"/>
      <c r="W5" s="1540"/>
      <c r="X5" s="1540"/>
      <c r="Y5" s="1540"/>
      <c r="Z5" s="1540"/>
      <c r="AA5" s="1540"/>
      <c r="AB5" s="1540"/>
      <c r="AC5" s="1540"/>
      <c r="AD5" s="1540"/>
      <c r="AE5" s="1540"/>
      <c r="AF5" s="1540"/>
      <c r="AG5" s="1540"/>
      <c r="AH5" s="1540"/>
      <c r="AI5" s="1540"/>
      <c r="AJ5" s="1540"/>
      <c r="AK5" s="1540"/>
      <c r="AL5" s="1540"/>
      <c r="AM5" s="1540"/>
      <c r="AN5" s="1540"/>
      <c r="AO5" s="1540"/>
      <c r="AP5" s="1540"/>
      <c r="AQ5" s="1540"/>
      <c r="AR5" s="1540"/>
      <c r="AS5" s="1540"/>
      <c r="AT5" s="1540"/>
      <c r="AU5" s="1540"/>
      <c r="AV5" s="1540"/>
      <c r="AW5" s="1540"/>
      <c r="AX5" s="1540"/>
      <c r="AY5" s="1540"/>
      <c r="AZ5" s="1540"/>
      <c r="BA5" s="1540"/>
      <c r="BB5" s="1540"/>
      <c r="BC5" s="1540"/>
      <c r="BD5" s="1540"/>
      <c r="BE5" s="1540"/>
      <c r="BF5" s="1540"/>
      <c r="BG5" s="1540"/>
      <c r="BH5" s="1540"/>
      <c r="BI5" s="1540"/>
      <c r="BJ5" s="1540"/>
      <c r="BK5" s="1540"/>
      <c r="BL5" s="1540"/>
      <c r="BM5" s="1540"/>
      <c r="BN5" s="1540"/>
      <c r="BO5" s="1540"/>
      <c r="BP5" s="1540"/>
      <c r="BQ5" s="1540"/>
      <c r="BR5" s="1540"/>
      <c r="BS5" s="1540"/>
      <c r="BT5" s="1540"/>
    </row>
    <row r="6" spans="1:72">
      <c r="B6" s="2724"/>
      <c r="C6" s="2725"/>
      <c r="D6" s="2726"/>
      <c r="E6" s="2726"/>
      <c r="F6" s="1144"/>
      <c r="G6" s="1144"/>
      <c r="H6" s="1144"/>
      <c r="I6" s="2714"/>
      <c r="J6" s="2714"/>
      <c r="K6" s="2715"/>
      <c r="L6" s="2715"/>
      <c r="M6" s="2727" t="s">
        <v>1413</v>
      </c>
      <c r="N6" s="2728"/>
      <c r="O6" s="2729"/>
      <c r="P6" s="2730"/>
    </row>
    <row r="7" spans="1:72">
      <c r="B7" s="2724" t="s">
        <v>1414</v>
      </c>
      <c r="C7" s="2725"/>
      <c r="D7" s="2726"/>
      <c r="E7" s="2726"/>
      <c r="F7" s="1144"/>
      <c r="G7" s="1144"/>
      <c r="H7" s="1144"/>
      <c r="I7" s="2714"/>
      <c r="J7" s="2714"/>
      <c r="K7" s="2715"/>
      <c r="L7" s="2715"/>
      <c r="M7" s="2731"/>
      <c r="N7" s="2732"/>
      <c r="O7" s="2720"/>
      <c r="P7" s="2720"/>
    </row>
    <row r="8" spans="1:72" ht="26.25" customHeight="1">
      <c r="A8" s="1528"/>
      <c r="B8" s="2717" t="s">
        <v>1443</v>
      </c>
      <c r="C8" s="2717"/>
      <c r="D8" s="2717"/>
      <c r="E8" s="2717"/>
      <c r="F8" s="2717"/>
      <c r="G8" s="2717"/>
      <c r="H8" s="2717"/>
      <c r="I8" s="2717"/>
      <c r="J8" s="2717"/>
      <c r="K8" s="2715"/>
      <c r="L8" s="2715"/>
      <c r="M8" s="2719"/>
      <c r="N8" s="2719"/>
      <c r="O8" s="2720"/>
      <c r="P8" s="2720"/>
    </row>
    <row r="9" spans="1:72" ht="26.25" customHeight="1">
      <c r="A9" s="1528"/>
      <c r="B9" s="2717" t="s">
        <v>1444</v>
      </c>
      <c r="C9" s="2717"/>
      <c r="D9" s="2717"/>
      <c r="E9" s="2717"/>
      <c r="F9" s="2717"/>
      <c r="G9" s="2717"/>
      <c r="H9" s="2717"/>
      <c r="I9" s="2717"/>
      <c r="J9" s="2717"/>
      <c r="K9" s="2715"/>
      <c r="L9" s="2715"/>
      <c r="M9" s="2718"/>
      <c r="N9" s="2718"/>
      <c r="O9" s="2715"/>
      <c r="P9" s="2715"/>
    </row>
    <row r="10" spans="1:72" ht="12.75" customHeight="1">
      <c r="A10" s="1528"/>
      <c r="B10" s="2717" t="s">
        <v>1445</v>
      </c>
      <c r="C10" s="2717"/>
      <c r="D10" s="2717"/>
      <c r="E10" s="2717"/>
      <c r="F10" s="2717"/>
      <c r="G10" s="2717"/>
      <c r="H10" s="2717"/>
      <c r="I10" s="2717"/>
      <c r="J10" s="2717"/>
      <c r="K10" s="2715"/>
      <c r="L10" s="2715"/>
      <c r="M10" s="2715"/>
      <c r="N10" s="2715"/>
      <c r="O10" s="2715"/>
      <c r="P10" s="2715"/>
      <c r="Q10" s="1528"/>
    </row>
    <row r="11" spans="1:72" ht="26.25" customHeight="1">
      <c r="A11" s="1528"/>
      <c r="B11" s="2717" t="s">
        <v>2128</v>
      </c>
      <c r="C11" s="2717"/>
      <c r="D11" s="2717"/>
      <c r="E11" s="2717"/>
      <c r="F11" s="2717"/>
      <c r="G11" s="2717"/>
      <c r="H11" s="2717"/>
      <c r="I11" s="2717"/>
      <c r="J11" s="2717"/>
      <c r="K11" s="2715"/>
      <c r="L11" s="2715"/>
      <c r="M11" s="2715"/>
      <c r="N11" s="2715"/>
      <c r="O11" s="2715"/>
      <c r="P11" s="2715"/>
      <c r="Q11" s="1528"/>
    </row>
    <row r="12" spans="1:72" ht="27" customHeight="1">
      <c r="A12" s="1528"/>
      <c r="B12" s="2673" t="s">
        <v>1446</v>
      </c>
      <c r="C12" s="2673"/>
      <c r="D12" s="2673"/>
      <c r="E12" s="2673"/>
      <c r="F12" s="2673"/>
      <c r="G12" s="2673"/>
      <c r="H12" s="2673"/>
      <c r="I12" s="2673"/>
      <c r="J12" s="2673"/>
      <c r="K12" s="2715"/>
      <c r="L12" s="2715"/>
      <c r="M12" s="2715"/>
      <c r="N12" s="2715"/>
      <c r="O12" s="2715"/>
      <c r="P12" s="2715"/>
      <c r="Q12" s="1528"/>
    </row>
    <row r="13" spans="1:72" ht="12.75" customHeight="1">
      <c r="A13" s="1528"/>
      <c r="B13" s="2711"/>
      <c r="C13" s="2712"/>
      <c r="D13" s="2713"/>
      <c r="E13" s="2713"/>
      <c r="F13" s="1144"/>
      <c r="G13" s="1144"/>
      <c r="H13" s="1144"/>
      <c r="I13" s="2714"/>
      <c r="J13" s="2714"/>
      <c r="K13" s="2715"/>
      <c r="L13" s="2715"/>
      <c r="M13" s="2715"/>
      <c r="N13" s="2715"/>
      <c r="O13" s="2715"/>
      <c r="P13" s="2715"/>
      <c r="Q13" s="1528"/>
    </row>
    <row r="14" spans="1:72">
      <c r="A14" s="1528"/>
      <c r="B14" s="1146" t="s">
        <v>1416</v>
      </c>
      <c r="C14" s="1144"/>
      <c r="D14" s="1144"/>
      <c r="E14" s="1144"/>
      <c r="F14" s="1144"/>
      <c r="G14" s="1144"/>
      <c r="H14" s="1144"/>
      <c r="I14" s="2714"/>
      <c r="J14" s="2714"/>
      <c r="K14" s="2715"/>
      <c r="L14" s="2715"/>
      <c r="M14" s="1529"/>
      <c r="N14" s="1529"/>
      <c r="O14" s="1529"/>
      <c r="P14" s="1528"/>
    </row>
    <row r="15" spans="1:72">
      <c r="A15" s="1528"/>
      <c r="B15" s="1149" t="s">
        <v>1447</v>
      </c>
      <c r="C15" s="1144"/>
      <c r="D15" s="1144"/>
      <c r="E15" s="1144"/>
      <c r="F15" s="1144"/>
      <c r="G15" s="1144"/>
      <c r="H15" s="1144"/>
      <c r="I15" s="1144"/>
      <c r="J15" s="1144"/>
      <c r="K15" s="1529"/>
      <c r="L15" s="1529"/>
      <c r="M15" s="1529"/>
      <c r="N15" s="1529"/>
      <c r="O15" s="1529"/>
      <c r="P15" s="1528"/>
    </row>
    <row r="16" spans="1:72">
      <c r="A16" s="1528"/>
      <c r="B16" s="1149" t="s">
        <v>1448</v>
      </c>
      <c r="C16" s="1144"/>
      <c r="D16" s="1144"/>
      <c r="E16" s="1144"/>
      <c r="F16" s="1144"/>
      <c r="G16" s="1144"/>
      <c r="H16" s="1144"/>
      <c r="I16" s="1144"/>
      <c r="J16" s="1144"/>
      <c r="K16" s="1529"/>
      <c r="L16" s="1529"/>
      <c r="M16" s="1529"/>
      <c r="N16" s="1529"/>
      <c r="O16" s="1529"/>
      <c r="P16" s="1528"/>
    </row>
    <row r="17" spans="1:17">
      <c r="A17" s="1528"/>
      <c r="B17" s="1144"/>
      <c r="C17" s="1144"/>
      <c r="D17" s="1144"/>
      <c r="E17" s="1144"/>
      <c r="F17" s="1144"/>
      <c r="G17" s="1144"/>
      <c r="H17" s="1144"/>
      <c r="I17" s="1144"/>
      <c r="J17" s="1144"/>
      <c r="K17" s="1529"/>
      <c r="L17" s="1529"/>
      <c r="M17" s="1529"/>
      <c r="N17" s="1529"/>
      <c r="O17" s="1529"/>
      <c r="P17" s="1528"/>
    </row>
    <row r="18" spans="1:17">
      <c r="A18" s="1528"/>
      <c r="B18" s="1148" t="s">
        <v>1420</v>
      </c>
      <c r="C18" s="1149"/>
      <c r="D18" s="1149"/>
      <c r="E18" s="1149"/>
      <c r="F18" s="1149"/>
      <c r="G18" s="1149"/>
      <c r="H18" s="1149"/>
      <c r="I18" s="1149"/>
      <c r="J18" s="1149"/>
      <c r="K18" s="1529"/>
      <c r="L18" s="1529"/>
      <c r="M18" s="1529"/>
      <c r="N18" s="1529"/>
      <c r="O18" s="1529"/>
      <c r="P18" s="1528"/>
    </row>
    <row r="19" spans="1:17">
      <c r="A19" s="1528"/>
      <c r="B19" s="1149" t="s">
        <v>1449</v>
      </c>
      <c r="C19" s="1149"/>
      <c r="D19" s="1149"/>
      <c r="E19" s="1149"/>
      <c r="F19" s="1149"/>
      <c r="G19" s="1149"/>
      <c r="H19" s="1149"/>
      <c r="I19" s="1149"/>
      <c r="J19" s="1149"/>
      <c r="K19" s="1529"/>
      <c r="L19" s="1529"/>
      <c r="M19" s="1529"/>
      <c r="N19" s="1529"/>
      <c r="O19" s="1529"/>
      <c r="P19" s="1528"/>
    </row>
    <row r="20" spans="1:17" ht="28.5" customHeight="1">
      <c r="A20" s="1528"/>
      <c r="B20" s="2671" t="s">
        <v>1450</v>
      </c>
      <c r="C20" s="2671"/>
      <c r="D20" s="2671"/>
      <c r="E20" s="2671"/>
      <c r="F20" s="2671"/>
      <c r="G20" s="2671"/>
      <c r="H20" s="2671"/>
      <c r="I20" s="2671"/>
      <c r="J20" s="2671"/>
      <c r="K20" s="1529"/>
      <c r="L20" s="1529"/>
      <c r="M20" s="1529"/>
      <c r="N20" s="1529"/>
      <c r="O20" s="1529"/>
      <c r="P20" s="1528"/>
    </row>
    <row r="21" spans="1:17" ht="28.5" customHeight="1">
      <c r="A21" s="1528"/>
      <c r="B21" s="2671" t="s">
        <v>2127</v>
      </c>
      <c r="C21" s="2671"/>
      <c r="D21" s="2671"/>
      <c r="E21" s="2671"/>
      <c r="F21" s="2671"/>
      <c r="G21" s="2671"/>
      <c r="H21" s="2671"/>
      <c r="I21" s="2671"/>
      <c r="J21" s="2671"/>
      <c r="K21" s="1529"/>
      <c r="L21" s="1529"/>
      <c r="M21" s="1529"/>
      <c r="N21" s="1529"/>
      <c r="O21" s="1529"/>
      <c r="P21" s="1528"/>
    </row>
    <row r="22" spans="1:17" ht="54.75" customHeight="1">
      <c r="A22" s="1528"/>
      <c r="B22" s="2671" t="s">
        <v>2126</v>
      </c>
      <c r="C22" s="2671"/>
      <c r="D22" s="2671"/>
      <c r="E22" s="2671"/>
      <c r="F22" s="2671"/>
      <c r="G22" s="2671"/>
      <c r="H22" s="2671"/>
      <c r="I22" s="2671"/>
      <c r="J22" s="2671"/>
      <c r="K22" s="1529"/>
      <c r="L22" s="1529"/>
      <c r="M22" s="1529"/>
      <c r="N22" s="1529"/>
      <c r="O22" s="1529"/>
      <c r="P22" s="1528"/>
    </row>
    <row r="23" spans="1:17" ht="27.75" customHeight="1">
      <c r="A23" s="1528"/>
      <c r="B23" s="2671"/>
      <c r="C23" s="2671"/>
      <c r="D23" s="2671"/>
      <c r="E23" s="2671"/>
      <c r="F23" s="2671"/>
      <c r="G23" s="2671"/>
      <c r="H23" s="2671"/>
      <c r="I23" s="2671"/>
      <c r="J23" s="2671"/>
      <c r="K23" s="1529"/>
      <c r="L23" s="1529"/>
      <c r="M23" s="1529"/>
      <c r="N23" s="1529"/>
      <c r="O23" s="1529"/>
      <c r="P23" s="1528"/>
    </row>
    <row r="24" spans="1:17">
      <c r="A24" s="1528"/>
      <c r="B24" s="1149" t="s">
        <v>2125</v>
      </c>
      <c r="C24" s="1149"/>
      <c r="D24" s="1149"/>
      <c r="E24" s="1149"/>
      <c r="F24" s="1149"/>
      <c r="G24" s="1149"/>
      <c r="H24" s="1149"/>
      <c r="I24" s="1149"/>
      <c r="J24" s="1149"/>
      <c r="K24" s="1144"/>
      <c r="L24" s="1529"/>
      <c r="M24" s="1529"/>
      <c r="N24" s="1529"/>
      <c r="O24" s="1529"/>
      <c r="P24" s="1528"/>
    </row>
    <row r="25" spans="1:17" ht="35.25" customHeight="1">
      <c r="A25" s="1528"/>
      <c r="B25" s="2716" t="s">
        <v>1452</v>
      </c>
      <c r="C25" s="2716"/>
      <c r="D25" s="2716"/>
      <c r="E25" s="2716"/>
      <c r="F25" s="2716"/>
      <c r="G25" s="2716"/>
      <c r="H25" s="2716"/>
      <c r="I25" s="2716"/>
      <c r="J25" s="2716"/>
      <c r="K25" s="2716"/>
      <c r="L25" s="1529"/>
      <c r="M25" s="1529"/>
      <c r="N25" s="1529"/>
      <c r="O25" s="1529"/>
      <c r="P25" s="1528"/>
    </row>
    <row r="26" spans="1:17" ht="76.5" customHeight="1">
      <c r="B26" s="1162" t="s">
        <v>2124</v>
      </c>
      <c r="C26" s="1162" t="s">
        <v>1454</v>
      </c>
      <c r="D26" s="1162" t="s">
        <v>1431</v>
      </c>
      <c r="E26" s="1162" t="s">
        <v>1430</v>
      </c>
      <c r="F26" s="1367" t="s">
        <v>1428</v>
      </c>
      <c r="G26" s="1367" t="s">
        <v>1429</v>
      </c>
      <c r="H26" s="1367" t="s">
        <v>1455</v>
      </c>
      <c r="I26" s="1162" t="s">
        <v>1456</v>
      </c>
      <c r="J26" s="1162" t="s">
        <v>1457</v>
      </c>
      <c r="K26" s="1162" t="s">
        <v>2123</v>
      </c>
      <c r="L26" s="1163" t="s">
        <v>2122</v>
      </c>
      <c r="M26" s="1342" t="s">
        <v>1434</v>
      </c>
      <c r="N26" s="1155" t="s">
        <v>1435</v>
      </c>
      <c r="O26" s="1155" t="s">
        <v>1436</v>
      </c>
      <c r="P26" s="1342" t="s">
        <v>1458</v>
      </c>
      <c r="Q26" s="1550"/>
    </row>
    <row r="27" spans="1:17">
      <c r="B27" s="892"/>
      <c r="C27" s="892"/>
      <c r="D27" s="893"/>
      <c r="E27" s="893"/>
      <c r="F27" s="893"/>
      <c r="G27" s="892"/>
      <c r="H27" s="893"/>
      <c r="I27" s="893"/>
      <c r="J27" s="894"/>
      <c r="K27" s="1549"/>
      <c r="L27" s="893"/>
      <c r="M27" s="893"/>
      <c r="N27" s="896"/>
      <c r="O27" s="897"/>
      <c r="P27" s="1380"/>
    </row>
    <row r="28" spans="1:17">
      <c r="B28" s="893"/>
      <c r="C28" s="892"/>
      <c r="D28" s="893"/>
      <c r="E28" s="893"/>
      <c r="F28" s="893"/>
      <c r="G28" s="892"/>
      <c r="H28" s="898"/>
      <c r="I28" s="898"/>
      <c r="J28" s="894"/>
      <c r="K28" s="1549"/>
      <c r="L28" s="893"/>
      <c r="M28" s="893"/>
      <c r="N28" s="896"/>
      <c r="O28" s="897"/>
      <c r="P28" s="1380"/>
    </row>
    <row r="29" spans="1:17">
      <c r="B29" s="893"/>
      <c r="C29" s="892"/>
      <c r="D29" s="893"/>
      <c r="E29" s="893"/>
      <c r="F29" s="893"/>
      <c r="G29" s="892"/>
      <c r="H29" s="898"/>
      <c r="I29" s="898"/>
      <c r="J29" s="894"/>
      <c r="K29" s="1549"/>
      <c r="L29" s="893"/>
      <c r="M29" s="893"/>
      <c r="N29" s="896"/>
      <c r="O29" s="897"/>
      <c r="P29" s="1379"/>
    </row>
    <row r="30" spans="1:17">
      <c r="B30" s="893"/>
      <c r="C30" s="892"/>
      <c r="D30" s="893"/>
      <c r="E30" s="893"/>
      <c r="F30" s="893"/>
      <c r="G30" s="892"/>
      <c r="H30" s="898"/>
      <c r="I30" s="898"/>
      <c r="J30" s="894"/>
      <c r="K30" s="1549"/>
      <c r="L30" s="893"/>
      <c r="M30" s="893"/>
      <c r="N30" s="896"/>
      <c r="O30" s="897"/>
      <c r="P30" s="1379"/>
    </row>
    <row r="31" spans="1:17">
      <c r="B31" s="893"/>
      <c r="C31" s="892"/>
      <c r="D31" s="893"/>
      <c r="E31" s="893"/>
      <c r="F31" s="893"/>
      <c r="G31" s="892"/>
      <c r="H31" s="898"/>
      <c r="I31" s="898"/>
      <c r="J31" s="894"/>
      <c r="K31" s="1549"/>
      <c r="L31" s="893"/>
      <c r="M31" s="893"/>
      <c r="N31" s="896"/>
      <c r="O31" s="897"/>
      <c r="P31" s="1379"/>
    </row>
    <row r="32" spans="1:17">
      <c r="B32" s="892"/>
      <c r="C32" s="892"/>
      <c r="D32" s="893"/>
      <c r="E32" s="893"/>
      <c r="F32" s="893"/>
      <c r="G32" s="892"/>
      <c r="H32" s="893"/>
      <c r="I32" s="893"/>
      <c r="J32" s="893"/>
      <c r="K32" s="1549"/>
      <c r="L32" s="893"/>
      <c r="M32" s="893"/>
      <c r="N32" s="896"/>
      <c r="O32" s="897"/>
      <c r="P32" s="1379"/>
    </row>
    <row r="33" spans="1:72">
      <c r="B33" s="893"/>
      <c r="C33" s="892"/>
      <c r="D33" s="893"/>
      <c r="E33" s="893"/>
      <c r="F33" s="893"/>
      <c r="G33" s="892"/>
      <c r="H33" s="893"/>
      <c r="I33" s="893"/>
      <c r="J33" s="893"/>
      <c r="K33" s="1549"/>
      <c r="L33" s="893"/>
      <c r="M33" s="893"/>
      <c r="N33" s="896"/>
      <c r="O33" s="897"/>
      <c r="P33" s="1379"/>
    </row>
    <row r="34" spans="1:72">
      <c r="B34" s="893"/>
      <c r="C34" s="892"/>
      <c r="D34" s="893"/>
      <c r="E34" s="893"/>
      <c r="F34" s="893"/>
      <c r="G34" s="892"/>
      <c r="H34" s="893"/>
      <c r="I34" s="893"/>
      <c r="J34" s="893"/>
      <c r="K34" s="1549"/>
      <c r="L34" s="893"/>
      <c r="M34" s="893"/>
      <c r="N34" s="896"/>
      <c r="O34" s="897"/>
      <c r="P34" s="1379"/>
    </row>
    <row r="35" spans="1:72">
      <c r="B35" s="893"/>
      <c r="C35" s="892"/>
      <c r="D35" s="893"/>
      <c r="E35" s="893"/>
      <c r="F35" s="893"/>
      <c r="G35" s="892"/>
      <c r="H35" s="893"/>
      <c r="I35" s="893"/>
      <c r="J35" s="893"/>
      <c r="K35" s="1549"/>
      <c r="L35" s="893"/>
      <c r="M35" s="893"/>
      <c r="N35" s="896"/>
      <c r="O35" s="897"/>
      <c r="P35" s="1379"/>
    </row>
    <row r="36" spans="1:72">
      <c r="B36" s="893"/>
      <c r="C36" s="892"/>
      <c r="D36" s="893"/>
      <c r="E36" s="893"/>
      <c r="F36" s="893"/>
      <c r="G36" s="892"/>
      <c r="H36" s="893"/>
      <c r="I36" s="893"/>
      <c r="J36" s="893"/>
      <c r="K36" s="1549"/>
      <c r="L36" s="893"/>
      <c r="M36" s="893"/>
      <c r="N36" s="896"/>
      <c r="O36" s="897"/>
      <c r="P36" s="1379"/>
    </row>
    <row r="37" spans="1:72">
      <c r="B37" s="893"/>
      <c r="C37" s="892"/>
      <c r="D37" s="893"/>
      <c r="E37" s="893"/>
      <c r="F37" s="893"/>
      <c r="G37" s="892"/>
      <c r="H37" s="893"/>
      <c r="I37" s="893"/>
      <c r="J37" s="893"/>
      <c r="K37" s="1549"/>
      <c r="L37" s="893"/>
      <c r="M37" s="893"/>
      <c r="N37" s="896"/>
      <c r="O37" s="897"/>
      <c r="P37" s="1379"/>
    </row>
    <row r="38" spans="1:72">
      <c r="B38" s="892"/>
      <c r="C38" s="892"/>
      <c r="D38" s="893"/>
      <c r="E38" s="893"/>
      <c r="F38" s="893"/>
      <c r="G38" s="892"/>
      <c r="H38" s="893"/>
      <c r="I38" s="893"/>
      <c r="J38" s="893"/>
      <c r="K38" s="1549"/>
      <c r="L38" s="893"/>
      <c r="M38" s="893"/>
      <c r="N38" s="896"/>
      <c r="O38" s="897"/>
      <c r="P38" s="1379"/>
    </row>
    <row r="39" spans="1:72">
      <c r="B39" s="893"/>
      <c r="C39" s="892"/>
      <c r="D39" s="893"/>
      <c r="E39" s="893"/>
      <c r="F39" s="893"/>
      <c r="G39" s="892"/>
      <c r="H39" s="893"/>
      <c r="I39" s="893"/>
      <c r="J39" s="893"/>
      <c r="K39" s="1549"/>
      <c r="L39" s="893"/>
      <c r="M39" s="893"/>
      <c r="N39" s="896"/>
      <c r="O39" s="897"/>
      <c r="P39" s="1379"/>
    </row>
    <row r="40" spans="1:72">
      <c r="B40" s="893"/>
      <c r="C40" s="892"/>
      <c r="D40" s="893"/>
      <c r="E40" s="893"/>
      <c r="F40" s="893"/>
      <c r="G40" s="892"/>
      <c r="H40" s="893"/>
      <c r="I40" s="893"/>
      <c r="J40" s="893"/>
      <c r="K40" s="1549"/>
      <c r="L40" s="893"/>
      <c r="M40" s="893"/>
      <c r="N40" s="896"/>
      <c r="O40" s="897"/>
      <c r="P40" s="1379"/>
    </row>
    <row r="41" spans="1:72">
      <c r="B41" s="893"/>
      <c r="C41" s="892"/>
      <c r="D41" s="893"/>
      <c r="E41" s="893"/>
      <c r="F41" s="893"/>
      <c r="G41" s="892"/>
      <c r="H41" s="893"/>
      <c r="I41" s="893"/>
      <c r="J41" s="893"/>
      <c r="K41" s="1549"/>
      <c r="L41" s="893"/>
      <c r="M41" s="893"/>
      <c r="N41" s="896"/>
      <c r="O41" s="897"/>
      <c r="P41" s="1379"/>
    </row>
    <row r="42" spans="1:72">
      <c r="B42" s="893"/>
      <c r="C42" s="892"/>
      <c r="D42" s="893"/>
      <c r="E42" s="893"/>
      <c r="F42" s="893"/>
      <c r="G42" s="892"/>
      <c r="H42" s="893"/>
      <c r="I42" s="893"/>
      <c r="J42" s="893"/>
      <c r="K42" s="1549"/>
      <c r="L42" s="893"/>
      <c r="M42" s="893"/>
      <c r="N42" s="896"/>
      <c r="O42" s="897"/>
      <c r="P42" s="1379"/>
    </row>
    <row r="43" spans="1:72">
      <c r="A43" s="1528"/>
      <c r="B43" s="1529"/>
      <c r="C43" s="1529"/>
      <c r="D43" s="1529"/>
      <c r="E43" s="1529"/>
      <c r="F43" s="1529"/>
      <c r="G43" s="1529"/>
      <c r="H43" s="1529"/>
      <c r="I43" s="1529"/>
      <c r="J43" s="1529"/>
      <c r="K43" s="1529"/>
      <c r="L43" s="1529"/>
      <c r="M43" s="1529"/>
      <c r="N43" s="1529"/>
      <c r="O43" s="1529"/>
      <c r="P43" s="1528"/>
    </row>
    <row r="44" spans="1:72">
      <c r="B44" s="1548"/>
      <c r="C44" s="1547"/>
      <c r="D44" s="1547"/>
      <c r="E44" s="1547"/>
      <c r="F44" s="1546"/>
      <c r="G44" s="795"/>
      <c r="H44" s="1545"/>
      <c r="I44" s="1545"/>
      <c r="J44" s="1544"/>
      <c r="K44" s="1544"/>
      <c r="L44" s="1544"/>
      <c r="M44" s="1544"/>
      <c r="N44" s="1544"/>
      <c r="O44" s="1543"/>
    </row>
    <row r="45" spans="1:72" s="1526" customFormat="1" ht="77.25" customHeight="1">
      <c r="A45" s="1527"/>
      <c r="B45" s="1342" t="s">
        <v>1439</v>
      </c>
      <c r="C45" s="1365"/>
      <c r="D45" s="1342" t="s">
        <v>1426</v>
      </c>
      <c r="E45" s="1342"/>
      <c r="F45" s="2710" t="s">
        <v>1427</v>
      </c>
      <c r="G45" s="2710"/>
      <c r="H45" s="2679" t="s">
        <v>1433</v>
      </c>
      <c r="I45" s="2708"/>
      <c r="J45" s="2708"/>
      <c r="K45" s="2708"/>
      <c r="L45" s="2709"/>
      <c r="M45" s="1342" t="s">
        <v>1434</v>
      </c>
      <c r="N45" s="1155" t="s">
        <v>1435</v>
      </c>
      <c r="O45" s="1155" t="s">
        <v>1436</v>
      </c>
      <c r="P45" s="1164" t="s">
        <v>1458</v>
      </c>
    </row>
    <row r="46" spans="1:72" ht="72" customHeight="1">
      <c r="A46" s="1535"/>
      <c r="B46" s="2703" t="s">
        <v>2121</v>
      </c>
      <c r="C46" s="2704"/>
      <c r="D46" s="2700" t="str">
        <f>IF('Project Info'!C4='Project Info'!P32,"DHW
"&amp;'Prescriptive Path Checklist'!C19,IF('Project Info'!C4='Project Info'!P33,"DHW
"&amp;#REF!))</f>
        <v>DHW
Domestic water heating systems must comply with ASHRAE 90.1-2010 Sections 7.4 and 7.5.</v>
      </c>
      <c r="E46" s="2701"/>
      <c r="F46" s="2706" t="s">
        <v>1459</v>
      </c>
      <c r="G46" s="2707"/>
      <c r="H46" s="2692"/>
      <c r="I46" s="2705"/>
      <c r="J46" s="2705"/>
      <c r="K46" s="2705"/>
      <c r="L46" s="2705"/>
      <c r="M46" s="1359"/>
      <c r="N46" s="899"/>
      <c r="O46" s="1383"/>
      <c r="P46" s="1383"/>
    </row>
    <row r="47" spans="1:72" s="1539" customFormat="1" ht="15.75">
      <c r="A47" s="1533"/>
      <c r="B47" s="2686" t="s">
        <v>950</v>
      </c>
      <c r="C47" s="2687"/>
      <c r="D47" s="2687"/>
      <c r="E47" s="2687"/>
      <c r="F47" s="2687"/>
      <c r="G47" s="2687"/>
      <c r="H47" s="2688"/>
      <c r="I47" s="2688"/>
      <c r="J47" s="2688"/>
      <c r="K47" s="2688"/>
      <c r="L47" s="2688"/>
      <c r="M47" s="2688"/>
      <c r="N47" s="2688"/>
      <c r="O47" s="2688"/>
      <c r="P47" s="2689"/>
      <c r="Q47" s="1540"/>
      <c r="R47" s="1540"/>
      <c r="S47" s="1540"/>
      <c r="T47" s="1540"/>
      <c r="U47" s="1540"/>
      <c r="V47" s="1540"/>
      <c r="W47" s="1540"/>
      <c r="X47" s="1540"/>
      <c r="Y47" s="1540"/>
      <c r="Z47" s="1540"/>
      <c r="AA47" s="1540"/>
      <c r="AB47" s="1540"/>
      <c r="AC47" s="1540"/>
      <c r="AD47" s="1540"/>
      <c r="AE47" s="1540"/>
      <c r="AF47" s="1540"/>
      <c r="AG47" s="1540"/>
      <c r="AH47" s="1540"/>
      <c r="AI47" s="1540"/>
      <c r="AJ47" s="1540"/>
      <c r="AK47" s="1540"/>
      <c r="AL47" s="1540"/>
      <c r="AM47" s="1540"/>
      <c r="AN47" s="1540"/>
      <c r="AO47" s="1540"/>
      <c r="AP47" s="1540"/>
      <c r="AQ47" s="1540"/>
      <c r="AR47" s="1540"/>
      <c r="AS47" s="1540"/>
      <c r="AT47" s="1540"/>
      <c r="AU47" s="1540"/>
      <c r="AV47" s="1540"/>
      <c r="AW47" s="1540"/>
      <c r="AX47" s="1540"/>
      <c r="AY47" s="1540"/>
      <c r="AZ47" s="1540"/>
      <c r="BA47" s="1540"/>
      <c r="BB47" s="1540"/>
      <c r="BC47" s="1540"/>
      <c r="BD47" s="1540"/>
      <c r="BE47" s="1540"/>
      <c r="BF47" s="1540"/>
      <c r="BG47" s="1540"/>
      <c r="BH47" s="1540"/>
      <c r="BI47" s="1540"/>
      <c r="BJ47" s="1540"/>
      <c r="BK47" s="1540"/>
      <c r="BL47" s="1540"/>
      <c r="BM47" s="1540"/>
      <c r="BN47" s="1540"/>
      <c r="BO47" s="1540"/>
      <c r="BP47" s="1540"/>
      <c r="BQ47" s="1540"/>
      <c r="BR47" s="1540"/>
      <c r="BS47" s="1540"/>
      <c r="BT47" s="1540"/>
    </row>
    <row r="48" spans="1:72" ht="282.75" customHeight="1">
      <c r="A48" s="1542"/>
      <c r="B48" s="2693" t="s">
        <v>2552</v>
      </c>
      <c r="C48" s="2694"/>
      <c r="D48" s="2700" t="str">
        <f>IF('Project Info'!C4='Project Info'!P32,'Prescriptive Path Checklist'!C20,IF('Project Info'!C4='Project Info'!P33,#REF!,"&lt;Select compliance path on the 'Project Info' tab&gt;"))</f>
        <v>Domestic water heating equipment shall be ENERGY STAR certified, where applicable, and meet minimum efficiencies below. ENERGY STAR certification must be verified through the ENERGY STAR website. Atmospherically vented gas water heaters, tankless coils and side-arm water heaters shall not be specified. Indirect water heaters, with or without storage, are acceptable.
Water Heater Minimum Efficiencies
      •  In-Unit Electric OR Gas Water Heaters (storage or instantaneous)
         - Gas (EF): 0.69-(0.002 x Tank Gallon Capacity)
         - Electric (EF): 0.97-(0.001 x Tank Gallon Capacity)
      •  Hot Water Supply Boiler (Oil or Gas): 85% Et</v>
      </c>
      <c r="E48" s="2701"/>
      <c r="F48" s="2700">
        <f>ERMs!B19</f>
        <v>0</v>
      </c>
      <c r="G48" s="2702"/>
      <c r="H48" s="2692"/>
      <c r="I48" s="2685"/>
      <c r="J48" s="2685"/>
      <c r="K48" s="2685"/>
      <c r="L48" s="2685"/>
      <c r="M48" s="1359"/>
      <c r="N48" s="1388"/>
      <c r="O48" s="1383"/>
      <c r="P48" s="1370"/>
    </row>
    <row r="49" spans="1:72" ht="96" customHeight="1">
      <c r="A49" s="1541"/>
      <c r="B49" s="2693" t="s">
        <v>2120</v>
      </c>
      <c r="C49" s="2694"/>
      <c r="D49" s="2700" t="str">
        <f>IF('Project Info'!C4='Project Info'!P32,'Prescriptive Path Checklist'!C21,IF('Project Info'!C4='Project Info'!P33,#REF!,"&lt;Select compliance path on the 'Project Info' tab&gt;"))</f>
        <v>If storage is provided, the maximum storage tank capacity shall be specified based on occupancy.</v>
      </c>
      <c r="E49" s="2701"/>
      <c r="F49" s="2700">
        <f>ERMs!B20</f>
        <v>0</v>
      </c>
      <c r="G49" s="2702"/>
      <c r="H49" s="2692"/>
      <c r="I49" s="2685"/>
      <c r="J49" s="2685"/>
      <c r="K49" s="2685"/>
      <c r="L49" s="2685"/>
      <c r="M49" s="1359"/>
      <c r="N49" s="1388"/>
      <c r="O49" s="1383"/>
      <c r="P49" s="1370"/>
    </row>
    <row r="50" spans="1:72" ht="204.75" customHeight="1">
      <c r="A50" s="1535"/>
      <c r="B50" s="2693" t="s">
        <v>2119</v>
      </c>
      <c r="C50" s="2699"/>
      <c r="D50" s="2700" t="str">
        <f>IF('Project Info'!C4='Project Info'!P32,'Prescriptive Path Checklist'!C25,IF('Project Info'!C4='Project Info'!P33,#REF!,"&lt;Select compliance path on the 'Project Info' tab&gt;"))</f>
        <v xml:space="preserve">• The average flow rate for all showers must be ≤ 1.75 gallons per minute per stall (as rated at 80 psi) and all showerheads must be WaterSense labeled. 
• If flow ratings at 80 psi are not available, WaterSense labeled faucets or aerators may be used to meet this prerequisite. 
• All lavatory faucets or aerators must be WaterSense labeled. 
• The average flow rate for all other faucets must be ≤ 2.0 gallons per minute (as rated at 80 psi).
</v>
      </c>
      <c r="E50" s="2701"/>
      <c r="F50" s="2700">
        <f>ERMs!B21</f>
        <v>0</v>
      </c>
      <c r="G50" s="2702"/>
      <c r="H50" s="2692"/>
      <c r="I50" s="2685"/>
      <c r="J50" s="2685"/>
      <c r="K50" s="2685"/>
      <c r="L50" s="2685"/>
      <c r="M50" s="1359"/>
      <c r="N50" s="1388"/>
      <c r="O50" s="1383"/>
      <c r="P50" s="1383"/>
    </row>
    <row r="51" spans="1:72" s="1539" customFormat="1" ht="15.75">
      <c r="A51" s="1533"/>
      <c r="B51" s="2686" t="s">
        <v>957</v>
      </c>
      <c r="C51" s="2687"/>
      <c r="D51" s="2687"/>
      <c r="E51" s="2687"/>
      <c r="F51" s="2687"/>
      <c r="G51" s="2687"/>
      <c r="H51" s="2688"/>
      <c r="I51" s="2688"/>
      <c r="J51" s="2688"/>
      <c r="K51" s="2688"/>
      <c r="L51" s="2688"/>
      <c r="M51" s="2688"/>
      <c r="N51" s="2688"/>
      <c r="O51" s="2688"/>
      <c r="P51" s="2689"/>
      <c r="Q51" s="1540"/>
      <c r="R51" s="1540"/>
      <c r="S51" s="1540"/>
      <c r="T51" s="1540"/>
      <c r="U51" s="1540"/>
      <c r="V51" s="1540"/>
      <c r="W51" s="1540"/>
      <c r="X51" s="1540"/>
      <c r="Y51" s="1540"/>
      <c r="Z51" s="1540"/>
      <c r="AA51" s="1540"/>
      <c r="AB51" s="1540"/>
      <c r="AC51" s="1540"/>
      <c r="AD51" s="1540"/>
      <c r="AE51" s="1540"/>
      <c r="AF51" s="1540"/>
      <c r="AG51" s="1540"/>
      <c r="AH51" s="1540"/>
      <c r="AI51" s="1540"/>
      <c r="AJ51" s="1540"/>
      <c r="AK51" s="1540"/>
      <c r="AL51" s="1540"/>
      <c r="AM51" s="1540"/>
      <c r="AN51" s="1540"/>
      <c r="AO51" s="1540"/>
      <c r="AP51" s="1540"/>
      <c r="AQ51" s="1540"/>
      <c r="AR51" s="1540"/>
      <c r="AS51" s="1540"/>
      <c r="AT51" s="1540"/>
      <c r="AU51" s="1540"/>
      <c r="AV51" s="1540"/>
      <c r="AW51" s="1540"/>
      <c r="AX51" s="1540"/>
      <c r="AY51" s="1540"/>
      <c r="AZ51" s="1540"/>
      <c r="BA51" s="1540"/>
      <c r="BB51" s="1540"/>
      <c r="BC51" s="1540"/>
      <c r="BD51" s="1540"/>
      <c r="BE51" s="1540"/>
      <c r="BF51" s="1540"/>
      <c r="BG51" s="1540"/>
      <c r="BH51" s="1540"/>
      <c r="BI51" s="1540"/>
      <c r="BJ51" s="1540"/>
      <c r="BK51" s="1540"/>
      <c r="BL51" s="1540"/>
      <c r="BM51" s="1540"/>
      <c r="BN51" s="1540"/>
      <c r="BO51" s="1540"/>
      <c r="BP51" s="1540"/>
      <c r="BQ51" s="1540"/>
      <c r="BR51" s="1540"/>
      <c r="BS51" s="1540"/>
      <c r="BT51" s="1540"/>
    </row>
    <row r="52" spans="1:72" ht="60" customHeight="1">
      <c r="A52" s="1426"/>
      <c r="B52" s="2690" t="s">
        <v>1460</v>
      </c>
      <c r="C52" s="2691"/>
      <c r="D52" s="2691"/>
      <c r="E52" s="2691"/>
      <c r="F52" s="2691"/>
      <c r="G52" s="2691"/>
      <c r="H52" s="2692"/>
      <c r="I52" s="2685"/>
      <c r="J52" s="2685"/>
      <c r="K52" s="2685"/>
      <c r="L52" s="2685"/>
      <c r="M52" s="1359"/>
      <c r="N52" s="1388"/>
      <c r="O52" s="1383"/>
      <c r="P52" s="1383"/>
    </row>
    <row r="53" spans="1:72" ht="90" customHeight="1">
      <c r="A53" s="1538"/>
      <c r="B53" s="2693" t="s">
        <v>2553</v>
      </c>
      <c r="C53" s="2694"/>
      <c r="D53" s="2694"/>
      <c r="E53" s="2694"/>
      <c r="F53" s="2694"/>
      <c r="G53" s="2694"/>
      <c r="H53" s="2692"/>
      <c r="I53" s="2685"/>
      <c r="J53" s="2685"/>
      <c r="K53" s="2685"/>
      <c r="L53" s="2685"/>
      <c r="M53" s="1359"/>
      <c r="N53" s="1388"/>
      <c r="O53" s="1383"/>
      <c r="P53" s="1383"/>
    </row>
    <row r="54" spans="1:72" ht="48" customHeight="1">
      <c r="A54" s="1537"/>
      <c r="B54" s="2693" t="s">
        <v>2118</v>
      </c>
      <c r="C54" s="2694"/>
      <c r="D54" s="2694"/>
      <c r="E54" s="2694"/>
      <c r="F54" s="2694"/>
      <c r="G54" s="2694"/>
      <c r="H54" s="2692"/>
      <c r="I54" s="2685"/>
      <c r="J54" s="2685"/>
      <c r="K54" s="2685"/>
      <c r="L54" s="2685"/>
      <c r="M54" s="1359"/>
      <c r="N54" s="1388"/>
      <c r="O54" s="1383"/>
      <c r="P54" s="1383"/>
    </row>
    <row r="55" spans="1:72" ht="60" customHeight="1">
      <c r="A55" s="1426"/>
      <c r="B55" s="2693" t="s">
        <v>2117</v>
      </c>
      <c r="C55" s="2694"/>
      <c r="D55" s="2694"/>
      <c r="E55" s="2694"/>
      <c r="F55" s="2694"/>
      <c r="G55" s="2694"/>
      <c r="H55" s="2692"/>
      <c r="I55" s="2685"/>
      <c r="J55" s="2685"/>
      <c r="K55" s="2685"/>
      <c r="L55" s="2685"/>
      <c r="M55" s="1359"/>
      <c r="N55" s="1388"/>
      <c r="O55" s="1383"/>
      <c r="P55" s="1383"/>
    </row>
    <row r="56" spans="1:72" ht="48" customHeight="1">
      <c r="B56" s="2695" t="s">
        <v>2116</v>
      </c>
      <c r="C56" s="2695"/>
      <c r="D56" s="2695"/>
      <c r="E56" s="2695"/>
      <c r="F56" s="2695"/>
      <c r="G56" s="2695"/>
      <c r="H56" s="2696"/>
      <c r="I56" s="2696"/>
      <c r="J56" s="2696"/>
      <c r="K56" s="2696"/>
      <c r="L56" s="2696"/>
      <c r="M56" s="2696"/>
      <c r="N56" s="2697"/>
      <c r="O56" s="1383"/>
      <c r="P56" s="1383"/>
    </row>
    <row r="57" spans="1:72" ht="60" customHeight="1">
      <c r="A57" s="1536"/>
      <c r="B57" s="2695" t="s">
        <v>2551</v>
      </c>
      <c r="C57" s="2695"/>
      <c r="D57" s="2695"/>
      <c r="E57" s="2695"/>
      <c r="F57" s="2695"/>
      <c r="G57" s="2695"/>
      <c r="H57" s="2695"/>
      <c r="I57" s="2695"/>
      <c r="J57" s="2695"/>
      <c r="K57" s="2695"/>
      <c r="L57" s="2695"/>
      <c r="M57" s="2695"/>
      <c r="N57" s="2698"/>
      <c r="O57" s="1383"/>
      <c r="P57" s="1383"/>
    </row>
    <row r="58" spans="1:72" ht="60" customHeight="1">
      <c r="A58" s="1535"/>
      <c r="B58" s="2695" t="s">
        <v>1461</v>
      </c>
      <c r="C58" s="2695"/>
      <c r="D58" s="2695"/>
      <c r="E58" s="2695"/>
      <c r="F58" s="2695"/>
      <c r="G58" s="2695"/>
      <c r="H58" s="2695"/>
      <c r="I58" s="2695"/>
      <c r="J58" s="2695"/>
      <c r="K58" s="2695"/>
      <c r="L58" s="2695"/>
      <c r="M58" s="2695"/>
      <c r="N58" s="2698"/>
      <c r="O58" s="1383"/>
      <c r="P58" s="1383"/>
    </row>
    <row r="62" spans="1:72">
      <c r="V62" s="1426" t="s">
        <v>362</v>
      </c>
    </row>
    <row r="63" spans="1:72">
      <c r="V63" s="1426" t="s">
        <v>364</v>
      </c>
    </row>
    <row r="64" spans="1:72">
      <c r="V64" s="1426" t="s">
        <v>363</v>
      </c>
    </row>
    <row r="142" spans="2:2" ht="18">
      <c r="B142" s="794"/>
    </row>
  </sheetData>
  <sheetProtection formatCells="0" formatColumns="0" formatRows="0" insertColumns="0" insertRows="0"/>
  <mergeCells count="75">
    <mergeCell ref="B8:J8"/>
    <mergeCell ref="K8:L8"/>
    <mergeCell ref="M8:N8"/>
    <mergeCell ref="O8:P8"/>
    <mergeCell ref="M5:N5"/>
    <mergeCell ref="O5:P5"/>
    <mergeCell ref="B6:E6"/>
    <mergeCell ref="I6:J6"/>
    <mergeCell ref="K6:L6"/>
    <mergeCell ref="M6:N6"/>
    <mergeCell ref="O6:P6"/>
    <mergeCell ref="B7:E7"/>
    <mergeCell ref="I7:J7"/>
    <mergeCell ref="K7:L7"/>
    <mergeCell ref="M7:N7"/>
    <mergeCell ref="O7:P7"/>
    <mergeCell ref="B9:J9"/>
    <mergeCell ref="K9:L9"/>
    <mergeCell ref="M9:N9"/>
    <mergeCell ref="O9:P9"/>
    <mergeCell ref="B10:J10"/>
    <mergeCell ref="K10:L10"/>
    <mergeCell ref="M10:N10"/>
    <mergeCell ref="O10:P10"/>
    <mergeCell ref="M13:N13"/>
    <mergeCell ref="O13:P13"/>
    <mergeCell ref="I14:J14"/>
    <mergeCell ref="K14:L14"/>
    <mergeCell ref="B11:J11"/>
    <mergeCell ref="K11:L11"/>
    <mergeCell ref="M11:N11"/>
    <mergeCell ref="O11:P11"/>
    <mergeCell ref="B12:J12"/>
    <mergeCell ref="K12:L12"/>
    <mergeCell ref="M12:N12"/>
    <mergeCell ref="O12:P12"/>
    <mergeCell ref="H45:L45"/>
    <mergeCell ref="F45:G45"/>
    <mergeCell ref="B13:E13"/>
    <mergeCell ref="I13:J13"/>
    <mergeCell ref="K13:L13"/>
    <mergeCell ref="B20:J20"/>
    <mergeCell ref="B21:J21"/>
    <mergeCell ref="B22:J22"/>
    <mergeCell ref="B23:J23"/>
    <mergeCell ref="B25:K25"/>
    <mergeCell ref="B46:C46"/>
    <mergeCell ref="D46:E46"/>
    <mergeCell ref="H46:L46"/>
    <mergeCell ref="B47:P47"/>
    <mergeCell ref="F46:G46"/>
    <mergeCell ref="H49:L49"/>
    <mergeCell ref="B50:C50"/>
    <mergeCell ref="D50:E50"/>
    <mergeCell ref="H50:L50"/>
    <mergeCell ref="B48:C48"/>
    <mergeCell ref="D48:E48"/>
    <mergeCell ref="H48:L48"/>
    <mergeCell ref="F48:G48"/>
    <mergeCell ref="F49:G49"/>
    <mergeCell ref="F50:G50"/>
    <mergeCell ref="B49:C49"/>
    <mergeCell ref="D49:E49"/>
    <mergeCell ref="B56:N56"/>
    <mergeCell ref="B57:N57"/>
    <mergeCell ref="B58:N58"/>
    <mergeCell ref="B54:G54"/>
    <mergeCell ref="H54:L54"/>
    <mergeCell ref="B55:G55"/>
    <mergeCell ref="H55:L55"/>
    <mergeCell ref="B51:P51"/>
    <mergeCell ref="B52:G52"/>
    <mergeCell ref="H52:L52"/>
    <mergeCell ref="B53:G53"/>
    <mergeCell ref="H53:L53"/>
  </mergeCells>
  <dataValidations count="2">
    <dataValidation type="list" allowBlank="1" showInputMessage="1" showErrorMessage="1" sqref="N27:O42 JJ27:JK42 TF27:TG42 ADB27:ADC42 AMX27:AMY42 AWT27:AWU42 BGP27:BGQ42 BQL27:BQM42 CAH27:CAI42 CKD27:CKE42 CTZ27:CUA42 DDV27:DDW42 DNR27:DNS42 DXN27:DXO42 EHJ27:EHK42 ERF27:ERG42 FBB27:FBC42 FKX27:FKY42 FUT27:FUU42 GEP27:GEQ42 GOL27:GOM42 GYH27:GYI42 HID27:HIE42 HRZ27:HSA42 IBV27:IBW42 ILR27:ILS42 IVN27:IVO42 JFJ27:JFK42 JPF27:JPG42 JZB27:JZC42 KIX27:KIY42 KST27:KSU42 LCP27:LCQ42 LML27:LMM42 LWH27:LWI42 MGD27:MGE42 MPZ27:MQA42 MZV27:MZW42 NJR27:NJS42 NTN27:NTO42 ODJ27:ODK42 ONF27:ONG42 OXB27:OXC42 PGX27:PGY42 PQT27:PQU42 QAP27:QAQ42 QKL27:QKM42 QUH27:QUI42 RED27:REE42 RNZ27:ROA42 RXV27:RXW42 SHR27:SHS42 SRN27:SRO42 TBJ27:TBK42 TLF27:TLG42 TVB27:TVC42 UEX27:UEY42 UOT27:UOU42 UYP27:UYQ42 VIL27:VIM42 VSH27:VSI42 WCD27:WCE42 WLZ27:WMA42 WVV27:WVW42 N65563:O65578 JJ65563:JK65578 TF65563:TG65578 ADB65563:ADC65578 AMX65563:AMY65578 AWT65563:AWU65578 BGP65563:BGQ65578 BQL65563:BQM65578 CAH65563:CAI65578 CKD65563:CKE65578 CTZ65563:CUA65578 DDV65563:DDW65578 DNR65563:DNS65578 DXN65563:DXO65578 EHJ65563:EHK65578 ERF65563:ERG65578 FBB65563:FBC65578 FKX65563:FKY65578 FUT65563:FUU65578 GEP65563:GEQ65578 GOL65563:GOM65578 GYH65563:GYI65578 HID65563:HIE65578 HRZ65563:HSA65578 IBV65563:IBW65578 ILR65563:ILS65578 IVN65563:IVO65578 JFJ65563:JFK65578 JPF65563:JPG65578 JZB65563:JZC65578 KIX65563:KIY65578 KST65563:KSU65578 LCP65563:LCQ65578 LML65563:LMM65578 LWH65563:LWI65578 MGD65563:MGE65578 MPZ65563:MQA65578 MZV65563:MZW65578 NJR65563:NJS65578 NTN65563:NTO65578 ODJ65563:ODK65578 ONF65563:ONG65578 OXB65563:OXC65578 PGX65563:PGY65578 PQT65563:PQU65578 QAP65563:QAQ65578 QKL65563:QKM65578 QUH65563:QUI65578 RED65563:REE65578 RNZ65563:ROA65578 RXV65563:RXW65578 SHR65563:SHS65578 SRN65563:SRO65578 TBJ65563:TBK65578 TLF65563:TLG65578 TVB65563:TVC65578 UEX65563:UEY65578 UOT65563:UOU65578 UYP65563:UYQ65578 VIL65563:VIM65578 VSH65563:VSI65578 WCD65563:WCE65578 WLZ65563:WMA65578 WVV65563:WVW65578 N131099:O131114 JJ131099:JK131114 TF131099:TG131114 ADB131099:ADC131114 AMX131099:AMY131114 AWT131099:AWU131114 BGP131099:BGQ131114 BQL131099:BQM131114 CAH131099:CAI131114 CKD131099:CKE131114 CTZ131099:CUA131114 DDV131099:DDW131114 DNR131099:DNS131114 DXN131099:DXO131114 EHJ131099:EHK131114 ERF131099:ERG131114 FBB131099:FBC131114 FKX131099:FKY131114 FUT131099:FUU131114 GEP131099:GEQ131114 GOL131099:GOM131114 GYH131099:GYI131114 HID131099:HIE131114 HRZ131099:HSA131114 IBV131099:IBW131114 ILR131099:ILS131114 IVN131099:IVO131114 JFJ131099:JFK131114 JPF131099:JPG131114 JZB131099:JZC131114 KIX131099:KIY131114 KST131099:KSU131114 LCP131099:LCQ131114 LML131099:LMM131114 LWH131099:LWI131114 MGD131099:MGE131114 MPZ131099:MQA131114 MZV131099:MZW131114 NJR131099:NJS131114 NTN131099:NTO131114 ODJ131099:ODK131114 ONF131099:ONG131114 OXB131099:OXC131114 PGX131099:PGY131114 PQT131099:PQU131114 QAP131099:QAQ131114 QKL131099:QKM131114 QUH131099:QUI131114 RED131099:REE131114 RNZ131099:ROA131114 RXV131099:RXW131114 SHR131099:SHS131114 SRN131099:SRO131114 TBJ131099:TBK131114 TLF131099:TLG131114 TVB131099:TVC131114 UEX131099:UEY131114 UOT131099:UOU131114 UYP131099:UYQ131114 VIL131099:VIM131114 VSH131099:VSI131114 WCD131099:WCE131114 WLZ131099:WMA131114 WVV131099:WVW131114 N196635:O196650 JJ196635:JK196650 TF196635:TG196650 ADB196635:ADC196650 AMX196635:AMY196650 AWT196635:AWU196650 BGP196635:BGQ196650 BQL196635:BQM196650 CAH196635:CAI196650 CKD196635:CKE196650 CTZ196635:CUA196650 DDV196635:DDW196650 DNR196635:DNS196650 DXN196635:DXO196650 EHJ196635:EHK196650 ERF196635:ERG196650 FBB196635:FBC196650 FKX196635:FKY196650 FUT196635:FUU196650 GEP196635:GEQ196650 GOL196635:GOM196650 GYH196635:GYI196650 HID196635:HIE196650 HRZ196635:HSA196650 IBV196635:IBW196650 ILR196635:ILS196650 IVN196635:IVO196650 JFJ196635:JFK196650 JPF196635:JPG196650 JZB196635:JZC196650 KIX196635:KIY196650 KST196635:KSU196650 LCP196635:LCQ196650 LML196635:LMM196650 LWH196635:LWI196650 MGD196635:MGE196650 MPZ196635:MQA196650 MZV196635:MZW196650 NJR196635:NJS196650 NTN196635:NTO196650 ODJ196635:ODK196650 ONF196635:ONG196650 OXB196635:OXC196650 PGX196635:PGY196650 PQT196635:PQU196650 QAP196635:QAQ196650 QKL196635:QKM196650 QUH196635:QUI196650 RED196635:REE196650 RNZ196635:ROA196650 RXV196635:RXW196650 SHR196635:SHS196650 SRN196635:SRO196650 TBJ196635:TBK196650 TLF196635:TLG196650 TVB196635:TVC196650 UEX196635:UEY196650 UOT196635:UOU196650 UYP196635:UYQ196650 VIL196635:VIM196650 VSH196635:VSI196650 WCD196635:WCE196650 WLZ196635:WMA196650 WVV196635:WVW196650 N262171:O262186 JJ262171:JK262186 TF262171:TG262186 ADB262171:ADC262186 AMX262171:AMY262186 AWT262171:AWU262186 BGP262171:BGQ262186 BQL262171:BQM262186 CAH262171:CAI262186 CKD262171:CKE262186 CTZ262171:CUA262186 DDV262171:DDW262186 DNR262171:DNS262186 DXN262171:DXO262186 EHJ262171:EHK262186 ERF262171:ERG262186 FBB262171:FBC262186 FKX262171:FKY262186 FUT262171:FUU262186 GEP262171:GEQ262186 GOL262171:GOM262186 GYH262171:GYI262186 HID262171:HIE262186 HRZ262171:HSA262186 IBV262171:IBW262186 ILR262171:ILS262186 IVN262171:IVO262186 JFJ262171:JFK262186 JPF262171:JPG262186 JZB262171:JZC262186 KIX262171:KIY262186 KST262171:KSU262186 LCP262171:LCQ262186 LML262171:LMM262186 LWH262171:LWI262186 MGD262171:MGE262186 MPZ262171:MQA262186 MZV262171:MZW262186 NJR262171:NJS262186 NTN262171:NTO262186 ODJ262171:ODK262186 ONF262171:ONG262186 OXB262171:OXC262186 PGX262171:PGY262186 PQT262171:PQU262186 QAP262171:QAQ262186 QKL262171:QKM262186 QUH262171:QUI262186 RED262171:REE262186 RNZ262171:ROA262186 RXV262171:RXW262186 SHR262171:SHS262186 SRN262171:SRO262186 TBJ262171:TBK262186 TLF262171:TLG262186 TVB262171:TVC262186 UEX262171:UEY262186 UOT262171:UOU262186 UYP262171:UYQ262186 VIL262171:VIM262186 VSH262171:VSI262186 WCD262171:WCE262186 WLZ262171:WMA262186 WVV262171:WVW262186 N327707:O327722 JJ327707:JK327722 TF327707:TG327722 ADB327707:ADC327722 AMX327707:AMY327722 AWT327707:AWU327722 BGP327707:BGQ327722 BQL327707:BQM327722 CAH327707:CAI327722 CKD327707:CKE327722 CTZ327707:CUA327722 DDV327707:DDW327722 DNR327707:DNS327722 DXN327707:DXO327722 EHJ327707:EHK327722 ERF327707:ERG327722 FBB327707:FBC327722 FKX327707:FKY327722 FUT327707:FUU327722 GEP327707:GEQ327722 GOL327707:GOM327722 GYH327707:GYI327722 HID327707:HIE327722 HRZ327707:HSA327722 IBV327707:IBW327722 ILR327707:ILS327722 IVN327707:IVO327722 JFJ327707:JFK327722 JPF327707:JPG327722 JZB327707:JZC327722 KIX327707:KIY327722 KST327707:KSU327722 LCP327707:LCQ327722 LML327707:LMM327722 LWH327707:LWI327722 MGD327707:MGE327722 MPZ327707:MQA327722 MZV327707:MZW327722 NJR327707:NJS327722 NTN327707:NTO327722 ODJ327707:ODK327722 ONF327707:ONG327722 OXB327707:OXC327722 PGX327707:PGY327722 PQT327707:PQU327722 QAP327707:QAQ327722 QKL327707:QKM327722 QUH327707:QUI327722 RED327707:REE327722 RNZ327707:ROA327722 RXV327707:RXW327722 SHR327707:SHS327722 SRN327707:SRO327722 TBJ327707:TBK327722 TLF327707:TLG327722 TVB327707:TVC327722 UEX327707:UEY327722 UOT327707:UOU327722 UYP327707:UYQ327722 VIL327707:VIM327722 VSH327707:VSI327722 WCD327707:WCE327722 WLZ327707:WMA327722 WVV327707:WVW327722 N393243:O393258 JJ393243:JK393258 TF393243:TG393258 ADB393243:ADC393258 AMX393243:AMY393258 AWT393243:AWU393258 BGP393243:BGQ393258 BQL393243:BQM393258 CAH393243:CAI393258 CKD393243:CKE393258 CTZ393243:CUA393258 DDV393243:DDW393258 DNR393243:DNS393258 DXN393243:DXO393258 EHJ393243:EHK393258 ERF393243:ERG393258 FBB393243:FBC393258 FKX393243:FKY393258 FUT393243:FUU393258 GEP393243:GEQ393258 GOL393243:GOM393258 GYH393243:GYI393258 HID393243:HIE393258 HRZ393243:HSA393258 IBV393243:IBW393258 ILR393243:ILS393258 IVN393243:IVO393258 JFJ393243:JFK393258 JPF393243:JPG393258 JZB393243:JZC393258 KIX393243:KIY393258 KST393243:KSU393258 LCP393243:LCQ393258 LML393243:LMM393258 LWH393243:LWI393258 MGD393243:MGE393258 MPZ393243:MQA393258 MZV393243:MZW393258 NJR393243:NJS393258 NTN393243:NTO393258 ODJ393243:ODK393258 ONF393243:ONG393258 OXB393243:OXC393258 PGX393243:PGY393258 PQT393243:PQU393258 QAP393243:QAQ393258 QKL393243:QKM393258 QUH393243:QUI393258 RED393243:REE393258 RNZ393243:ROA393258 RXV393243:RXW393258 SHR393243:SHS393258 SRN393243:SRO393258 TBJ393243:TBK393258 TLF393243:TLG393258 TVB393243:TVC393258 UEX393243:UEY393258 UOT393243:UOU393258 UYP393243:UYQ393258 VIL393243:VIM393258 VSH393243:VSI393258 WCD393243:WCE393258 WLZ393243:WMA393258 WVV393243:WVW393258 N458779:O458794 JJ458779:JK458794 TF458779:TG458794 ADB458779:ADC458794 AMX458779:AMY458794 AWT458779:AWU458794 BGP458779:BGQ458794 BQL458779:BQM458794 CAH458779:CAI458794 CKD458779:CKE458794 CTZ458779:CUA458794 DDV458779:DDW458794 DNR458779:DNS458794 DXN458779:DXO458794 EHJ458779:EHK458794 ERF458779:ERG458794 FBB458779:FBC458794 FKX458779:FKY458794 FUT458779:FUU458794 GEP458779:GEQ458794 GOL458779:GOM458794 GYH458779:GYI458794 HID458779:HIE458794 HRZ458779:HSA458794 IBV458779:IBW458794 ILR458779:ILS458794 IVN458779:IVO458794 JFJ458779:JFK458794 JPF458779:JPG458794 JZB458779:JZC458794 KIX458779:KIY458794 KST458779:KSU458794 LCP458779:LCQ458794 LML458779:LMM458794 LWH458779:LWI458794 MGD458779:MGE458794 MPZ458779:MQA458794 MZV458779:MZW458794 NJR458779:NJS458794 NTN458779:NTO458794 ODJ458779:ODK458794 ONF458779:ONG458794 OXB458779:OXC458794 PGX458779:PGY458794 PQT458779:PQU458794 QAP458779:QAQ458794 QKL458779:QKM458794 QUH458779:QUI458794 RED458779:REE458794 RNZ458779:ROA458794 RXV458779:RXW458794 SHR458779:SHS458794 SRN458779:SRO458794 TBJ458779:TBK458794 TLF458779:TLG458794 TVB458779:TVC458794 UEX458779:UEY458794 UOT458779:UOU458794 UYP458779:UYQ458794 VIL458779:VIM458794 VSH458779:VSI458794 WCD458779:WCE458794 WLZ458779:WMA458794 WVV458779:WVW458794 N524315:O524330 JJ524315:JK524330 TF524315:TG524330 ADB524315:ADC524330 AMX524315:AMY524330 AWT524315:AWU524330 BGP524315:BGQ524330 BQL524315:BQM524330 CAH524315:CAI524330 CKD524315:CKE524330 CTZ524315:CUA524330 DDV524315:DDW524330 DNR524315:DNS524330 DXN524315:DXO524330 EHJ524315:EHK524330 ERF524315:ERG524330 FBB524315:FBC524330 FKX524315:FKY524330 FUT524315:FUU524330 GEP524315:GEQ524330 GOL524315:GOM524330 GYH524315:GYI524330 HID524315:HIE524330 HRZ524315:HSA524330 IBV524315:IBW524330 ILR524315:ILS524330 IVN524315:IVO524330 JFJ524315:JFK524330 JPF524315:JPG524330 JZB524315:JZC524330 KIX524315:KIY524330 KST524315:KSU524330 LCP524315:LCQ524330 LML524315:LMM524330 LWH524315:LWI524330 MGD524315:MGE524330 MPZ524315:MQA524330 MZV524315:MZW524330 NJR524315:NJS524330 NTN524315:NTO524330 ODJ524315:ODK524330 ONF524315:ONG524330 OXB524315:OXC524330 PGX524315:PGY524330 PQT524315:PQU524330 QAP524315:QAQ524330 QKL524315:QKM524330 QUH524315:QUI524330 RED524315:REE524330 RNZ524315:ROA524330 RXV524315:RXW524330 SHR524315:SHS524330 SRN524315:SRO524330 TBJ524315:TBK524330 TLF524315:TLG524330 TVB524315:TVC524330 UEX524315:UEY524330 UOT524315:UOU524330 UYP524315:UYQ524330 VIL524315:VIM524330 VSH524315:VSI524330 WCD524315:WCE524330 WLZ524315:WMA524330 WVV524315:WVW524330 N589851:O589866 JJ589851:JK589866 TF589851:TG589866 ADB589851:ADC589866 AMX589851:AMY589866 AWT589851:AWU589866 BGP589851:BGQ589866 BQL589851:BQM589866 CAH589851:CAI589866 CKD589851:CKE589866 CTZ589851:CUA589866 DDV589851:DDW589866 DNR589851:DNS589866 DXN589851:DXO589866 EHJ589851:EHK589866 ERF589851:ERG589866 FBB589851:FBC589866 FKX589851:FKY589866 FUT589851:FUU589866 GEP589851:GEQ589866 GOL589851:GOM589866 GYH589851:GYI589866 HID589851:HIE589866 HRZ589851:HSA589866 IBV589851:IBW589866 ILR589851:ILS589866 IVN589851:IVO589866 JFJ589851:JFK589866 JPF589851:JPG589866 JZB589851:JZC589866 KIX589851:KIY589866 KST589851:KSU589866 LCP589851:LCQ589866 LML589851:LMM589866 LWH589851:LWI589866 MGD589851:MGE589866 MPZ589851:MQA589866 MZV589851:MZW589866 NJR589851:NJS589866 NTN589851:NTO589866 ODJ589851:ODK589866 ONF589851:ONG589866 OXB589851:OXC589866 PGX589851:PGY589866 PQT589851:PQU589866 QAP589851:QAQ589866 QKL589851:QKM589866 QUH589851:QUI589866 RED589851:REE589866 RNZ589851:ROA589866 RXV589851:RXW589866 SHR589851:SHS589866 SRN589851:SRO589866 TBJ589851:TBK589866 TLF589851:TLG589866 TVB589851:TVC589866 UEX589851:UEY589866 UOT589851:UOU589866 UYP589851:UYQ589866 VIL589851:VIM589866 VSH589851:VSI589866 WCD589851:WCE589866 WLZ589851:WMA589866 WVV589851:WVW589866 N655387:O655402 JJ655387:JK655402 TF655387:TG655402 ADB655387:ADC655402 AMX655387:AMY655402 AWT655387:AWU655402 BGP655387:BGQ655402 BQL655387:BQM655402 CAH655387:CAI655402 CKD655387:CKE655402 CTZ655387:CUA655402 DDV655387:DDW655402 DNR655387:DNS655402 DXN655387:DXO655402 EHJ655387:EHK655402 ERF655387:ERG655402 FBB655387:FBC655402 FKX655387:FKY655402 FUT655387:FUU655402 GEP655387:GEQ655402 GOL655387:GOM655402 GYH655387:GYI655402 HID655387:HIE655402 HRZ655387:HSA655402 IBV655387:IBW655402 ILR655387:ILS655402 IVN655387:IVO655402 JFJ655387:JFK655402 JPF655387:JPG655402 JZB655387:JZC655402 KIX655387:KIY655402 KST655387:KSU655402 LCP655387:LCQ655402 LML655387:LMM655402 LWH655387:LWI655402 MGD655387:MGE655402 MPZ655387:MQA655402 MZV655387:MZW655402 NJR655387:NJS655402 NTN655387:NTO655402 ODJ655387:ODK655402 ONF655387:ONG655402 OXB655387:OXC655402 PGX655387:PGY655402 PQT655387:PQU655402 QAP655387:QAQ655402 QKL655387:QKM655402 QUH655387:QUI655402 RED655387:REE655402 RNZ655387:ROA655402 RXV655387:RXW655402 SHR655387:SHS655402 SRN655387:SRO655402 TBJ655387:TBK655402 TLF655387:TLG655402 TVB655387:TVC655402 UEX655387:UEY655402 UOT655387:UOU655402 UYP655387:UYQ655402 VIL655387:VIM655402 VSH655387:VSI655402 WCD655387:WCE655402 WLZ655387:WMA655402 WVV655387:WVW655402 N720923:O720938 JJ720923:JK720938 TF720923:TG720938 ADB720923:ADC720938 AMX720923:AMY720938 AWT720923:AWU720938 BGP720923:BGQ720938 BQL720923:BQM720938 CAH720923:CAI720938 CKD720923:CKE720938 CTZ720923:CUA720938 DDV720923:DDW720938 DNR720923:DNS720938 DXN720923:DXO720938 EHJ720923:EHK720938 ERF720923:ERG720938 FBB720923:FBC720938 FKX720923:FKY720938 FUT720923:FUU720938 GEP720923:GEQ720938 GOL720923:GOM720938 GYH720923:GYI720938 HID720923:HIE720938 HRZ720923:HSA720938 IBV720923:IBW720938 ILR720923:ILS720938 IVN720923:IVO720938 JFJ720923:JFK720938 JPF720923:JPG720938 JZB720923:JZC720938 KIX720923:KIY720938 KST720923:KSU720938 LCP720923:LCQ720938 LML720923:LMM720938 LWH720923:LWI720938 MGD720923:MGE720938 MPZ720923:MQA720938 MZV720923:MZW720938 NJR720923:NJS720938 NTN720923:NTO720938 ODJ720923:ODK720938 ONF720923:ONG720938 OXB720923:OXC720938 PGX720923:PGY720938 PQT720923:PQU720938 QAP720923:QAQ720938 QKL720923:QKM720938 QUH720923:QUI720938 RED720923:REE720938 RNZ720923:ROA720938 RXV720923:RXW720938 SHR720923:SHS720938 SRN720923:SRO720938 TBJ720923:TBK720938 TLF720923:TLG720938 TVB720923:TVC720938 UEX720923:UEY720938 UOT720923:UOU720938 UYP720923:UYQ720938 VIL720923:VIM720938 VSH720923:VSI720938 WCD720923:WCE720938 WLZ720923:WMA720938 WVV720923:WVW720938 N786459:O786474 JJ786459:JK786474 TF786459:TG786474 ADB786459:ADC786474 AMX786459:AMY786474 AWT786459:AWU786474 BGP786459:BGQ786474 BQL786459:BQM786474 CAH786459:CAI786474 CKD786459:CKE786474 CTZ786459:CUA786474 DDV786459:DDW786474 DNR786459:DNS786474 DXN786459:DXO786474 EHJ786459:EHK786474 ERF786459:ERG786474 FBB786459:FBC786474 FKX786459:FKY786474 FUT786459:FUU786474 GEP786459:GEQ786474 GOL786459:GOM786474 GYH786459:GYI786474 HID786459:HIE786474 HRZ786459:HSA786474 IBV786459:IBW786474 ILR786459:ILS786474 IVN786459:IVO786474 JFJ786459:JFK786474 JPF786459:JPG786474 JZB786459:JZC786474 KIX786459:KIY786474 KST786459:KSU786474 LCP786459:LCQ786474 LML786459:LMM786474 LWH786459:LWI786474 MGD786459:MGE786474 MPZ786459:MQA786474 MZV786459:MZW786474 NJR786459:NJS786474 NTN786459:NTO786474 ODJ786459:ODK786474 ONF786459:ONG786474 OXB786459:OXC786474 PGX786459:PGY786474 PQT786459:PQU786474 QAP786459:QAQ786474 QKL786459:QKM786474 QUH786459:QUI786474 RED786459:REE786474 RNZ786459:ROA786474 RXV786459:RXW786474 SHR786459:SHS786474 SRN786459:SRO786474 TBJ786459:TBK786474 TLF786459:TLG786474 TVB786459:TVC786474 UEX786459:UEY786474 UOT786459:UOU786474 UYP786459:UYQ786474 VIL786459:VIM786474 VSH786459:VSI786474 WCD786459:WCE786474 WLZ786459:WMA786474 WVV786459:WVW786474 N851995:O852010 JJ851995:JK852010 TF851995:TG852010 ADB851995:ADC852010 AMX851995:AMY852010 AWT851995:AWU852010 BGP851995:BGQ852010 BQL851995:BQM852010 CAH851995:CAI852010 CKD851995:CKE852010 CTZ851995:CUA852010 DDV851995:DDW852010 DNR851995:DNS852010 DXN851995:DXO852010 EHJ851995:EHK852010 ERF851995:ERG852010 FBB851995:FBC852010 FKX851995:FKY852010 FUT851995:FUU852010 GEP851995:GEQ852010 GOL851995:GOM852010 GYH851995:GYI852010 HID851995:HIE852010 HRZ851995:HSA852010 IBV851995:IBW852010 ILR851995:ILS852010 IVN851995:IVO852010 JFJ851995:JFK852010 JPF851995:JPG852010 JZB851995:JZC852010 KIX851995:KIY852010 KST851995:KSU852010 LCP851995:LCQ852010 LML851995:LMM852010 LWH851995:LWI852010 MGD851995:MGE852010 MPZ851995:MQA852010 MZV851995:MZW852010 NJR851995:NJS852010 NTN851995:NTO852010 ODJ851995:ODK852010 ONF851995:ONG852010 OXB851995:OXC852010 PGX851995:PGY852010 PQT851995:PQU852010 QAP851995:QAQ852010 QKL851995:QKM852010 QUH851995:QUI852010 RED851995:REE852010 RNZ851995:ROA852010 RXV851995:RXW852010 SHR851995:SHS852010 SRN851995:SRO852010 TBJ851995:TBK852010 TLF851995:TLG852010 TVB851995:TVC852010 UEX851995:UEY852010 UOT851995:UOU852010 UYP851995:UYQ852010 VIL851995:VIM852010 VSH851995:VSI852010 WCD851995:WCE852010 WLZ851995:WMA852010 WVV851995:WVW852010 N917531:O917546 JJ917531:JK917546 TF917531:TG917546 ADB917531:ADC917546 AMX917531:AMY917546 AWT917531:AWU917546 BGP917531:BGQ917546 BQL917531:BQM917546 CAH917531:CAI917546 CKD917531:CKE917546 CTZ917531:CUA917546 DDV917531:DDW917546 DNR917531:DNS917546 DXN917531:DXO917546 EHJ917531:EHK917546 ERF917531:ERG917546 FBB917531:FBC917546 FKX917531:FKY917546 FUT917531:FUU917546 GEP917531:GEQ917546 GOL917531:GOM917546 GYH917531:GYI917546 HID917531:HIE917546 HRZ917531:HSA917546 IBV917531:IBW917546 ILR917531:ILS917546 IVN917531:IVO917546 JFJ917531:JFK917546 JPF917531:JPG917546 JZB917531:JZC917546 KIX917531:KIY917546 KST917531:KSU917546 LCP917531:LCQ917546 LML917531:LMM917546 LWH917531:LWI917546 MGD917531:MGE917546 MPZ917531:MQA917546 MZV917531:MZW917546 NJR917531:NJS917546 NTN917531:NTO917546 ODJ917531:ODK917546 ONF917531:ONG917546 OXB917531:OXC917546 PGX917531:PGY917546 PQT917531:PQU917546 QAP917531:QAQ917546 QKL917531:QKM917546 QUH917531:QUI917546 RED917531:REE917546 RNZ917531:ROA917546 RXV917531:RXW917546 SHR917531:SHS917546 SRN917531:SRO917546 TBJ917531:TBK917546 TLF917531:TLG917546 TVB917531:TVC917546 UEX917531:UEY917546 UOT917531:UOU917546 UYP917531:UYQ917546 VIL917531:VIM917546 VSH917531:VSI917546 WCD917531:WCE917546 WLZ917531:WMA917546 WVV917531:WVW917546 N983067:O983082 JJ983067:JK983082 TF983067:TG983082 ADB983067:ADC983082 AMX983067:AMY983082 AWT983067:AWU983082 BGP983067:BGQ983082 BQL983067:BQM983082 CAH983067:CAI983082 CKD983067:CKE983082 CTZ983067:CUA983082 DDV983067:DDW983082 DNR983067:DNS983082 DXN983067:DXO983082 EHJ983067:EHK983082 ERF983067:ERG983082 FBB983067:FBC983082 FKX983067:FKY983082 FUT983067:FUU983082 GEP983067:GEQ983082 GOL983067:GOM983082 GYH983067:GYI983082 HID983067:HIE983082 HRZ983067:HSA983082 IBV983067:IBW983082 ILR983067:ILS983082 IVN983067:IVO983082 JFJ983067:JFK983082 JPF983067:JPG983082 JZB983067:JZC983082 KIX983067:KIY983082 KST983067:KSU983082 LCP983067:LCQ983082 LML983067:LMM983082 LWH983067:LWI983082 MGD983067:MGE983082 MPZ983067:MQA983082 MZV983067:MZW983082 NJR983067:NJS983082 NTN983067:NTO983082 ODJ983067:ODK983082 ONF983067:ONG983082 OXB983067:OXC983082 PGX983067:PGY983082 PQT983067:PQU983082 QAP983067:QAQ983082 QKL983067:QKM983082 QUH983067:QUI983082 RED983067:REE983082 RNZ983067:ROA983082 RXV983067:RXW983082 SHR983067:SHS983082 SRN983067:SRO983082 TBJ983067:TBK983082 TLF983067:TLG983082 TVB983067:TVC983082 UEX983067:UEY983082 UOT983067:UOU983082 UYP983067:UYQ983082 VIL983067:VIM983082 VSH983067:VSI983082 WCD983067:WCE983082 WLZ983067:WMA983082 WVV983067:WVW983082 N46:O46 JJ46:JK46 TF46:TG46 ADB46:ADC46 AMX46:AMY46 AWT46:AWU46 BGP46:BGQ46 BQL46:BQM46 CAH46:CAI46 CKD46:CKE46 CTZ46:CUA46 DDV46:DDW46 DNR46:DNS46 DXN46:DXO46 EHJ46:EHK46 ERF46:ERG46 FBB46:FBC46 FKX46:FKY46 FUT46:FUU46 GEP46:GEQ46 GOL46:GOM46 GYH46:GYI46 HID46:HIE46 HRZ46:HSA46 IBV46:IBW46 ILR46:ILS46 IVN46:IVO46 JFJ46:JFK46 JPF46:JPG46 JZB46:JZC46 KIX46:KIY46 KST46:KSU46 LCP46:LCQ46 LML46:LMM46 LWH46:LWI46 MGD46:MGE46 MPZ46:MQA46 MZV46:MZW46 NJR46:NJS46 NTN46:NTO46 ODJ46:ODK46 ONF46:ONG46 OXB46:OXC46 PGX46:PGY46 PQT46:PQU46 QAP46:QAQ46 QKL46:QKM46 QUH46:QUI46 RED46:REE46 RNZ46:ROA46 RXV46:RXW46 SHR46:SHS46 SRN46:SRO46 TBJ46:TBK46 TLF46:TLG46 TVB46:TVC46 UEX46:UEY46 UOT46:UOU46 UYP46:UYQ46 VIL46:VIM46 VSH46:VSI46 WCD46:WCE46 WLZ46:WMA46 WVV46:WVW46 N65582:O65582 JJ65582:JK65582 TF65582:TG65582 ADB65582:ADC65582 AMX65582:AMY65582 AWT65582:AWU65582 BGP65582:BGQ65582 BQL65582:BQM65582 CAH65582:CAI65582 CKD65582:CKE65582 CTZ65582:CUA65582 DDV65582:DDW65582 DNR65582:DNS65582 DXN65582:DXO65582 EHJ65582:EHK65582 ERF65582:ERG65582 FBB65582:FBC65582 FKX65582:FKY65582 FUT65582:FUU65582 GEP65582:GEQ65582 GOL65582:GOM65582 GYH65582:GYI65582 HID65582:HIE65582 HRZ65582:HSA65582 IBV65582:IBW65582 ILR65582:ILS65582 IVN65582:IVO65582 JFJ65582:JFK65582 JPF65582:JPG65582 JZB65582:JZC65582 KIX65582:KIY65582 KST65582:KSU65582 LCP65582:LCQ65582 LML65582:LMM65582 LWH65582:LWI65582 MGD65582:MGE65582 MPZ65582:MQA65582 MZV65582:MZW65582 NJR65582:NJS65582 NTN65582:NTO65582 ODJ65582:ODK65582 ONF65582:ONG65582 OXB65582:OXC65582 PGX65582:PGY65582 PQT65582:PQU65582 QAP65582:QAQ65582 QKL65582:QKM65582 QUH65582:QUI65582 RED65582:REE65582 RNZ65582:ROA65582 RXV65582:RXW65582 SHR65582:SHS65582 SRN65582:SRO65582 TBJ65582:TBK65582 TLF65582:TLG65582 TVB65582:TVC65582 UEX65582:UEY65582 UOT65582:UOU65582 UYP65582:UYQ65582 VIL65582:VIM65582 VSH65582:VSI65582 WCD65582:WCE65582 WLZ65582:WMA65582 WVV65582:WVW65582 N131118:O131118 JJ131118:JK131118 TF131118:TG131118 ADB131118:ADC131118 AMX131118:AMY131118 AWT131118:AWU131118 BGP131118:BGQ131118 BQL131118:BQM131118 CAH131118:CAI131118 CKD131118:CKE131118 CTZ131118:CUA131118 DDV131118:DDW131118 DNR131118:DNS131118 DXN131118:DXO131118 EHJ131118:EHK131118 ERF131118:ERG131118 FBB131118:FBC131118 FKX131118:FKY131118 FUT131118:FUU131118 GEP131118:GEQ131118 GOL131118:GOM131118 GYH131118:GYI131118 HID131118:HIE131118 HRZ131118:HSA131118 IBV131118:IBW131118 ILR131118:ILS131118 IVN131118:IVO131118 JFJ131118:JFK131118 JPF131118:JPG131118 JZB131118:JZC131118 KIX131118:KIY131118 KST131118:KSU131118 LCP131118:LCQ131118 LML131118:LMM131118 LWH131118:LWI131118 MGD131118:MGE131118 MPZ131118:MQA131118 MZV131118:MZW131118 NJR131118:NJS131118 NTN131118:NTO131118 ODJ131118:ODK131118 ONF131118:ONG131118 OXB131118:OXC131118 PGX131118:PGY131118 PQT131118:PQU131118 QAP131118:QAQ131118 QKL131118:QKM131118 QUH131118:QUI131118 RED131118:REE131118 RNZ131118:ROA131118 RXV131118:RXW131118 SHR131118:SHS131118 SRN131118:SRO131118 TBJ131118:TBK131118 TLF131118:TLG131118 TVB131118:TVC131118 UEX131118:UEY131118 UOT131118:UOU131118 UYP131118:UYQ131118 VIL131118:VIM131118 VSH131118:VSI131118 WCD131118:WCE131118 WLZ131118:WMA131118 WVV131118:WVW131118 N196654:O196654 JJ196654:JK196654 TF196654:TG196654 ADB196654:ADC196654 AMX196654:AMY196654 AWT196654:AWU196654 BGP196654:BGQ196654 BQL196654:BQM196654 CAH196654:CAI196654 CKD196654:CKE196654 CTZ196654:CUA196654 DDV196654:DDW196654 DNR196654:DNS196654 DXN196654:DXO196654 EHJ196654:EHK196654 ERF196654:ERG196654 FBB196654:FBC196654 FKX196654:FKY196654 FUT196654:FUU196654 GEP196654:GEQ196654 GOL196654:GOM196654 GYH196654:GYI196654 HID196654:HIE196654 HRZ196654:HSA196654 IBV196654:IBW196654 ILR196654:ILS196654 IVN196654:IVO196654 JFJ196654:JFK196654 JPF196654:JPG196654 JZB196654:JZC196654 KIX196654:KIY196654 KST196654:KSU196654 LCP196654:LCQ196654 LML196654:LMM196654 LWH196654:LWI196654 MGD196654:MGE196654 MPZ196654:MQA196654 MZV196654:MZW196654 NJR196654:NJS196654 NTN196654:NTO196654 ODJ196654:ODK196654 ONF196654:ONG196654 OXB196654:OXC196654 PGX196654:PGY196654 PQT196654:PQU196654 QAP196654:QAQ196654 QKL196654:QKM196654 QUH196654:QUI196654 RED196654:REE196654 RNZ196654:ROA196654 RXV196654:RXW196654 SHR196654:SHS196654 SRN196654:SRO196654 TBJ196654:TBK196654 TLF196654:TLG196654 TVB196654:TVC196654 UEX196654:UEY196654 UOT196654:UOU196654 UYP196654:UYQ196654 VIL196654:VIM196654 VSH196654:VSI196654 WCD196654:WCE196654 WLZ196654:WMA196654 WVV196654:WVW196654 N262190:O262190 JJ262190:JK262190 TF262190:TG262190 ADB262190:ADC262190 AMX262190:AMY262190 AWT262190:AWU262190 BGP262190:BGQ262190 BQL262190:BQM262190 CAH262190:CAI262190 CKD262190:CKE262190 CTZ262190:CUA262190 DDV262190:DDW262190 DNR262190:DNS262190 DXN262190:DXO262190 EHJ262190:EHK262190 ERF262190:ERG262190 FBB262190:FBC262190 FKX262190:FKY262190 FUT262190:FUU262190 GEP262190:GEQ262190 GOL262190:GOM262190 GYH262190:GYI262190 HID262190:HIE262190 HRZ262190:HSA262190 IBV262190:IBW262190 ILR262190:ILS262190 IVN262190:IVO262190 JFJ262190:JFK262190 JPF262190:JPG262190 JZB262190:JZC262190 KIX262190:KIY262190 KST262190:KSU262190 LCP262190:LCQ262190 LML262190:LMM262190 LWH262190:LWI262190 MGD262190:MGE262190 MPZ262190:MQA262190 MZV262190:MZW262190 NJR262190:NJS262190 NTN262190:NTO262190 ODJ262190:ODK262190 ONF262190:ONG262190 OXB262190:OXC262190 PGX262190:PGY262190 PQT262190:PQU262190 QAP262190:QAQ262190 QKL262190:QKM262190 QUH262190:QUI262190 RED262190:REE262190 RNZ262190:ROA262190 RXV262190:RXW262190 SHR262190:SHS262190 SRN262190:SRO262190 TBJ262190:TBK262190 TLF262190:TLG262190 TVB262190:TVC262190 UEX262190:UEY262190 UOT262190:UOU262190 UYP262190:UYQ262190 VIL262190:VIM262190 VSH262190:VSI262190 WCD262190:WCE262190 WLZ262190:WMA262190 WVV262190:WVW262190 N327726:O327726 JJ327726:JK327726 TF327726:TG327726 ADB327726:ADC327726 AMX327726:AMY327726 AWT327726:AWU327726 BGP327726:BGQ327726 BQL327726:BQM327726 CAH327726:CAI327726 CKD327726:CKE327726 CTZ327726:CUA327726 DDV327726:DDW327726 DNR327726:DNS327726 DXN327726:DXO327726 EHJ327726:EHK327726 ERF327726:ERG327726 FBB327726:FBC327726 FKX327726:FKY327726 FUT327726:FUU327726 GEP327726:GEQ327726 GOL327726:GOM327726 GYH327726:GYI327726 HID327726:HIE327726 HRZ327726:HSA327726 IBV327726:IBW327726 ILR327726:ILS327726 IVN327726:IVO327726 JFJ327726:JFK327726 JPF327726:JPG327726 JZB327726:JZC327726 KIX327726:KIY327726 KST327726:KSU327726 LCP327726:LCQ327726 LML327726:LMM327726 LWH327726:LWI327726 MGD327726:MGE327726 MPZ327726:MQA327726 MZV327726:MZW327726 NJR327726:NJS327726 NTN327726:NTO327726 ODJ327726:ODK327726 ONF327726:ONG327726 OXB327726:OXC327726 PGX327726:PGY327726 PQT327726:PQU327726 QAP327726:QAQ327726 QKL327726:QKM327726 QUH327726:QUI327726 RED327726:REE327726 RNZ327726:ROA327726 RXV327726:RXW327726 SHR327726:SHS327726 SRN327726:SRO327726 TBJ327726:TBK327726 TLF327726:TLG327726 TVB327726:TVC327726 UEX327726:UEY327726 UOT327726:UOU327726 UYP327726:UYQ327726 VIL327726:VIM327726 VSH327726:VSI327726 WCD327726:WCE327726 WLZ327726:WMA327726 WVV327726:WVW327726 N393262:O393262 JJ393262:JK393262 TF393262:TG393262 ADB393262:ADC393262 AMX393262:AMY393262 AWT393262:AWU393262 BGP393262:BGQ393262 BQL393262:BQM393262 CAH393262:CAI393262 CKD393262:CKE393262 CTZ393262:CUA393262 DDV393262:DDW393262 DNR393262:DNS393262 DXN393262:DXO393262 EHJ393262:EHK393262 ERF393262:ERG393262 FBB393262:FBC393262 FKX393262:FKY393262 FUT393262:FUU393262 GEP393262:GEQ393262 GOL393262:GOM393262 GYH393262:GYI393262 HID393262:HIE393262 HRZ393262:HSA393262 IBV393262:IBW393262 ILR393262:ILS393262 IVN393262:IVO393262 JFJ393262:JFK393262 JPF393262:JPG393262 JZB393262:JZC393262 KIX393262:KIY393262 KST393262:KSU393262 LCP393262:LCQ393262 LML393262:LMM393262 LWH393262:LWI393262 MGD393262:MGE393262 MPZ393262:MQA393262 MZV393262:MZW393262 NJR393262:NJS393262 NTN393262:NTO393262 ODJ393262:ODK393262 ONF393262:ONG393262 OXB393262:OXC393262 PGX393262:PGY393262 PQT393262:PQU393262 QAP393262:QAQ393262 QKL393262:QKM393262 QUH393262:QUI393262 RED393262:REE393262 RNZ393262:ROA393262 RXV393262:RXW393262 SHR393262:SHS393262 SRN393262:SRO393262 TBJ393262:TBK393262 TLF393262:TLG393262 TVB393262:TVC393262 UEX393262:UEY393262 UOT393262:UOU393262 UYP393262:UYQ393262 VIL393262:VIM393262 VSH393262:VSI393262 WCD393262:WCE393262 WLZ393262:WMA393262 WVV393262:WVW393262 N458798:O458798 JJ458798:JK458798 TF458798:TG458798 ADB458798:ADC458798 AMX458798:AMY458798 AWT458798:AWU458798 BGP458798:BGQ458798 BQL458798:BQM458798 CAH458798:CAI458798 CKD458798:CKE458798 CTZ458798:CUA458798 DDV458798:DDW458798 DNR458798:DNS458798 DXN458798:DXO458798 EHJ458798:EHK458798 ERF458798:ERG458798 FBB458798:FBC458798 FKX458798:FKY458798 FUT458798:FUU458798 GEP458798:GEQ458798 GOL458798:GOM458798 GYH458798:GYI458798 HID458798:HIE458798 HRZ458798:HSA458798 IBV458798:IBW458798 ILR458798:ILS458798 IVN458798:IVO458798 JFJ458798:JFK458798 JPF458798:JPG458798 JZB458798:JZC458798 KIX458798:KIY458798 KST458798:KSU458798 LCP458798:LCQ458798 LML458798:LMM458798 LWH458798:LWI458798 MGD458798:MGE458798 MPZ458798:MQA458798 MZV458798:MZW458798 NJR458798:NJS458798 NTN458798:NTO458798 ODJ458798:ODK458798 ONF458798:ONG458798 OXB458798:OXC458798 PGX458798:PGY458798 PQT458798:PQU458798 QAP458798:QAQ458798 QKL458798:QKM458798 QUH458798:QUI458798 RED458798:REE458798 RNZ458798:ROA458798 RXV458798:RXW458798 SHR458798:SHS458798 SRN458798:SRO458798 TBJ458798:TBK458798 TLF458798:TLG458798 TVB458798:TVC458798 UEX458798:UEY458798 UOT458798:UOU458798 UYP458798:UYQ458798 VIL458798:VIM458798 VSH458798:VSI458798 WCD458798:WCE458798 WLZ458798:WMA458798 WVV458798:WVW458798 N524334:O524334 JJ524334:JK524334 TF524334:TG524334 ADB524334:ADC524334 AMX524334:AMY524334 AWT524334:AWU524334 BGP524334:BGQ524334 BQL524334:BQM524334 CAH524334:CAI524334 CKD524334:CKE524334 CTZ524334:CUA524334 DDV524334:DDW524334 DNR524334:DNS524334 DXN524334:DXO524334 EHJ524334:EHK524334 ERF524334:ERG524334 FBB524334:FBC524334 FKX524334:FKY524334 FUT524334:FUU524334 GEP524334:GEQ524334 GOL524334:GOM524334 GYH524334:GYI524334 HID524334:HIE524334 HRZ524334:HSA524334 IBV524334:IBW524334 ILR524334:ILS524334 IVN524334:IVO524334 JFJ524334:JFK524334 JPF524334:JPG524334 JZB524334:JZC524334 KIX524334:KIY524334 KST524334:KSU524334 LCP524334:LCQ524334 LML524334:LMM524334 LWH524334:LWI524334 MGD524334:MGE524334 MPZ524334:MQA524334 MZV524334:MZW524334 NJR524334:NJS524334 NTN524334:NTO524334 ODJ524334:ODK524334 ONF524334:ONG524334 OXB524334:OXC524334 PGX524334:PGY524334 PQT524334:PQU524334 QAP524334:QAQ524334 QKL524334:QKM524334 QUH524334:QUI524334 RED524334:REE524334 RNZ524334:ROA524334 RXV524334:RXW524334 SHR524334:SHS524334 SRN524334:SRO524334 TBJ524334:TBK524334 TLF524334:TLG524334 TVB524334:TVC524334 UEX524334:UEY524334 UOT524334:UOU524334 UYP524334:UYQ524334 VIL524334:VIM524334 VSH524334:VSI524334 WCD524334:WCE524334 WLZ524334:WMA524334 WVV524334:WVW524334 N589870:O589870 JJ589870:JK589870 TF589870:TG589870 ADB589870:ADC589870 AMX589870:AMY589870 AWT589870:AWU589870 BGP589870:BGQ589870 BQL589870:BQM589870 CAH589870:CAI589870 CKD589870:CKE589870 CTZ589870:CUA589870 DDV589870:DDW589870 DNR589870:DNS589870 DXN589870:DXO589870 EHJ589870:EHK589870 ERF589870:ERG589870 FBB589870:FBC589870 FKX589870:FKY589870 FUT589870:FUU589870 GEP589870:GEQ589870 GOL589870:GOM589870 GYH589870:GYI589870 HID589870:HIE589870 HRZ589870:HSA589870 IBV589870:IBW589870 ILR589870:ILS589870 IVN589870:IVO589870 JFJ589870:JFK589870 JPF589870:JPG589870 JZB589870:JZC589870 KIX589870:KIY589870 KST589870:KSU589870 LCP589870:LCQ589870 LML589870:LMM589870 LWH589870:LWI589870 MGD589870:MGE589870 MPZ589870:MQA589870 MZV589870:MZW589870 NJR589870:NJS589870 NTN589870:NTO589870 ODJ589870:ODK589870 ONF589870:ONG589870 OXB589870:OXC589870 PGX589870:PGY589870 PQT589870:PQU589870 QAP589870:QAQ589870 QKL589870:QKM589870 QUH589870:QUI589870 RED589870:REE589870 RNZ589870:ROA589870 RXV589870:RXW589870 SHR589870:SHS589870 SRN589870:SRO589870 TBJ589870:TBK589870 TLF589870:TLG589870 TVB589870:TVC589870 UEX589870:UEY589870 UOT589870:UOU589870 UYP589870:UYQ589870 VIL589870:VIM589870 VSH589870:VSI589870 WCD589870:WCE589870 WLZ589870:WMA589870 WVV589870:WVW589870 N655406:O655406 JJ655406:JK655406 TF655406:TG655406 ADB655406:ADC655406 AMX655406:AMY655406 AWT655406:AWU655406 BGP655406:BGQ655406 BQL655406:BQM655406 CAH655406:CAI655406 CKD655406:CKE655406 CTZ655406:CUA655406 DDV655406:DDW655406 DNR655406:DNS655406 DXN655406:DXO655406 EHJ655406:EHK655406 ERF655406:ERG655406 FBB655406:FBC655406 FKX655406:FKY655406 FUT655406:FUU655406 GEP655406:GEQ655406 GOL655406:GOM655406 GYH655406:GYI655406 HID655406:HIE655406 HRZ655406:HSA655406 IBV655406:IBW655406 ILR655406:ILS655406 IVN655406:IVO655406 JFJ655406:JFK655406 JPF655406:JPG655406 JZB655406:JZC655406 KIX655406:KIY655406 KST655406:KSU655406 LCP655406:LCQ655406 LML655406:LMM655406 LWH655406:LWI655406 MGD655406:MGE655406 MPZ655406:MQA655406 MZV655406:MZW655406 NJR655406:NJS655406 NTN655406:NTO655406 ODJ655406:ODK655406 ONF655406:ONG655406 OXB655406:OXC655406 PGX655406:PGY655406 PQT655406:PQU655406 QAP655406:QAQ655406 QKL655406:QKM655406 QUH655406:QUI655406 RED655406:REE655406 RNZ655406:ROA655406 RXV655406:RXW655406 SHR655406:SHS655406 SRN655406:SRO655406 TBJ655406:TBK655406 TLF655406:TLG655406 TVB655406:TVC655406 UEX655406:UEY655406 UOT655406:UOU655406 UYP655406:UYQ655406 VIL655406:VIM655406 VSH655406:VSI655406 WCD655406:WCE655406 WLZ655406:WMA655406 WVV655406:WVW655406 N720942:O720942 JJ720942:JK720942 TF720942:TG720942 ADB720942:ADC720942 AMX720942:AMY720942 AWT720942:AWU720942 BGP720942:BGQ720942 BQL720942:BQM720942 CAH720942:CAI720942 CKD720942:CKE720942 CTZ720942:CUA720942 DDV720942:DDW720942 DNR720942:DNS720942 DXN720942:DXO720942 EHJ720942:EHK720942 ERF720942:ERG720942 FBB720942:FBC720942 FKX720942:FKY720942 FUT720942:FUU720942 GEP720942:GEQ720942 GOL720942:GOM720942 GYH720942:GYI720942 HID720942:HIE720942 HRZ720942:HSA720942 IBV720942:IBW720942 ILR720942:ILS720942 IVN720942:IVO720942 JFJ720942:JFK720942 JPF720942:JPG720942 JZB720942:JZC720942 KIX720942:KIY720942 KST720942:KSU720942 LCP720942:LCQ720942 LML720942:LMM720942 LWH720942:LWI720942 MGD720942:MGE720942 MPZ720942:MQA720942 MZV720942:MZW720942 NJR720942:NJS720942 NTN720942:NTO720942 ODJ720942:ODK720942 ONF720942:ONG720942 OXB720942:OXC720942 PGX720942:PGY720942 PQT720942:PQU720942 QAP720942:QAQ720942 QKL720942:QKM720942 QUH720942:QUI720942 RED720942:REE720942 RNZ720942:ROA720942 RXV720942:RXW720942 SHR720942:SHS720942 SRN720942:SRO720942 TBJ720942:TBK720942 TLF720942:TLG720942 TVB720942:TVC720942 UEX720942:UEY720942 UOT720942:UOU720942 UYP720942:UYQ720942 VIL720942:VIM720942 VSH720942:VSI720942 WCD720942:WCE720942 WLZ720942:WMA720942 WVV720942:WVW720942 N786478:O786478 JJ786478:JK786478 TF786478:TG786478 ADB786478:ADC786478 AMX786478:AMY786478 AWT786478:AWU786478 BGP786478:BGQ786478 BQL786478:BQM786478 CAH786478:CAI786478 CKD786478:CKE786478 CTZ786478:CUA786478 DDV786478:DDW786478 DNR786478:DNS786478 DXN786478:DXO786478 EHJ786478:EHK786478 ERF786478:ERG786478 FBB786478:FBC786478 FKX786478:FKY786478 FUT786478:FUU786478 GEP786478:GEQ786478 GOL786478:GOM786478 GYH786478:GYI786478 HID786478:HIE786478 HRZ786478:HSA786478 IBV786478:IBW786478 ILR786478:ILS786478 IVN786478:IVO786478 JFJ786478:JFK786478 JPF786478:JPG786478 JZB786478:JZC786478 KIX786478:KIY786478 KST786478:KSU786478 LCP786478:LCQ786478 LML786478:LMM786478 LWH786478:LWI786478 MGD786478:MGE786478 MPZ786478:MQA786478 MZV786478:MZW786478 NJR786478:NJS786478 NTN786478:NTO786478 ODJ786478:ODK786478 ONF786478:ONG786478 OXB786478:OXC786478 PGX786478:PGY786478 PQT786478:PQU786478 QAP786478:QAQ786478 QKL786478:QKM786478 QUH786478:QUI786478 RED786478:REE786478 RNZ786478:ROA786478 RXV786478:RXW786478 SHR786478:SHS786478 SRN786478:SRO786478 TBJ786478:TBK786478 TLF786478:TLG786478 TVB786478:TVC786478 UEX786478:UEY786478 UOT786478:UOU786478 UYP786478:UYQ786478 VIL786478:VIM786478 VSH786478:VSI786478 WCD786478:WCE786478 WLZ786478:WMA786478 WVV786478:WVW786478 N852014:O852014 JJ852014:JK852014 TF852014:TG852014 ADB852014:ADC852014 AMX852014:AMY852014 AWT852014:AWU852014 BGP852014:BGQ852014 BQL852014:BQM852014 CAH852014:CAI852014 CKD852014:CKE852014 CTZ852014:CUA852014 DDV852014:DDW852014 DNR852014:DNS852014 DXN852014:DXO852014 EHJ852014:EHK852014 ERF852014:ERG852014 FBB852014:FBC852014 FKX852014:FKY852014 FUT852014:FUU852014 GEP852014:GEQ852014 GOL852014:GOM852014 GYH852014:GYI852014 HID852014:HIE852014 HRZ852014:HSA852014 IBV852014:IBW852014 ILR852014:ILS852014 IVN852014:IVO852014 JFJ852014:JFK852014 JPF852014:JPG852014 JZB852014:JZC852014 KIX852014:KIY852014 KST852014:KSU852014 LCP852014:LCQ852014 LML852014:LMM852014 LWH852014:LWI852014 MGD852014:MGE852014 MPZ852014:MQA852014 MZV852014:MZW852014 NJR852014:NJS852014 NTN852014:NTO852014 ODJ852014:ODK852014 ONF852014:ONG852014 OXB852014:OXC852014 PGX852014:PGY852014 PQT852014:PQU852014 QAP852014:QAQ852014 QKL852014:QKM852014 QUH852014:QUI852014 RED852014:REE852014 RNZ852014:ROA852014 RXV852014:RXW852014 SHR852014:SHS852014 SRN852014:SRO852014 TBJ852014:TBK852014 TLF852014:TLG852014 TVB852014:TVC852014 UEX852014:UEY852014 UOT852014:UOU852014 UYP852014:UYQ852014 VIL852014:VIM852014 VSH852014:VSI852014 WCD852014:WCE852014 WLZ852014:WMA852014 WVV852014:WVW852014 N917550:O917550 JJ917550:JK917550 TF917550:TG917550 ADB917550:ADC917550 AMX917550:AMY917550 AWT917550:AWU917550 BGP917550:BGQ917550 BQL917550:BQM917550 CAH917550:CAI917550 CKD917550:CKE917550 CTZ917550:CUA917550 DDV917550:DDW917550 DNR917550:DNS917550 DXN917550:DXO917550 EHJ917550:EHK917550 ERF917550:ERG917550 FBB917550:FBC917550 FKX917550:FKY917550 FUT917550:FUU917550 GEP917550:GEQ917550 GOL917550:GOM917550 GYH917550:GYI917550 HID917550:HIE917550 HRZ917550:HSA917550 IBV917550:IBW917550 ILR917550:ILS917550 IVN917550:IVO917550 JFJ917550:JFK917550 JPF917550:JPG917550 JZB917550:JZC917550 KIX917550:KIY917550 KST917550:KSU917550 LCP917550:LCQ917550 LML917550:LMM917550 LWH917550:LWI917550 MGD917550:MGE917550 MPZ917550:MQA917550 MZV917550:MZW917550 NJR917550:NJS917550 NTN917550:NTO917550 ODJ917550:ODK917550 ONF917550:ONG917550 OXB917550:OXC917550 PGX917550:PGY917550 PQT917550:PQU917550 QAP917550:QAQ917550 QKL917550:QKM917550 QUH917550:QUI917550 RED917550:REE917550 RNZ917550:ROA917550 RXV917550:RXW917550 SHR917550:SHS917550 SRN917550:SRO917550 TBJ917550:TBK917550 TLF917550:TLG917550 TVB917550:TVC917550 UEX917550:UEY917550 UOT917550:UOU917550 UYP917550:UYQ917550 VIL917550:VIM917550 VSH917550:VSI917550 WCD917550:WCE917550 WLZ917550:WMA917550 WVV917550:WVW917550 N983086:O983086 JJ983086:JK983086 TF983086:TG983086 ADB983086:ADC983086 AMX983086:AMY983086 AWT983086:AWU983086 BGP983086:BGQ983086 BQL983086:BQM983086 CAH983086:CAI983086 CKD983086:CKE983086 CTZ983086:CUA983086 DDV983086:DDW983086 DNR983086:DNS983086 DXN983086:DXO983086 EHJ983086:EHK983086 ERF983086:ERG983086 FBB983086:FBC983086 FKX983086:FKY983086 FUT983086:FUU983086 GEP983086:GEQ983086 GOL983086:GOM983086 GYH983086:GYI983086 HID983086:HIE983086 HRZ983086:HSA983086 IBV983086:IBW983086 ILR983086:ILS983086 IVN983086:IVO983086 JFJ983086:JFK983086 JPF983086:JPG983086 JZB983086:JZC983086 KIX983086:KIY983086 KST983086:KSU983086 LCP983086:LCQ983086 LML983086:LMM983086 LWH983086:LWI983086 MGD983086:MGE983086 MPZ983086:MQA983086 MZV983086:MZW983086 NJR983086:NJS983086 NTN983086:NTO983086 ODJ983086:ODK983086 ONF983086:ONG983086 OXB983086:OXC983086 PGX983086:PGY983086 PQT983086:PQU983086 QAP983086:QAQ983086 QKL983086:QKM983086 QUH983086:QUI983086 RED983086:REE983086 RNZ983086:ROA983086 RXV983086:RXW983086 SHR983086:SHS983086 SRN983086:SRO983086 TBJ983086:TBK983086 TLF983086:TLG983086 TVB983086:TVC983086 UEX983086:UEY983086 UOT983086:UOU983086 UYP983086:UYQ983086 VIL983086:VIM983086 VSH983086:VSI983086 WCD983086:WCE983086 WLZ983086:WMA983086 WVV983086:WVW983086 N48:O50 JJ48:JK50 TF48:TG50 ADB48:ADC50 AMX48:AMY50 AWT48:AWU50 BGP48:BGQ50 BQL48:BQM50 CAH48:CAI50 CKD48:CKE50 CTZ48:CUA50 DDV48:DDW50 DNR48:DNS50 DXN48:DXO50 EHJ48:EHK50 ERF48:ERG50 FBB48:FBC50 FKX48:FKY50 FUT48:FUU50 GEP48:GEQ50 GOL48:GOM50 GYH48:GYI50 HID48:HIE50 HRZ48:HSA50 IBV48:IBW50 ILR48:ILS50 IVN48:IVO50 JFJ48:JFK50 JPF48:JPG50 JZB48:JZC50 KIX48:KIY50 KST48:KSU50 LCP48:LCQ50 LML48:LMM50 LWH48:LWI50 MGD48:MGE50 MPZ48:MQA50 MZV48:MZW50 NJR48:NJS50 NTN48:NTO50 ODJ48:ODK50 ONF48:ONG50 OXB48:OXC50 PGX48:PGY50 PQT48:PQU50 QAP48:QAQ50 QKL48:QKM50 QUH48:QUI50 RED48:REE50 RNZ48:ROA50 RXV48:RXW50 SHR48:SHS50 SRN48:SRO50 TBJ48:TBK50 TLF48:TLG50 TVB48:TVC50 UEX48:UEY50 UOT48:UOU50 UYP48:UYQ50 VIL48:VIM50 VSH48:VSI50 WCD48:WCE50 WLZ48:WMA50 WVV48:WVW50 N65584:O65586 JJ65584:JK65586 TF65584:TG65586 ADB65584:ADC65586 AMX65584:AMY65586 AWT65584:AWU65586 BGP65584:BGQ65586 BQL65584:BQM65586 CAH65584:CAI65586 CKD65584:CKE65586 CTZ65584:CUA65586 DDV65584:DDW65586 DNR65584:DNS65586 DXN65584:DXO65586 EHJ65584:EHK65586 ERF65584:ERG65586 FBB65584:FBC65586 FKX65584:FKY65586 FUT65584:FUU65586 GEP65584:GEQ65586 GOL65584:GOM65586 GYH65584:GYI65586 HID65584:HIE65586 HRZ65584:HSA65586 IBV65584:IBW65586 ILR65584:ILS65586 IVN65584:IVO65586 JFJ65584:JFK65586 JPF65584:JPG65586 JZB65584:JZC65586 KIX65584:KIY65586 KST65584:KSU65586 LCP65584:LCQ65586 LML65584:LMM65586 LWH65584:LWI65586 MGD65584:MGE65586 MPZ65584:MQA65586 MZV65584:MZW65586 NJR65584:NJS65586 NTN65584:NTO65586 ODJ65584:ODK65586 ONF65584:ONG65586 OXB65584:OXC65586 PGX65584:PGY65586 PQT65584:PQU65586 QAP65584:QAQ65586 QKL65584:QKM65586 QUH65584:QUI65586 RED65584:REE65586 RNZ65584:ROA65586 RXV65584:RXW65586 SHR65584:SHS65586 SRN65584:SRO65586 TBJ65584:TBK65586 TLF65584:TLG65586 TVB65584:TVC65586 UEX65584:UEY65586 UOT65584:UOU65586 UYP65584:UYQ65586 VIL65584:VIM65586 VSH65584:VSI65586 WCD65584:WCE65586 WLZ65584:WMA65586 WVV65584:WVW65586 N131120:O131122 JJ131120:JK131122 TF131120:TG131122 ADB131120:ADC131122 AMX131120:AMY131122 AWT131120:AWU131122 BGP131120:BGQ131122 BQL131120:BQM131122 CAH131120:CAI131122 CKD131120:CKE131122 CTZ131120:CUA131122 DDV131120:DDW131122 DNR131120:DNS131122 DXN131120:DXO131122 EHJ131120:EHK131122 ERF131120:ERG131122 FBB131120:FBC131122 FKX131120:FKY131122 FUT131120:FUU131122 GEP131120:GEQ131122 GOL131120:GOM131122 GYH131120:GYI131122 HID131120:HIE131122 HRZ131120:HSA131122 IBV131120:IBW131122 ILR131120:ILS131122 IVN131120:IVO131122 JFJ131120:JFK131122 JPF131120:JPG131122 JZB131120:JZC131122 KIX131120:KIY131122 KST131120:KSU131122 LCP131120:LCQ131122 LML131120:LMM131122 LWH131120:LWI131122 MGD131120:MGE131122 MPZ131120:MQA131122 MZV131120:MZW131122 NJR131120:NJS131122 NTN131120:NTO131122 ODJ131120:ODK131122 ONF131120:ONG131122 OXB131120:OXC131122 PGX131120:PGY131122 PQT131120:PQU131122 QAP131120:QAQ131122 QKL131120:QKM131122 QUH131120:QUI131122 RED131120:REE131122 RNZ131120:ROA131122 RXV131120:RXW131122 SHR131120:SHS131122 SRN131120:SRO131122 TBJ131120:TBK131122 TLF131120:TLG131122 TVB131120:TVC131122 UEX131120:UEY131122 UOT131120:UOU131122 UYP131120:UYQ131122 VIL131120:VIM131122 VSH131120:VSI131122 WCD131120:WCE131122 WLZ131120:WMA131122 WVV131120:WVW131122 N196656:O196658 JJ196656:JK196658 TF196656:TG196658 ADB196656:ADC196658 AMX196656:AMY196658 AWT196656:AWU196658 BGP196656:BGQ196658 BQL196656:BQM196658 CAH196656:CAI196658 CKD196656:CKE196658 CTZ196656:CUA196658 DDV196656:DDW196658 DNR196656:DNS196658 DXN196656:DXO196658 EHJ196656:EHK196658 ERF196656:ERG196658 FBB196656:FBC196658 FKX196656:FKY196658 FUT196656:FUU196658 GEP196656:GEQ196658 GOL196656:GOM196658 GYH196656:GYI196658 HID196656:HIE196658 HRZ196656:HSA196658 IBV196656:IBW196658 ILR196656:ILS196658 IVN196656:IVO196658 JFJ196656:JFK196658 JPF196656:JPG196658 JZB196656:JZC196658 KIX196656:KIY196658 KST196656:KSU196658 LCP196656:LCQ196658 LML196656:LMM196658 LWH196656:LWI196658 MGD196656:MGE196658 MPZ196656:MQA196658 MZV196656:MZW196658 NJR196656:NJS196658 NTN196656:NTO196658 ODJ196656:ODK196658 ONF196656:ONG196658 OXB196656:OXC196658 PGX196656:PGY196658 PQT196656:PQU196658 QAP196656:QAQ196658 QKL196656:QKM196658 QUH196656:QUI196658 RED196656:REE196658 RNZ196656:ROA196658 RXV196656:RXW196658 SHR196656:SHS196658 SRN196656:SRO196658 TBJ196656:TBK196658 TLF196656:TLG196658 TVB196656:TVC196658 UEX196656:UEY196658 UOT196656:UOU196658 UYP196656:UYQ196658 VIL196656:VIM196658 VSH196656:VSI196658 WCD196656:WCE196658 WLZ196656:WMA196658 WVV196656:WVW196658 N262192:O262194 JJ262192:JK262194 TF262192:TG262194 ADB262192:ADC262194 AMX262192:AMY262194 AWT262192:AWU262194 BGP262192:BGQ262194 BQL262192:BQM262194 CAH262192:CAI262194 CKD262192:CKE262194 CTZ262192:CUA262194 DDV262192:DDW262194 DNR262192:DNS262194 DXN262192:DXO262194 EHJ262192:EHK262194 ERF262192:ERG262194 FBB262192:FBC262194 FKX262192:FKY262194 FUT262192:FUU262194 GEP262192:GEQ262194 GOL262192:GOM262194 GYH262192:GYI262194 HID262192:HIE262194 HRZ262192:HSA262194 IBV262192:IBW262194 ILR262192:ILS262194 IVN262192:IVO262194 JFJ262192:JFK262194 JPF262192:JPG262194 JZB262192:JZC262194 KIX262192:KIY262194 KST262192:KSU262194 LCP262192:LCQ262194 LML262192:LMM262194 LWH262192:LWI262194 MGD262192:MGE262194 MPZ262192:MQA262194 MZV262192:MZW262194 NJR262192:NJS262194 NTN262192:NTO262194 ODJ262192:ODK262194 ONF262192:ONG262194 OXB262192:OXC262194 PGX262192:PGY262194 PQT262192:PQU262194 QAP262192:QAQ262194 QKL262192:QKM262194 QUH262192:QUI262194 RED262192:REE262194 RNZ262192:ROA262194 RXV262192:RXW262194 SHR262192:SHS262194 SRN262192:SRO262194 TBJ262192:TBK262194 TLF262192:TLG262194 TVB262192:TVC262194 UEX262192:UEY262194 UOT262192:UOU262194 UYP262192:UYQ262194 VIL262192:VIM262194 VSH262192:VSI262194 WCD262192:WCE262194 WLZ262192:WMA262194 WVV262192:WVW262194 N327728:O327730 JJ327728:JK327730 TF327728:TG327730 ADB327728:ADC327730 AMX327728:AMY327730 AWT327728:AWU327730 BGP327728:BGQ327730 BQL327728:BQM327730 CAH327728:CAI327730 CKD327728:CKE327730 CTZ327728:CUA327730 DDV327728:DDW327730 DNR327728:DNS327730 DXN327728:DXO327730 EHJ327728:EHK327730 ERF327728:ERG327730 FBB327728:FBC327730 FKX327728:FKY327730 FUT327728:FUU327730 GEP327728:GEQ327730 GOL327728:GOM327730 GYH327728:GYI327730 HID327728:HIE327730 HRZ327728:HSA327730 IBV327728:IBW327730 ILR327728:ILS327730 IVN327728:IVO327730 JFJ327728:JFK327730 JPF327728:JPG327730 JZB327728:JZC327730 KIX327728:KIY327730 KST327728:KSU327730 LCP327728:LCQ327730 LML327728:LMM327730 LWH327728:LWI327730 MGD327728:MGE327730 MPZ327728:MQA327730 MZV327728:MZW327730 NJR327728:NJS327730 NTN327728:NTO327730 ODJ327728:ODK327730 ONF327728:ONG327730 OXB327728:OXC327730 PGX327728:PGY327730 PQT327728:PQU327730 QAP327728:QAQ327730 QKL327728:QKM327730 QUH327728:QUI327730 RED327728:REE327730 RNZ327728:ROA327730 RXV327728:RXW327730 SHR327728:SHS327730 SRN327728:SRO327730 TBJ327728:TBK327730 TLF327728:TLG327730 TVB327728:TVC327730 UEX327728:UEY327730 UOT327728:UOU327730 UYP327728:UYQ327730 VIL327728:VIM327730 VSH327728:VSI327730 WCD327728:WCE327730 WLZ327728:WMA327730 WVV327728:WVW327730 N393264:O393266 JJ393264:JK393266 TF393264:TG393266 ADB393264:ADC393266 AMX393264:AMY393266 AWT393264:AWU393266 BGP393264:BGQ393266 BQL393264:BQM393266 CAH393264:CAI393266 CKD393264:CKE393266 CTZ393264:CUA393266 DDV393264:DDW393266 DNR393264:DNS393266 DXN393264:DXO393266 EHJ393264:EHK393266 ERF393264:ERG393266 FBB393264:FBC393266 FKX393264:FKY393266 FUT393264:FUU393266 GEP393264:GEQ393266 GOL393264:GOM393266 GYH393264:GYI393266 HID393264:HIE393266 HRZ393264:HSA393266 IBV393264:IBW393266 ILR393264:ILS393266 IVN393264:IVO393266 JFJ393264:JFK393266 JPF393264:JPG393266 JZB393264:JZC393266 KIX393264:KIY393266 KST393264:KSU393266 LCP393264:LCQ393266 LML393264:LMM393266 LWH393264:LWI393266 MGD393264:MGE393266 MPZ393264:MQA393266 MZV393264:MZW393266 NJR393264:NJS393266 NTN393264:NTO393266 ODJ393264:ODK393266 ONF393264:ONG393266 OXB393264:OXC393266 PGX393264:PGY393266 PQT393264:PQU393266 QAP393264:QAQ393266 QKL393264:QKM393266 QUH393264:QUI393266 RED393264:REE393266 RNZ393264:ROA393266 RXV393264:RXW393266 SHR393264:SHS393266 SRN393264:SRO393266 TBJ393264:TBK393266 TLF393264:TLG393266 TVB393264:TVC393266 UEX393264:UEY393266 UOT393264:UOU393266 UYP393264:UYQ393266 VIL393264:VIM393266 VSH393264:VSI393266 WCD393264:WCE393266 WLZ393264:WMA393266 WVV393264:WVW393266 N458800:O458802 JJ458800:JK458802 TF458800:TG458802 ADB458800:ADC458802 AMX458800:AMY458802 AWT458800:AWU458802 BGP458800:BGQ458802 BQL458800:BQM458802 CAH458800:CAI458802 CKD458800:CKE458802 CTZ458800:CUA458802 DDV458800:DDW458802 DNR458800:DNS458802 DXN458800:DXO458802 EHJ458800:EHK458802 ERF458800:ERG458802 FBB458800:FBC458802 FKX458800:FKY458802 FUT458800:FUU458802 GEP458800:GEQ458802 GOL458800:GOM458802 GYH458800:GYI458802 HID458800:HIE458802 HRZ458800:HSA458802 IBV458800:IBW458802 ILR458800:ILS458802 IVN458800:IVO458802 JFJ458800:JFK458802 JPF458800:JPG458802 JZB458800:JZC458802 KIX458800:KIY458802 KST458800:KSU458802 LCP458800:LCQ458802 LML458800:LMM458802 LWH458800:LWI458802 MGD458800:MGE458802 MPZ458800:MQA458802 MZV458800:MZW458802 NJR458800:NJS458802 NTN458800:NTO458802 ODJ458800:ODK458802 ONF458800:ONG458802 OXB458800:OXC458802 PGX458800:PGY458802 PQT458800:PQU458802 QAP458800:QAQ458802 QKL458800:QKM458802 QUH458800:QUI458802 RED458800:REE458802 RNZ458800:ROA458802 RXV458800:RXW458802 SHR458800:SHS458802 SRN458800:SRO458802 TBJ458800:TBK458802 TLF458800:TLG458802 TVB458800:TVC458802 UEX458800:UEY458802 UOT458800:UOU458802 UYP458800:UYQ458802 VIL458800:VIM458802 VSH458800:VSI458802 WCD458800:WCE458802 WLZ458800:WMA458802 WVV458800:WVW458802 N524336:O524338 JJ524336:JK524338 TF524336:TG524338 ADB524336:ADC524338 AMX524336:AMY524338 AWT524336:AWU524338 BGP524336:BGQ524338 BQL524336:BQM524338 CAH524336:CAI524338 CKD524336:CKE524338 CTZ524336:CUA524338 DDV524336:DDW524338 DNR524336:DNS524338 DXN524336:DXO524338 EHJ524336:EHK524338 ERF524336:ERG524338 FBB524336:FBC524338 FKX524336:FKY524338 FUT524336:FUU524338 GEP524336:GEQ524338 GOL524336:GOM524338 GYH524336:GYI524338 HID524336:HIE524338 HRZ524336:HSA524338 IBV524336:IBW524338 ILR524336:ILS524338 IVN524336:IVO524338 JFJ524336:JFK524338 JPF524336:JPG524338 JZB524336:JZC524338 KIX524336:KIY524338 KST524336:KSU524338 LCP524336:LCQ524338 LML524336:LMM524338 LWH524336:LWI524338 MGD524336:MGE524338 MPZ524336:MQA524338 MZV524336:MZW524338 NJR524336:NJS524338 NTN524336:NTO524338 ODJ524336:ODK524338 ONF524336:ONG524338 OXB524336:OXC524338 PGX524336:PGY524338 PQT524336:PQU524338 QAP524336:QAQ524338 QKL524336:QKM524338 QUH524336:QUI524338 RED524336:REE524338 RNZ524336:ROA524338 RXV524336:RXW524338 SHR524336:SHS524338 SRN524336:SRO524338 TBJ524336:TBK524338 TLF524336:TLG524338 TVB524336:TVC524338 UEX524336:UEY524338 UOT524336:UOU524338 UYP524336:UYQ524338 VIL524336:VIM524338 VSH524336:VSI524338 WCD524336:WCE524338 WLZ524336:WMA524338 WVV524336:WVW524338 N589872:O589874 JJ589872:JK589874 TF589872:TG589874 ADB589872:ADC589874 AMX589872:AMY589874 AWT589872:AWU589874 BGP589872:BGQ589874 BQL589872:BQM589874 CAH589872:CAI589874 CKD589872:CKE589874 CTZ589872:CUA589874 DDV589872:DDW589874 DNR589872:DNS589874 DXN589872:DXO589874 EHJ589872:EHK589874 ERF589872:ERG589874 FBB589872:FBC589874 FKX589872:FKY589874 FUT589872:FUU589874 GEP589872:GEQ589874 GOL589872:GOM589874 GYH589872:GYI589874 HID589872:HIE589874 HRZ589872:HSA589874 IBV589872:IBW589874 ILR589872:ILS589874 IVN589872:IVO589874 JFJ589872:JFK589874 JPF589872:JPG589874 JZB589872:JZC589874 KIX589872:KIY589874 KST589872:KSU589874 LCP589872:LCQ589874 LML589872:LMM589874 LWH589872:LWI589874 MGD589872:MGE589874 MPZ589872:MQA589874 MZV589872:MZW589874 NJR589872:NJS589874 NTN589872:NTO589874 ODJ589872:ODK589874 ONF589872:ONG589874 OXB589872:OXC589874 PGX589872:PGY589874 PQT589872:PQU589874 QAP589872:QAQ589874 QKL589872:QKM589874 QUH589872:QUI589874 RED589872:REE589874 RNZ589872:ROA589874 RXV589872:RXW589874 SHR589872:SHS589874 SRN589872:SRO589874 TBJ589872:TBK589874 TLF589872:TLG589874 TVB589872:TVC589874 UEX589872:UEY589874 UOT589872:UOU589874 UYP589872:UYQ589874 VIL589872:VIM589874 VSH589872:VSI589874 WCD589872:WCE589874 WLZ589872:WMA589874 WVV589872:WVW589874 N655408:O655410 JJ655408:JK655410 TF655408:TG655410 ADB655408:ADC655410 AMX655408:AMY655410 AWT655408:AWU655410 BGP655408:BGQ655410 BQL655408:BQM655410 CAH655408:CAI655410 CKD655408:CKE655410 CTZ655408:CUA655410 DDV655408:DDW655410 DNR655408:DNS655410 DXN655408:DXO655410 EHJ655408:EHK655410 ERF655408:ERG655410 FBB655408:FBC655410 FKX655408:FKY655410 FUT655408:FUU655410 GEP655408:GEQ655410 GOL655408:GOM655410 GYH655408:GYI655410 HID655408:HIE655410 HRZ655408:HSA655410 IBV655408:IBW655410 ILR655408:ILS655410 IVN655408:IVO655410 JFJ655408:JFK655410 JPF655408:JPG655410 JZB655408:JZC655410 KIX655408:KIY655410 KST655408:KSU655410 LCP655408:LCQ655410 LML655408:LMM655410 LWH655408:LWI655410 MGD655408:MGE655410 MPZ655408:MQA655410 MZV655408:MZW655410 NJR655408:NJS655410 NTN655408:NTO655410 ODJ655408:ODK655410 ONF655408:ONG655410 OXB655408:OXC655410 PGX655408:PGY655410 PQT655408:PQU655410 QAP655408:QAQ655410 QKL655408:QKM655410 QUH655408:QUI655410 RED655408:REE655410 RNZ655408:ROA655410 RXV655408:RXW655410 SHR655408:SHS655410 SRN655408:SRO655410 TBJ655408:TBK655410 TLF655408:TLG655410 TVB655408:TVC655410 UEX655408:UEY655410 UOT655408:UOU655410 UYP655408:UYQ655410 VIL655408:VIM655410 VSH655408:VSI655410 WCD655408:WCE655410 WLZ655408:WMA655410 WVV655408:WVW655410 N720944:O720946 JJ720944:JK720946 TF720944:TG720946 ADB720944:ADC720946 AMX720944:AMY720946 AWT720944:AWU720946 BGP720944:BGQ720946 BQL720944:BQM720946 CAH720944:CAI720946 CKD720944:CKE720946 CTZ720944:CUA720946 DDV720944:DDW720946 DNR720944:DNS720946 DXN720944:DXO720946 EHJ720944:EHK720946 ERF720944:ERG720946 FBB720944:FBC720946 FKX720944:FKY720946 FUT720944:FUU720946 GEP720944:GEQ720946 GOL720944:GOM720946 GYH720944:GYI720946 HID720944:HIE720946 HRZ720944:HSA720946 IBV720944:IBW720946 ILR720944:ILS720946 IVN720944:IVO720946 JFJ720944:JFK720946 JPF720944:JPG720946 JZB720944:JZC720946 KIX720944:KIY720946 KST720944:KSU720946 LCP720944:LCQ720946 LML720944:LMM720946 LWH720944:LWI720946 MGD720944:MGE720946 MPZ720944:MQA720946 MZV720944:MZW720946 NJR720944:NJS720946 NTN720944:NTO720946 ODJ720944:ODK720946 ONF720944:ONG720946 OXB720944:OXC720946 PGX720944:PGY720946 PQT720944:PQU720946 QAP720944:QAQ720946 QKL720944:QKM720946 QUH720944:QUI720946 RED720944:REE720946 RNZ720944:ROA720946 RXV720944:RXW720946 SHR720944:SHS720946 SRN720944:SRO720946 TBJ720944:TBK720946 TLF720944:TLG720946 TVB720944:TVC720946 UEX720944:UEY720946 UOT720944:UOU720946 UYP720944:UYQ720946 VIL720944:VIM720946 VSH720944:VSI720946 WCD720944:WCE720946 WLZ720944:WMA720946 WVV720944:WVW720946 N786480:O786482 JJ786480:JK786482 TF786480:TG786482 ADB786480:ADC786482 AMX786480:AMY786482 AWT786480:AWU786482 BGP786480:BGQ786482 BQL786480:BQM786482 CAH786480:CAI786482 CKD786480:CKE786482 CTZ786480:CUA786482 DDV786480:DDW786482 DNR786480:DNS786482 DXN786480:DXO786482 EHJ786480:EHK786482 ERF786480:ERG786482 FBB786480:FBC786482 FKX786480:FKY786482 FUT786480:FUU786482 GEP786480:GEQ786482 GOL786480:GOM786482 GYH786480:GYI786482 HID786480:HIE786482 HRZ786480:HSA786482 IBV786480:IBW786482 ILR786480:ILS786482 IVN786480:IVO786482 JFJ786480:JFK786482 JPF786480:JPG786482 JZB786480:JZC786482 KIX786480:KIY786482 KST786480:KSU786482 LCP786480:LCQ786482 LML786480:LMM786482 LWH786480:LWI786482 MGD786480:MGE786482 MPZ786480:MQA786482 MZV786480:MZW786482 NJR786480:NJS786482 NTN786480:NTO786482 ODJ786480:ODK786482 ONF786480:ONG786482 OXB786480:OXC786482 PGX786480:PGY786482 PQT786480:PQU786482 QAP786480:QAQ786482 QKL786480:QKM786482 QUH786480:QUI786482 RED786480:REE786482 RNZ786480:ROA786482 RXV786480:RXW786482 SHR786480:SHS786482 SRN786480:SRO786482 TBJ786480:TBK786482 TLF786480:TLG786482 TVB786480:TVC786482 UEX786480:UEY786482 UOT786480:UOU786482 UYP786480:UYQ786482 VIL786480:VIM786482 VSH786480:VSI786482 WCD786480:WCE786482 WLZ786480:WMA786482 WVV786480:WVW786482 N852016:O852018 JJ852016:JK852018 TF852016:TG852018 ADB852016:ADC852018 AMX852016:AMY852018 AWT852016:AWU852018 BGP852016:BGQ852018 BQL852016:BQM852018 CAH852016:CAI852018 CKD852016:CKE852018 CTZ852016:CUA852018 DDV852016:DDW852018 DNR852016:DNS852018 DXN852016:DXO852018 EHJ852016:EHK852018 ERF852016:ERG852018 FBB852016:FBC852018 FKX852016:FKY852018 FUT852016:FUU852018 GEP852016:GEQ852018 GOL852016:GOM852018 GYH852016:GYI852018 HID852016:HIE852018 HRZ852016:HSA852018 IBV852016:IBW852018 ILR852016:ILS852018 IVN852016:IVO852018 JFJ852016:JFK852018 JPF852016:JPG852018 JZB852016:JZC852018 KIX852016:KIY852018 KST852016:KSU852018 LCP852016:LCQ852018 LML852016:LMM852018 LWH852016:LWI852018 MGD852016:MGE852018 MPZ852016:MQA852018 MZV852016:MZW852018 NJR852016:NJS852018 NTN852016:NTO852018 ODJ852016:ODK852018 ONF852016:ONG852018 OXB852016:OXC852018 PGX852016:PGY852018 PQT852016:PQU852018 QAP852016:QAQ852018 QKL852016:QKM852018 QUH852016:QUI852018 RED852016:REE852018 RNZ852016:ROA852018 RXV852016:RXW852018 SHR852016:SHS852018 SRN852016:SRO852018 TBJ852016:TBK852018 TLF852016:TLG852018 TVB852016:TVC852018 UEX852016:UEY852018 UOT852016:UOU852018 UYP852016:UYQ852018 VIL852016:VIM852018 VSH852016:VSI852018 WCD852016:WCE852018 WLZ852016:WMA852018 WVV852016:WVW852018 N917552:O917554 JJ917552:JK917554 TF917552:TG917554 ADB917552:ADC917554 AMX917552:AMY917554 AWT917552:AWU917554 BGP917552:BGQ917554 BQL917552:BQM917554 CAH917552:CAI917554 CKD917552:CKE917554 CTZ917552:CUA917554 DDV917552:DDW917554 DNR917552:DNS917554 DXN917552:DXO917554 EHJ917552:EHK917554 ERF917552:ERG917554 FBB917552:FBC917554 FKX917552:FKY917554 FUT917552:FUU917554 GEP917552:GEQ917554 GOL917552:GOM917554 GYH917552:GYI917554 HID917552:HIE917554 HRZ917552:HSA917554 IBV917552:IBW917554 ILR917552:ILS917554 IVN917552:IVO917554 JFJ917552:JFK917554 JPF917552:JPG917554 JZB917552:JZC917554 KIX917552:KIY917554 KST917552:KSU917554 LCP917552:LCQ917554 LML917552:LMM917554 LWH917552:LWI917554 MGD917552:MGE917554 MPZ917552:MQA917554 MZV917552:MZW917554 NJR917552:NJS917554 NTN917552:NTO917554 ODJ917552:ODK917554 ONF917552:ONG917554 OXB917552:OXC917554 PGX917552:PGY917554 PQT917552:PQU917554 QAP917552:QAQ917554 QKL917552:QKM917554 QUH917552:QUI917554 RED917552:REE917554 RNZ917552:ROA917554 RXV917552:RXW917554 SHR917552:SHS917554 SRN917552:SRO917554 TBJ917552:TBK917554 TLF917552:TLG917554 TVB917552:TVC917554 UEX917552:UEY917554 UOT917552:UOU917554 UYP917552:UYQ917554 VIL917552:VIM917554 VSH917552:VSI917554 WCD917552:WCE917554 WLZ917552:WMA917554 WVV917552:WVW917554 N983088:O983090 JJ983088:JK983090 TF983088:TG983090 ADB983088:ADC983090 AMX983088:AMY983090 AWT983088:AWU983090 BGP983088:BGQ983090 BQL983088:BQM983090 CAH983088:CAI983090 CKD983088:CKE983090 CTZ983088:CUA983090 DDV983088:DDW983090 DNR983088:DNS983090 DXN983088:DXO983090 EHJ983088:EHK983090 ERF983088:ERG983090 FBB983088:FBC983090 FKX983088:FKY983090 FUT983088:FUU983090 GEP983088:GEQ983090 GOL983088:GOM983090 GYH983088:GYI983090 HID983088:HIE983090 HRZ983088:HSA983090 IBV983088:IBW983090 ILR983088:ILS983090 IVN983088:IVO983090 JFJ983088:JFK983090 JPF983088:JPG983090 JZB983088:JZC983090 KIX983088:KIY983090 KST983088:KSU983090 LCP983088:LCQ983090 LML983088:LMM983090 LWH983088:LWI983090 MGD983088:MGE983090 MPZ983088:MQA983090 MZV983088:MZW983090 NJR983088:NJS983090 NTN983088:NTO983090 ODJ983088:ODK983090 ONF983088:ONG983090 OXB983088:OXC983090 PGX983088:PGY983090 PQT983088:PQU983090 QAP983088:QAQ983090 QKL983088:QKM983090 QUH983088:QUI983090 RED983088:REE983090 RNZ983088:ROA983090 RXV983088:RXW983090 SHR983088:SHS983090 SRN983088:SRO983090 TBJ983088:TBK983090 TLF983088:TLG983090 TVB983088:TVC983090 UEX983088:UEY983090 UOT983088:UOU983090 UYP983088:UYQ983090 VIL983088:VIM983090 VSH983088:VSI983090 WCD983088:WCE983090 WLZ983088:WMA983090 WVV983088:WVW983090 N52:O55 JJ52:JK55 TF52:TG55 ADB52:ADC55 AMX52:AMY55 AWT52:AWU55 BGP52:BGQ55 BQL52:BQM55 CAH52:CAI55 CKD52:CKE55 CTZ52:CUA55 DDV52:DDW55 DNR52:DNS55 DXN52:DXO55 EHJ52:EHK55 ERF52:ERG55 FBB52:FBC55 FKX52:FKY55 FUT52:FUU55 GEP52:GEQ55 GOL52:GOM55 GYH52:GYI55 HID52:HIE55 HRZ52:HSA55 IBV52:IBW55 ILR52:ILS55 IVN52:IVO55 JFJ52:JFK55 JPF52:JPG55 JZB52:JZC55 KIX52:KIY55 KST52:KSU55 LCP52:LCQ55 LML52:LMM55 LWH52:LWI55 MGD52:MGE55 MPZ52:MQA55 MZV52:MZW55 NJR52:NJS55 NTN52:NTO55 ODJ52:ODK55 ONF52:ONG55 OXB52:OXC55 PGX52:PGY55 PQT52:PQU55 QAP52:QAQ55 QKL52:QKM55 QUH52:QUI55 RED52:REE55 RNZ52:ROA55 RXV52:RXW55 SHR52:SHS55 SRN52:SRO55 TBJ52:TBK55 TLF52:TLG55 TVB52:TVC55 UEX52:UEY55 UOT52:UOU55 UYP52:UYQ55 VIL52:VIM55 VSH52:VSI55 WCD52:WCE55 WLZ52:WMA55 WVV52:WVW55 N65588:O65591 JJ65588:JK65591 TF65588:TG65591 ADB65588:ADC65591 AMX65588:AMY65591 AWT65588:AWU65591 BGP65588:BGQ65591 BQL65588:BQM65591 CAH65588:CAI65591 CKD65588:CKE65591 CTZ65588:CUA65591 DDV65588:DDW65591 DNR65588:DNS65591 DXN65588:DXO65591 EHJ65588:EHK65591 ERF65588:ERG65591 FBB65588:FBC65591 FKX65588:FKY65591 FUT65588:FUU65591 GEP65588:GEQ65591 GOL65588:GOM65591 GYH65588:GYI65591 HID65588:HIE65591 HRZ65588:HSA65591 IBV65588:IBW65591 ILR65588:ILS65591 IVN65588:IVO65591 JFJ65588:JFK65591 JPF65588:JPG65591 JZB65588:JZC65591 KIX65588:KIY65591 KST65588:KSU65591 LCP65588:LCQ65591 LML65588:LMM65591 LWH65588:LWI65591 MGD65588:MGE65591 MPZ65588:MQA65591 MZV65588:MZW65591 NJR65588:NJS65591 NTN65588:NTO65591 ODJ65588:ODK65591 ONF65588:ONG65591 OXB65588:OXC65591 PGX65588:PGY65591 PQT65588:PQU65591 QAP65588:QAQ65591 QKL65588:QKM65591 QUH65588:QUI65591 RED65588:REE65591 RNZ65588:ROA65591 RXV65588:RXW65591 SHR65588:SHS65591 SRN65588:SRO65591 TBJ65588:TBK65591 TLF65588:TLG65591 TVB65588:TVC65591 UEX65588:UEY65591 UOT65588:UOU65591 UYP65588:UYQ65591 VIL65588:VIM65591 VSH65588:VSI65591 WCD65588:WCE65591 WLZ65588:WMA65591 WVV65588:WVW65591 N131124:O131127 JJ131124:JK131127 TF131124:TG131127 ADB131124:ADC131127 AMX131124:AMY131127 AWT131124:AWU131127 BGP131124:BGQ131127 BQL131124:BQM131127 CAH131124:CAI131127 CKD131124:CKE131127 CTZ131124:CUA131127 DDV131124:DDW131127 DNR131124:DNS131127 DXN131124:DXO131127 EHJ131124:EHK131127 ERF131124:ERG131127 FBB131124:FBC131127 FKX131124:FKY131127 FUT131124:FUU131127 GEP131124:GEQ131127 GOL131124:GOM131127 GYH131124:GYI131127 HID131124:HIE131127 HRZ131124:HSA131127 IBV131124:IBW131127 ILR131124:ILS131127 IVN131124:IVO131127 JFJ131124:JFK131127 JPF131124:JPG131127 JZB131124:JZC131127 KIX131124:KIY131127 KST131124:KSU131127 LCP131124:LCQ131127 LML131124:LMM131127 LWH131124:LWI131127 MGD131124:MGE131127 MPZ131124:MQA131127 MZV131124:MZW131127 NJR131124:NJS131127 NTN131124:NTO131127 ODJ131124:ODK131127 ONF131124:ONG131127 OXB131124:OXC131127 PGX131124:PGY131127 PQT131124:PQU131127 QAP131124:QAQ131127 QKL131124:QKM131127 QUH131124:QUI131127 RED131124:REE131127 RNZ131124:ROA131127 RXV131124:RXW131127 SHR131124:SHS131127 SRN131124:SRO131127 TBJ131124:TBK131127 TLF131124:TLG131127 TVB131124:TVC131127 UEX131124:UEY131127 UOT131124:UOU131127 UYP131124:UYQ131127 VIL131124:VIM131127 VSH131124:VSI131127 WCD131124:WCE131127 WLZ131124:WMA131127 WVV131124:WVW131127 N196660:O196663 JJ196660:JK196663 TF196660:TG196663 ADB196660:ADC196663 AMX196660:AMY196663 AWT196660:AWU196663 BGP196660:BGQ196663 BQL196660:BQM196663 CAH196660:CAI196663 CKD196660:CKE196663 CTZ196660:CUA196663 DDV196660:DDW196663 DNR196660:DNS196663 DXN196660:DXO196663 EHJ196660:EHK196663 ERF196660:ERG196663 FBB196660:FBC196663 FKX196660:FKY196663 FUT196660:FUU196663 GEP196660:GEQ196663 GOL196660:GOM196663 GYH196660:GYI196663 HID196660:HIE196663 HRZ196660:HSA196663 IBV196660:IBW196663 ILR196660:ILS196663 IVN196660:IVO196663 JFJ196660:JFK196663 JPF196660:JPG196663 JZB196660:JZC196663 KIX196660:KIY196663 KST196660:KSU196663 LCP196660:LCQ196663 LML196660:LMM196663 LWH196660:LWI196663 MGD196660:MGE196663 MPZ196660:MQA196663 MZV196660:MZW196663 NJR196660:NJS196663 NTN196660:NTO196663 ODJ196660:ODK196663 ONF196660:ONG196663 OXB196660:OXC196663 PGX196660:PGY196663 PQT196660:PQU196663 QAP196660:QAQ196663 QKL196660:QKM196663 QUH196660:QUI196663 RED196660:REE196663 RNZ196660:ROA196663 RXV196660:RXW196663 SHR196660:SHS196663 SRN196660:SRO196663 TBJ196660:TBK196663 TLF196660:TLG196663 TVB196660:TVC196663 UEX196660:UEY196663 UOT196660:UOU196663 UYP196660:UYQ196663 VIL196660:VIM196663 VSH196660:VSI196663 WCD196660:WCE196663 WLZ196660:WMA196663 WVV196660:WVW196663 N262196:O262199 JJ262196:JK262199 TF262196:TG262199 ADB262196:ADC262199 AMX262196:AMY262199 AWT262196:AWU262199 BGP262196:BGQ262199 BQL262196:BQM262199 CAH262196:CAI262199 CKD262196:CKE262199 CTZ262196:CUA262199 DDV262196:DDW262199 DNR262196:DNS262199 DXN262196:DXO262199 EHJ262196:EHK262199 ERF262196:ERG262199 FBB262196:FBC262199 FKX262196:FKY262199 FUT262196:FUU262199 GEP262196:GEQ262199 GOL262196:GOM262199 GYH262196:GYI262199 HID262196:HIE262199 HRZ262196:HSA262199 IBV262196:IBW262199 ILR262196:ILS262199 IVN262196:IVO262199 JFJ262196:JFK262199 JPF262196:JPG262199 JZB262196:JZC262199 KIX262196:KIY262199 KST262196:KSU262199 LCP262196:LCQ262199 LML262196:LMM262199 LWH262196:LWI262199 MGD262196:MGE262199 MPZ262196:MQA262199 MZV262196:MZW262199 NJR262196:NJS262199 NTN262196:NTO262199 ODJ262196:ODK262199 ONF262196:ONG262199 OXB262196:OXC262199 PGX262196:PGY262199 PQT262196:PQU262199 QAP262196:QAQ262199 QKL262196:QKM262199 QUH262196:QUI262199 RED262196:REE262199 RNZ262196:ROA262199 RXV262196:RXW262199 SHR262196:SHS262199 SRN262196:SRO262199 TBJ262196:TBK262199 TLF262196:TLG262199 TVB262196:TVC262199 UEX262196:UEY262199 UOT262196:UOU262199 UYP262196:UYQ262199 VIL262196:VIM262199 VSH262196:VSI262199 WCD262196:WCE262199 WLZ262196:WMA262199 WVV262196:WVW262199 N327732:O327735 JJ327732:JK327735 TF327732:TG327735 ADB327732:ADC327735 AMX327732:AMY327735 AWT327732:AWU327735 BGP327732:BGQ327735 BQL327732:BQM327735 CAH327732:CAI327735 CKD327732:CKE327735 CTZ327732:CUA327735 DDV327732:DDW327735 DNR327732:DNS327735 DXN327732:DXO327735 EHJ327732:EHK327735 ERF327732:ERG327735 FBB327732:FBC327735 FKX327732:FKY327735 FUT327732:FUU327735 GEP327732:GEQ327735 GOL327732:GOM327735 GYH327732:GYI327735 HID327732:HIE327735 HRZ327732:HSA327735 IBV327732:IBW327735 ILR327732:ILS327735 IVN327732:IVO327735 JFJ327732:JFK327735 JPF327732:JPG327735 JZB327732:JZC327735 KIX327732:KIY327735 KST327732:KSU327735 LCP327732:LCQ327735 LML327732:LMM327735 LWH327732:LWI327735 MGD327732:MGE327735 MPZ327732:MQA327735 MZV327732:MZW327735 NJR327732:NJS327735 NTN327732:NTO327735 ODJ327732:ODK327735 ONF327732:ONG327735 OXB327732:OXC327735 PGX327732:PGY327735 PQT327732:PQU327735 QAP327732:QAQ327735 QKL327732:QKM327735 QUH327732:QUI327735 RED327732:REE327735 RNZ327732:ROA327735 RXV327732:RXW327735 SHR327732:SHS327735 SRN327732:SRO327735 TBJ327732:TBK327735 TLF327732:TLG327735 TVB327732:TVC327735 UEX327732:UEY327735 UOT327732:UOU327735 UYP327732:UYQ327735 VIL327732:VIM327735 VSH327732:VSI327735 WCD327732:WCE327735 WLZ327732:WMA327735 WVV327732:WVW327735 N393268:O393271 JJ393268:JK393271 TF393268:TG393271 ADB393268:ADC393271 AMX393268:AMY393271 AWT393268:AWU393271 BGP393268:BGQ393271 BQL393268:BQM393271 CAH393268:CAI393271 CKD393268:CKE393271 CTZ393268:CUA393271 DDV393268:DDW393271 DNR393268:DNS393271 DXN393268:DXO393271 EHJ393268:EHK393271 ERF393268:ERG393271 FBB393268:FBC393271 FKX393268:FKY393271 FUT393268:FUU393271 GEP393268:GEQ393271 GOL393268:GOM393271 GYH393268:GYI393271 HID393268:HIE393271 HRZ393268:HSA393271 IBV393268:IBW393271 ILR393268:ILS393271 IVN393268:IVO393271 JFJ393268:JFK393271 JPF393268:JPG393271 JZB393268:JZC393271 KIX393268:KIY393271 KST393268:KSU393271 LCP393268:LCQ393271 LML393268:LMM393271 LWH393268:LWI393271 MGD393268:MGE393271 MPZ393268:MQA393271 MZV393268:MZW393271 NJR393268:NJS393271 NTN393268:NTO393271 ODJ393268:ODK393271 ONF393268:ONG393271 OXB393268:OXC393271 PGX393268:PGY393271 PQT393268:PQU393271 QAP393268:QAQ393271 QKL393268:QKM393271 QUH393268:QUI393271 RED393268:REE393271 RNZ393268:ROA393271 RXV393268:RXW393271 SHR393268:SHS393271 SRN393268:SRO393271 TBJ393268:TBK393271 TLF393268:TLG393271 TVB393268:TVC393271 UEX393268:UEY393271 UOT393268:UOU393271 UYP393268:UYQ393271 VIL393268:VIM393271 VSH393268:VSI393271 WCD393268:WCE393271 WLZ393268:WMA393271 WVV393268:WVW393271 N458804:O458807 JJ458804:JK458807 TF458804:TG458807 ADB458804:ADC458807 AMX458804:AMY458807 AWT458804:AWU458807 BGP458804:BGQ458807 BQL458804:BQM458807 CAH458804:CAI458807 CKD458804:CKE458807 CTZ458804:CUA458807 DDV458804:DDW458807 DNR458804:DNS458807 DXN458804:DXO458807 EHJ458804:EHK458807 ERF458804:ERG458807 FBB458804:FBC458807 FKX458804:FKY458807 FUT458804:FUU458807 GEP458804:GEQ458807 GOL458804:GOM458807 GYH458804:GYI458807 HID458804:HIE458807 HRZ458804:HSA458807 IBV458804:IBW458807 ILR458804:ILS458807 IVN458804:IVO458807 JFJ458804:JFK458807 JPF458804:JPG458807 JZB458804:JZC458807 KIX458804:KIY458807 KST458804:KSU458807 LCP458804:LCQ458807 LML458804:LMM458807 LWH458804:LWI458807 MGD458804:MGE458807 MPZ458804:MQA458807 MZV458804:MZW458807 NJR458804:NJS458807 NTN458804:NTO458807 ODJ458804:ODK458807 ONF458804:ONG458807 OXB458804:OXC458807 PGX458804:PGY458807 PQT458804:PQU458807 QAP458804:QAQ458807 QKL458804:QKM458807 QUH458804:QUI458807 RED458804:REE458807 RNZ458804:ROA458807 RXV458804:RXW458807 SHR458804:SHS458807 SRN458804:SRO458807 TBJ458804:TBK458807 TLF458804:TLG458807 TVB458804:TVC458807 UEX458804:UEY458807 UOT458804:UOU458807 UYP458804:UYQ458807 VIL458804:VIM458807 VSH458804:VSI458807 WCD458804:WCE458807 WLZ458804:WMA458807 WVV458804:WVW458807 N524340:O524343 JJ524340:JK524343 TF524340:TG524343 ADB524340:ADC524343 AMX524340:AMY524343 AWT524340:AWU524343 BGP524340:BGQ524343 BQL524340:BQM524343 CAH524340:CAI524343 CKD524340:CKE524343 CTZ524340:CUA524343 DDV524340:DDW524343 DNR524340:DNS524343 DXN524340:DXO524343 EHJ524340:EHK524343 ERF524340:ERG524343 FBB524340:FBC524343 FKX524340:FKY524343 FUT524340:FUU524343 GEP524340:GEQ524343 GOL524340:GOM524343 GYH524340:GYI524343 HID524340:HIE524343 HRZ524340:HSA524343 IBV524340:IBW524343 ILR524340:ILS524343 IVN524340:IVO524343 JFJ524340:JFK524343 JPF524340:JPG524343 JZB524340:JZC524343 KIX524340:KIY524343 KST524340:KSU524343 LCP524340:LCQ524343 LML524340:LMM524343 LWH524340:LWI524343 MGD524340:MGE524343 MPZ524340:MQA524343 MZV524340:MZW524343 NJR524340:NJS524343 NTN524340:NTO524343 ODJ524340:ODK524343 ONF524340:ONG524343 OXB524340:OXC524343 PGX524340:PGY524343 PQT524340:PQU524343 QAP524340:QAQ524343 QKL524340:QKM524343 QUH524340:QUI524343 RED524340:REE524343 RNZ524340:ROA524343 RXV524340:RXW524343 SHR524340:SHS524343 SRN524340:SRO524343 TBJ524340:TBK524343 TLF524340:TLG524343 TVB524340:TVC524343 UEX524340:UEY524343 UOT524340:UOU524343 UYP524340:UYQ524343 VIL524340:VIM524343 VSH524340:VSI524343 WCD524340:WCE524343 WLZ524340:WMA524343 WVV524340:WVW524343 N589876:O589879 JJ589876:JK589879 TF589876:TG589879 ADB589876:ADC589879 AMX589876:AMY589879 AWT589876:AWU589879 BGP589876:BGQ589879 BQL589876:BQM589879 CAH589876:CAI589879 CKD589876:CKE589879 CTZ589876:CUA589879 DDV589876:DDW589879 DNR589876:DNS589879 DXN589876:DXO589879 EHJ589876:EHK589879 ERF589876:ERG589879 FBB589876:FBC589879 FKX589876:FKY589879 FUT589876:FUU589879 GEP589876:GEQ589879 GOL589876:GOM589879 GYH589876:GYI589879 HID589876:HIE589879 HRZ589876:HSA589879 IBV589876:IBW589879 ILR589876:ILS589879 IVN589876:IVO589879 JFJ589876:JFK589879 JPF589876:JPG589879 JZB589876:JZC589879 KIX589876:KIY589879 KST589876:KSU589879 LCP589876:LCQ589879 LML589876:LMM589879 LWH589876:LWI589879 MGD589876:MGE589879 MPZ589876:MQA589879 MZV589876:MZW589879 NJR589876:NJS589879 NTN589876:NTO589879 ODJ589876:ODK589879 ONF589876:ONG589879 OXB589876:OXC589879 PGX589876:PGY589879 PQT589876:PQU589879 QAP589876:QAQ589879 QKL589876:QKM589879 QUH589876:QUI589879 RED589876:REE589879 RNZ589876:ROA589879 RXV589876:RXW589879 SHR589876:SHS589879 SRN589876:SRO589879 TBJ589876:TBK589879 TLF589876:TLG589879 TVB589876:TVC589879 UEX589876:UEY589879 UOT589876:UOU589879 UYP589876:UYQ589879 VIL589876:VIM589879 VSH589876:VSI589879 WCD589876:WCE589879 WLZ589876:WMA589879 WVV589876:WVW589879 N655412:O655415 JJ655412:JK655415 TF655412:TG655415 ADB655412:ADC655415 AMX655412:AMY655415 AWT655412:AWU655415 BGP655412:BGQ655415 BQL655412:BQM655415 CAH655412:CAI655415 CKD655412:CKE655415 CTZ655412:CUA655415 DDV655412:DDW655415 DNR655412:DNS655415 DXN655412:DXO655415 EHJ655412:EHK655415 ERF655412:ERG655415 FBB655412:FBC655415 FKX655412:FKY655415 FUT655412:FUU655415 GEP655412:GEQ655415 GOL655412:GOM655415 GYH655412:GYI655415 HID655412:HIE655415 HRZ655412:HSA655415 IBV655412:IBW655415 ILR655412:ILS655415 IVN655412:IVO655415 JFJ655412:JFK655415 JPF655412:JPG655415 JZB655412:JZC655415 KIX655412:KIY655415 KST655412:KSU655415 LCP655412:LCQ655415 LML655412:LMM655415 LWH655412:LWI655415 MGD655412:MGE655415 MPZ655412:MQA655415 MZV655412:MZW655415 NJR655412:NJS655415 NTN655412:NTO655415 ODJ655412:ODK655415 ONF655412:ONG655415 OXB655412:OXC655415 PGX655412:PGY655415 PQT655412:PQU655415 QAP655412:QAQ655415 QKL655412:QKM655415 QUH655412:QUI655415 RED655412:REE655415 RNZ655412:ROA655415 RXV655412:RXW655415 SHR655412:SHS655415 SRN655412:SRO655415 TBJ655412:TBK655415 TLF655412:TLG655415 TVB655412:TVC655415 UEX655412:UEY655415 UOT655412:UOU655415 UYP655412:UYQ655415 VIL655412:VIM655415 VSH655412:VSI655415 WCD655412:WCE655415 WLZ655412:WMA655415 WVV655412:WVW655415 N720948:O720951 JJ720948:JK720951 TF720948:TG720951 ADB720948:ADC720951 AMX720948:AMY720951 AWT720948:AWU720951 BGP720948:BGQ720951 BQL720948:BQM720951 CAH720948:CAI720951 CKD720948:CKE720951 CTZ720948:CUA720951 DDV720948:DDW720951 DNR720948:DNS720951 DXN720948:DXO720951 EHJ720948:EHK720951 ERF720948:ERG720951 FBB720948:FBC720951 FKX720948:FKY720951 FUT720948:FUU720951 GEP720948:GEQ720951 GOL720948:GOM720951 GYH720948:GYI720951 HID720948:HIE720951 HRZ720948:HSA720951 IBV720948:IBW720951 ILR720948:ILS720951 IVN720948:IVO720951 JFJ720948:JFK720951 JPF720948:JPG720951 JZB720948:JZC720951 KIX720948:KIY720951 KST720948:KSU720951 LCP720948:LCQ720951 LML720948:LMM720951 LWH720948:LWI720951 MGD720948:MGE720951 MPZ720948:MQA720951 MZV720948:MZW720951 NJR720948:NJS720951 NTN720948:NTO720951 ODJ720948:ODK720951 ONF720948:ONG720951 OXB720948:OXC720951 PGX720948:PGY720951 PQT720948:PQU720951 QAP720948:QAQ720951 QKL720948:QKM720951 QUH720948:QUI720951 RED720948:REE720951 RNZ720948:ROA720951 RXV720948:RXW720951 SHR720948:SHS720951 SRN720948:SRO720951 TBJ720948:TBK720951 TLF720948:TLG720951 TVB720948:TVC720951 UEX720948:UEY720951 UOT720948:UOU720951 UYP720948:UYQ720951 VIL720948:VIM720951 VSH720948:VSI720951 WCD720948:WCE720951 WLZ720948:WMA720951 WVV720948:WVW720951 N786484:O786487 JJ786484:JK786487 TF786484:TG786487 ADB786484:ADC786487 AMX786484:AMY786487 AWT786484:AWU786487 BGP786484:BGQ786487 BQL786484:BQM786487 CAH786484:CAI786487 CKD786484:CKE786487 CTZ786484:CUA786487 DDV786484:DDW786487 DNR786484:DNS786487 DXN786484:DXO786487 EHJ786484:EHK786487 ERF786484:ERG786487 FBB786484:FBC786487 FKX786484:FKY786487 FUT786484:FUU786487 GEP786484:GEQ786487 GOL786484:GOM786487 GYH786484:GYI786487 HID786484:HIE786487 HRZ786484:HSA786487 IBV786484:IBW786487 ILR786484:ILS786487 IVN786484:IVO786487 JFJ786484:JFK786487 JPF786484:JPG786487 JZB786484:JZC786487 KIX786484:KIY786487 KST786484:KSU786487 LCP786484:LCQ786487 LML786484:LMM786487 LWH786484:LWI786487 MGD786484:MGE786487 MPZ786484:MQA786487 MZV786484:MZW786487 NJR786484:NJS786487 NTN786484:NTO786487 ODJ786484:ODK786487 ONF786484:ONG786487 OXB786484:OXC786487 PGX786484:PGY786487 PQT786484:PQU786487 QAP786484:QAQ786487 QKL786484:QKM786487 QUH786484:QUI786487 RED786484:REE786487 RNZ786484:ROA786487 RXV786484:RXW786487 SHR786484:SHS786487 SRN786484:SRO786487 TBJ786484:TBK786487 TLF786484:TLG786487 TVB786484:TVC786487 UEX786484:UEY786487 UOT786484:UOU786487 UYP786484:UYQ786487 VIL786484:VIM786487 VSH786484:VSI786487 WCD786484:WCE786487 WLZ786484:WMA786487 WVV786484:WVW786487 N852020:O852023 JJ852020:JK852023 TF852020:TG852023 ADB852020:ADC852023 AMX852020:AMY852023 AWT852020:AWU852023 BGP852020:BGQ852023 BQL852020:BQM852023 CAH852020:CAI852023 CKD852020:CKE852023 CTZ852020:CUA852023 DDV852020:DDW852023 DNR852020:DNS852023 DXN852020:DXO852023 EHJ852020:EHK852023 ERF852020:ERG852023 FBB852020:FBC852023 FKX852020:FKY852023 FUT852020:FUU852023 GEP852020:GEQ852023 GOL852020:GOM852023 GYH852020:GYI852023 HID852020:HIE852023 HRZ852020:HSA852023 IBV852020:IBW852023 ILR852020:ILS852023 IVN852020:IVO852023 JFJ852020:JFK852023 JPF852020:JPG852023 JZB852020:JZC852023 KIX852020:KIY852023 KST852020:KSU852023 LCP852020:LCQ852023 LML852020:LMM852023 LWH852020:LWI852023 MGD852020:MGE852023 MPZ852020:MQA852023 MZV852020:MZW852023 NJR852020:NJS852023 NTN852020:NTO852023 ODJ852020:ODK852023 ONF852020:ONG852023 OXB852020:OXC852023 PGX852020:PGY852023 PQT852020:PQU852023 QAP852020:QAQ852023 QKL852020:QKM852023 QUH852020:QUI852023 RED852020:REE852023 RNZ852020:ROA852023 RXV852020:RXW852023 SHR852020:SHS852023 SRN852020:SRO852023 TBJ852020:TBK852023 TLF852020:TLG852023 TVB852020:TVC852023 UEX852020:UEY852023 UOT852020:UOU852023 UYP852020:UYQ852023 VIL852020:VIM852023 VSH852020:VSI852023 WCD852020:WCE852023 WLZ852020:WMA852023 WVV852020:WVW852023 N917556:O917559 JJ917556:JK917559 TF917556:TG917559 ADB917556:ADC917559 AMX917556:AMY917559 AWT917556:AWU917559 BGP917556:BGQ917559 BQL917556:BQM917559 CAH917556:CAI917559 CKD917556:CKE917559 CTZ917556:CUA917559 DDV917556:DDW917559 DNR917556:DNS917559 DXN917556:DXO917559 EHJ917556:EHK917559 ERF917556:ERG917559 FBB917556:FBC917559 FKX917556:FKY917559 FUT917556:FUU917559 GEP917556:GEQ917559 GOL917556:GOM917559 GYH917556:GYI917559 HID917556:HIE917559 HRZ917556:HSA917559 IBV917556:IBW917559 ILR917556:ILS917559 IVN917556:IVO917559 JFJ917556:JFK917559 JPF917556:JPG917559 JZB917556:JZC917559 KIX917556:KIY917559 KST917556:KSU917559 LCP917556:LCQ917559 LML917556:LMM917559 LWH917556:LWI917559 MGD917556:MGE917559 MPZ917556:MQA917559 MZV917556:MZW917559 NJR917556:NJS917559 NTN917556:NTO917559 ODJ917556:ODK917559 ONF917556:ONG917559 OXB917556:OXC917559 PGX917556:PGY917559 PQT917556:PQU917559 QAP917556:QAQ917559 QKL917556:QKM917559 QUH917556:QUI917559 RED917556:REE917559 RNZ917556:ROA917559 RXV917556:RXW917559 SHR917556:SHS917559 SRN917556:SRO917559 TBJ917556:TBK917559 TLF917556:TLG917559 TVB917556:TVC917559 UEX917556:UEY917559 UOT917556:UOU917559 UYP917556:UYQ917559 VIL917556:VIM917559 VSH917556:VSI917559 WCD917556:WCE917559 WLZ917556:WMA917559 WVV917556:WVW917559 N983092:O983095 JJ983092:JK983095 TF983092:TG983095 ADB983092:ADC983095 AMX983092:AMY983095 AWT983092:AWU983095 BGP983092:BGQ983095 BQL983092:BQM983095 CAH983092:CAI983095 CKD983092:CKE983095 CTZ983092:CUA983095 DDV983092:DDW983095 DNR983092:DNS983095 DXN983092:DXO983095 EHJ983092:EHK983095 ERF983092:ERG983095 FBB983092:FBC983095 FKX983092:FKY983095 FUT983092:FUU983095 GEP983092:GEQ983095 GOL983092:GOM983095 GYH983092:GYI983095 HID983092:HIE983095 HRZ983092:HSA983095 IBV983092:IBW983095 ILR983092:ILS983095 IVN983092:IVO983095 JFJ983092:JFK983095 JPF983092:JPG983095 JZB983092:JZC983095 KIX983092:KIY983095 KST983092:KSU983095 LCP983092:LCQ983095 LML983092:LMM983095 LWH983092:LWI983095 MGD983092:MGE983095 MPZ983092:MQA983095 MZV983092:MZW983095 NJR983092:NJS983095 NTN983092:NTO983095 ODJ983092:ODK983095 ONF983092:ONG983095 OXB983092:OXC983095 PGX983092:PGY983095 PQT983092:PQU983095 QAP983092:QAQ983095 QKL983092:QKM983095 QUH983092:QUI983095 RED983092:REE983095 RNZ983092:ROA983095 RXV983092:RXW983095 SHR983092:SHS983095 SRN983092:SRO983095 TBJ983092:TBK983095 TLF983092:TLG983095 TVB983092:TVC983095 UEX983092:UEY983095 UOT983092:UOU983095 UYP983092:UYQ983095 VIL983092:VIM983095 VSH983092:VSI983095 WCD983092:WCE983095 WLZ983092:WMA983095 WVV983092:WVW983095 O56:O58 JK56:JK58 TG56:TG58 ADC56:ADC58 AMY56:AMY58 AWU56:AWU58 BGQ56:BGQ58 BQM56:BQM58 CAI56:CAI58 CKE56:CKE58 CUA56:CUA58 DDW56:DDW58 DNS56:DNS58 DXO56:DXO58 EHK56:EHK58 ERG56:ERG58 FBC56:FBC58 FKY56:FKY58 FUU56:FUU58 GEQ56:GEQ58 GOM56:GOM58 GYI56:GYI58 HIE56:HIE58 HSA56:HSA58 IBW56:IBW58 ILS56:ILS58 IVO56:IVO58 JFK56:JFK58 JPG56:JPG58 JZC56:JZC58 KIY56:KIY58 KSU56:KSU58 LCQ56:LCQ58 LMM56:LMM58 LWI56:LWI58 MGE56:MGE58 MQA56:MQA58 MZW56:MZW58 NJS56:NJS58 NTO56:NTO58 ODK56:ODK58 ONG56:ONG58 OXC56:OXC58 PGY56:PGY58 PQU56:PQU58 QAQ56:QAQ58 QKM56:QKM58 QUI56:QUI58 REE56:REE58 ROA56:ROA58 RXW56:RXW58 SHS56:SHS58 SRO56:SRO58 TBK56:TBK58 TLG56:TLG58 TVC56:TVC58 UEY56:UEY58 UOU56:UOU58 UYQ56:UYQ58 VIM56:VIM58 VSI56:VSI58 WCE56:WCE58 WMA56:WMA58 WVW56:WVW58 O65592:O65594 JK65592:JK65594 TG65592:TG65594 ADC65592:ADC65594 AMY65592:AMY65594 AWU65592:AWU65594 BGQ65592:BGQ65594 BQM65592:BQM65594 CAI65592:CAI65594 CKE65592:CKE65594 CUA65592:CUA65594 DDW65592:DDW65594 DNS65592:DNS65594 DXO65592:DXO65594 EHK65592:EHK65594 ERG65592:ERG65594 FBC65592:FBC65594 FKY65592:FKY65594 FUU65592:FUU65594 GEQ65592:GEQ65594 GOM65592:GOM65594 GYI65592:GYI65594 HIE65592:HIE65594 HSA65592:HSA65594 IBW65592:IBW65594 ILS65592:ILS65594 IVO65592:IVO65594 JFK65592:JFK65594 JPG65592:JPG65594 JZC65592:JZC65594 KIY65592:KIY65594 KSU65592:KSU65594 LCQ65592:LCQ65594 LMM65592:LMM65594 LWI65592:LWI65594 MGE65592:MGE65594 MQA65592:MQA65594 MZW65592:MZW65594 NJS65592:NJS65594 NTO65592:NTO65594 ODK65592:ODK65594 ONG65592:ONG65594 OXC65592:OXC65594 PGY65592:PGY65594 PQU65592:PQU65594 QAQ65592:QAQ65594 QKM65592:QKM65594 QUI65592:QUI65594 REE65592:REE65594 ROA65592:ROA65594 RXW65592:RXW65594 SHS65592:SHS65594 SRO65592:SRO65594 TBK65592:TBK65594 TLG65592:TLG65594 TVC65592:TVC65594 UEY65592:UEY65594 UOU65592:UOU65594 UYQ65592:UYQ65594 VIM65592:VIM65594 VSI65592:VSI65594 WCE65592:WCE65594 WMA65592:WMA65594 WVW65592:WVW65594 O131128:O131130 JK131128:JK131130 TG131128:TG131130 ADC131128:ADC131130 AMY131128:AMY131130 AWU131128:AWU131130 BGQ131128:BGQ131130 BQM131128:BQM131130 CAI131128:CAI131130 CKE131128:CKE131130 CUA131128:CUA131130 DDW131128:DDW131130 DNS131128:DNS131130 DXO131128:DXO131130 EHK131128:EHK131130 ERG131128:ERG131130 FBC131128:FBC131130 FKY131128:FKY131130 FUU131128:FUU131130 GEQ131128:GEQ131130 GOM131128:GOM131130 GYI131128:GYI131130 HIE131128:HIE131130 HSA131128:HSA131130 IBW131128:IBW131130 ILS131128:ILS131130 IVO131128:IVO131130 JFK131128:JFK131130 JPG131128:JPG131130 JZC131128:JZC131130 KIY131128:KIY131130 KSU131128:KSU131130 LCQ131128:LCQ131130 LMM131128:LMM131130 LWI131128:LWI131130 MGE131128:MGE131130 MQA131128:MQA131130 MZW131128:MZW131130 NJS131128:NJS131130 NTO131128:NTO131130 ODK131128:ODK131130 ONG131128:ONG131130 OXC131128:OXC131130 PGY131128:PGY131130 PQU131128:PQU131130 QAQ131128:QAQ131130 QKM131128:QKM131130 QUI131128:QUI131130 REE131128:REE131130 ROA131128:ROA131130 RXW131128:RXW131130 SHS131128:SHS131130 SRO131128:SRO131130 TBK131128:TBK131130 TLG131128:TLG131130 TVC131128:TVC131130 UEY131128:UEY131130 UOU131128:UOU131130 UYQ131128:UYQ131130 VIM131128:VIM131130 VSI131128:VSI131130 WCE131128:WCE131130 WMA131128:WMA131130 WVW131128:WVW131130 O196664:O196666 JK196664:JK196666 TG196664:TG196666 ADC196664:ADC196666 AMY196664:AMY196666 AWU196664:AWU196666 BGQ196664:BGQ196666 BQM196664:BQM196666 CAI196664:CAI196666 CKE196664:CKE196666 CUA196664:CUA196666 DDW196664:DDW196666 DNS196664:DNS196666 DXO196664:DXO196666 EHK196664:EHK196666 ERG196664:ERG196666 FBC196664:FBC196666 FKY196664:FKY196666 FUU196664:FUU196666 GEQ196664:GEQ196666 GOM196664:GOM196666 GYI196664:GYI196666 HIE196664:HIE196666 HSA196664:HSA196666 IBW196664:IBW196666 ILS196664:ILS196666 IVO196664:IVO196666 JFK196664:JFK196666 JPG196664:JPG196666 JZC196664:JZC196666 KIY196664:KIY196666 KSU196664:KSU196666 LCQ196664:LCQ196666 LMM196664:LMM196666 LWI196664:LWI196666 MGE196664:MGE196666 MQA196664:MQA196666 MZW196664:MZW196666 NJS196664:NJS196666 NTO196664:NTO196666 ODK196664:ODK196666 ONG196664:ONG196666 OXC196664:OXC196666 PGY196664:PGY196666 PQU196664:PQU196666 QAQ196664:QAQ196666 QKM196664:QKM196666 QUI196664:QUI196666 REE196664:REE196666 ROA196664:ROA196666 RXW196664:RXW196666 SHS196664:SHS196666 SRO196664:SRO196666 TBK196664:TBK196666 TLG196664:TLG196666 TVC196664:TVC196666 UEY196664:UEY196666 UOU196664:UOU196666 UYQ196664:UYQ196666 VIM196664:VIM196666 VSI196664:VSI196666 WCE196664:WCE196666 WMA196664:WMA196666 WVW196664:WVW196666 O262200:O262202 JK262200:JK262202 TG262200:TG262202 ADC262200:ADC262202 AMY262200:AMY262202 AWU262200:AWU262202 BGQ262200:BGQ262202 BQM262200:BQM262202 CAI262200:CAI262202 CKE262200:CKE262202 CUA262200:CUA262202 DDW262200:DDW262202 DNS262200:DNS262202 DXO262200:DXO262202 EHK262200:EHK262202 ERG262200:ERG262202 FBC262200:FBC262202 FKY262200:FKY262202 FUU262200:FUU262202 GEQ262200:GEQ262202 GOM262200:GOM262202 GYI262200:GYI262202 HIE262200:HIE262202 HSA262200:HSA262202 IBW262200:IBW262202 ILS262200:ILS262202 IVO262200:IVO262202 JFK262200:JFK262202 JPG262200:JPG262202 JZC262200:JZC262202 KIY262200:KIY262202 KSU262200:KSU262202 LCQ262200:LCQ262202 LMM262200:LMM262202 LWI262200:LWI262202 MGE262200:MGE262202 MQA262200:MQA262202 MZW262200:MZW262202 NJS262200:NJS262202 NTO262200:NTO262202 ODK262200:ODK262202 ONG262200:ONG262202 OXC262200:OXC262202 PGY262200:PGY262202 PQU262200:PQU262202 QAQ262200:QAQ262202 QKM262200:QKM262202 QUI262200:QUI262202 REE262200:REE262202 ROA262200:ROA262202 RXW262200:RXW262202 SHS262200:SHS262202 SRO262200:SRO262202 TBK262200:TBK262202 TLG262200:TLG262202 TVC262200:TVC262202 UEY262200:UEY262202 UOU262200:UOU262202 UYQ262200:UYQ262202 VIM262200:VIM262202 VSI262200:VSI262202 WCE262200:WCE262202 WMA262200:WMA262202 WVW262200:WVW262202 O327736:O327738 JK327736:JK327738 TG327736:TG327738 ADC327736:ADC327738 AMY327736:AMY327738 AWU327736:AWU327738 BGQ327736:BGQ327738 BQM327736:BQM327738 CAI327736:CAI327738 CKE327736:CKE327738 CUA327736:CUA327738 DDW327736:DDW327738 DNS327736:DNS327738 DXO327736:DXO327738 EHK327736:EHK327738 ERG327736:ERG327738 FBC327736:FBC327738 FKY327736:FKY327738 FUU327736:FUU327738 GEQ327736:GEQ327738 GOM327736:GOM327738 GYI327736:GYI327738 HIE327736:HIE327738 HSA327736:HSA327738 IBW327736:IBW327738 ILS327736:ILS327738 IVO327736:IVO327738 JFK327736:JFK327738 JPG327736:JPG327738 JZC327736:JZC327738 KIY327736:KIY327738 KSU327736:KSU327738 LCQ327736:LCQ327738 LMM327736:LMM327738 LWI327736:LWI327738 MGE327736:MGE327738 MQA327736:MQA327738 MZW327736:MZW327738 NJS327736:NJS327738 NTO327736:NTO327738 ODK327736:ODK327738 ONG327736:ONG327738 OXC327736:OXC327738 PGY327736:PGY327738 PQU327736:PQU327738 QAQ327736:QAQ327738 QKM327736:QKM327738 QUI327736:QUI327738 REE327736:REE327738 ROA327736:ROA327738 RXW327736:RXW327738 SHS327736:SHS327738 SRO327736:SRO327738 TBK327736:TBK327738 TLG327736:TLG327738 TVC327736:TVC327738 UEY327736:UEY327738 UOU327736:UOU327738 UYQ327736:UYQ327738 VIM327736:VIM327738 VSI327736:VSI327738 WCE327736:WCE327738 WMA327736:WMA327738 WVW327736:WVW327738 O393272:O393274 JK393272:JK393274 TG393272:TG393274 ADC393272:ADC393274 AMY393272:AMY393274 AWU393272:AWU393274 BGQ393272:BGQ393274 BQM393272:BQM393274 CAI393272:CAI393274 CKE393272:CKE393274 CUA393272:CUA393274 DDW393272:DDW393274 DNS393272:DNS393274 DXO393272:DXO393274 EHK393272:EHK393274 ERG393272:ERG393274 FBC393272:FBC393274 FKY393272:FKY393274 FUU393272:FUU393274 GEQ393272:GEQ393274 GOM393272:GOM393274 GYI393272:GYI393274 HIE393272:HIE393274 HSA393272:HSA393274 IBW393272:IBW393274 ILS393272:ILS393274 IVO393272:IVO393274 JFK393272:JFK393274 JPG393272:JPG393274 JZC393272:JZC393274 KIY393272:KIY393274 KSU393272:KSU393274 LCQ393272:LCQ393274 LMM393272:LMM393274 LWI393272:LWI393274 MGE393272:MGE393274 MQA393272:MQA393274 MZW393272:MZW393274 NJS393272:NJS393274 NTO393272:NTO393274 ODK393272:ODK393274 ONG393272:ONG393274 OXC393272:OXC393274 PGY393272:PGY393274 PQU393272:PQU393274 QAQ393272:QAQ393274 QKM393272:QKM393274 QUI393272:QUI393274 REE393272:REE393274 ROA393272:ROA393274 RXW393272:RXW393274 SHS393272:SHS393274 SRO393272:SRO393274 TBK393272:TBK393274 TLG393272:TLG393274 TVC393272:TVC393274 UEY393272:UEY393274 UOU393272:UOU393274 UYQ393272:UYQ393274 VIM393272:VIM393274 VSI393272:VSI393274 WCE393272:WCE393274 WMA393272:WMA393274 WVW393272:WVW393274 O458808:O458810 JK458808:JK458810 TG458808:TG458810 ADC458808:ADC458810 AMY458808:AMY458810 AWU458808:AWU458810 BGQ458808:BGQ458810 BQM458808:BQM458810 CAI458808:CAI458810 CKE458808:CKE458810 CUA458808:CUA458810 DDW458808:DDW458810 DNS458808:DNS458810 DXO458808:DXO458810 EHK458808:EHK458810 ERG458808:ERG458810 FBC458808:FBC458810 FKY458808:FKY458810 FUU458808:FUU458810 GEQ458808:GEQ458810 GOM458808:GOM458810 GYI458808:GYI458810 HIE458808:HIE458810 HSA458808:HSA458810 IBW458808:IBW458810 ILS458808:ILS458810 IVO458808:IVO458810 JFK458808:JFK458810 JPG458808:JPG458810 JZC458808:JZC458810 KIY458808:KIY458810 KSU458808:KSU458810 LCQ458808:LCQ458810 LMM458808:LMM458810 LWI458808:LWI458810 MGE458808:MGE458810 MQA458808:MQA458810 MZW458808:MZW458810 NJS458808:NJS458810 NTO458808:NTO458810 ODK458808:ODK458810 ONG458808:ONG458810 OXC458808:OXC458810 PGY458808:PGY458810 PQU458808:PQU458810 QAQ458808:QAQ458810 QKM458808:QKM458810 QUI458808:QUI458810 REE458808:REE458810 ROA458808:ROA458810 RXW458808:RXW458810 SHS458808:SHS458810 SRO458808:SRO458810 TBK458808:TBK458810 TLG458808:TLG458810 TVC458808:TVC458810 UEY458808:UEY458810 UOU458808:UOU458810 UYQ458808:UYQ458810 VIM458808:VIM458810 VSI458808:VSI458810 WCE458808:WCE458810 WMA458808:WMA458810 WVW458808:WVW458810 O524344:O524346 JK524344:JK524346 TG524344:TG524346 ADC524344:ADC524346 AMY524344:AMY524346 AWU524344:AWU524346 BGQ524344:BGQ524346 BQM524344:BQM524346 CAI524344:CAI524346 CKE524344:CKE524346 CUA524344:CUA524346 DDW524344:DDW524346 DNS524344:DNS524346 DXO524344:DXO524346 EHK524344:EHK524346 ERG524344:ERG524346 FBC524344:FBC524346 FKY524344:FKY524346 FUU524344:FUU524346 GEQ524344:GEQ524346 GOM524344:GOM524346 GYI524344:GYI524346 HIE524344:HIE524346 HSA524344:HSA524346 IBW524344:IBW524346 ILS524344:ILS524346 IVO524344:IVO524346 JFK524344:JFK524346 JPG524344:JPG524346 JZC524344:JZC524346 KIY524344:KIY524346 KSU524344:KSU524346 LCQ524344:LCQ524346 LMM524344:LMM524346 LWI524344:LWI524346 MGE524344:MGE524346 MQA524344:MQA524346 MZW524344:MZW524346 NJS524344:NJS524346 NTO524344:NTO524346 ODK524344:ODK524346 ONG524344:ONG524346 OXC524344:OXC524346 PGY524344:PGY524346 PQU524344:PQU524346 QAQ524344:QAQ524346 QKM524344:QKM524346 QUI524344:QUI524346 REE524344:REE524346 ROA524344:ROA524346 RXW524344:RXW524346 SHS524344:SHS524346 SRO524344:SRO524346 TBK524344:TBK524346 TLG524344:TLG524346 TVC524344:TVC524346 UEY524344:UEY524346 UOU524344:UOU524346 UYQ524344:UYQ524346 VIM524344:VIM524346 VSI524344:VSI524346 WCE524344:WCE524346 WMA524344:WMA524346 WVW524344:WVW524346 O589880:O589882 JK589880:JK589882 TG589880:TG589882 ADC589880:ADC589882 AMY589880:AMY589882 AWU589880:AWU589882 BGQ589880:BGQ589882 BQM589880:BQM589882 CAI589880:CAI589882 CKE589880:CKE589882 CUA589880:CUA589882 DDW589880:DDW589882 DNS589880:DNS589882 DXO589880:DXO589882 EHK589880:EHK589882 ERG589880:ERG589882 FBC589880:FBC589882 FKY589880:FKY589882 FUU589880:FUU589882 GEQ589880:GEQ589882 GOM589880:GOM589882 GYI589880:GYI589882 HIE589880:HIE589882 HSA589880:HSA589882 IBW589880:IBW589882 ILS589880:ILS589882 IVO589880:IVO589882 JFK589880:JFK589882 JPG589880:JPG589882 JZC589880:JZC589882 KIY589880:KIY589882 KSU589880:KSU589882 LCQ589880:LCQ589882 LMM589880:LMM589882 LWI589880:LWI589882 MGE589880:MGE589882 MQA589880:MQA589882 MZW589880:MZW589882 NJS589880:NJS589882 NTO589880:NTO589882 ODK589880:ODK589882 ONG589880:ONG589882 OXC589880:OXC589882 PGY589880:PGY589882 PQU589880:PQU589882 QAQ589880:QAQ589882 QKM589880:QKM589882 QUI589880:QUI589882 REE589880:REE589882 ROA589880:ROA589882 RXW589880:RXW589882 SHS589880:SHS589882 SRO589880:SRO589882 TBK589880:TBK589882 TLG589880:TLG589882 TVC589880:TVC589882 UEY589880:UEY589882 UOU589880:UOU589882 UYQ589880:UYQ589882 VIM589880:VIM589882 VSI589880:VSI589882 WCE589880:WCE589882 WMA589880:WMA589882 WVW589880:WVW589882 O655416:O655418 JK655416:JK655418 TG655416:TG655418 ADC655416:ADC655418 AMY655416:AMY655418 AWU655416:AWU655418 BGQ655416:BGQ655418 BQM655416:BQM655418 CAI655416:CAI655418 CKE655416:CKE655418 CUA655416:CUA655418 DDW655416:DDW655418 DNS655416:DNS655418 DXO655416:DXO655418 EHK655416:EHK655418 ERG655416:ERG655418 FBC655416:FBC655418 FKY655416:FKY655418 FUU655416:FUU655418 GEQ655416:GEQ655418 GOM655416:GOM655418 GYI655416:GYI655418 HIE655416:HIE655418 HSA655416:HSA655418 IBW655416:IBW655418 ILS655416:ILS655418 IVO655416:IVO655418 JFK655416:JFK655418 JPG655416:JPG655418 JZC655416:JZC655418 KIY655416:KIY655418 KSU655416:KSU655418 LCQ655416:LCQ655418 LMM655416:LMM655418 LWI655416:LWI655418 MGE655416:MGE655418 MQA655416:MQA655418 MZW655416:MZW655418 NJS655416:NJS655418 NTO655416:NTO655418 ODK655416:ODK655418 ONG655416:ONG655418 OXC655416:OXC655418 PGY655416:PGY655418 PQU655416:PQU655418 QAQ655416:QAQ655418 QKM655416:QKM655418 QUI655416:QUI655418 REE655416:REE655418 ROA655416:ROA655418 RXW655416:RXW655418 SHS655416:SHS655418 SRO655416:SRO655418 TBK655416:TBK655418 TLG655416:TLG655418 TVC655416:TVC655418 UEY655416:UEY655418 UOU655416:UOU655418 UYQ655416:UYQ655418 VIM655416:VIM655418 VSI655416:VSI655418 WCE655416:WCE655418 WMA655416:WMA655418 WVW655416:WVW655418 O720952:O720954 JK720952:JK720954 TG720952:TG720954 ADC720952:ADC720954 AMY720952:AMY720954 AWU720952:AWU720954 BGQ720952:BGQ720954 BQM720952:BQM720954 CAI720952:CAI720954 CKE720952:CKE720954 CUA720952:CUA720954 DDW720952:DDW720954 DNS720952:DNS720954 DXO720952:DXO720954 EHK720952:EHK720954 ERG720952:ERG720954 FBC720952:FBC720954 FKY720952:FKY720954 FUU720952:FUU720954 GEQ720952:GEQ720954 GOM720952:GOM720954 GYI720952:GYI720954 HIE720952:HIE720954 HSA720952:HSA720954 IBW720952:IBW720954 ILS720952:ILS720954 IVO720952:IVO720954 JFK720952:JFK720954 JPG720952:JPG720954 JZC720952:JZC720954 KIY720952:KIY720954 KSU720952:KSU720954 LCQ720952:LCQ720954 LMM720952:LMM720954 LWI720952:LWI720954 MGE720952:MGE720954 MQA720952:MQA720954 MZW720952:MZW720954 NJS720952:NJS720954 NTO720952:NTO720954 ODK720952:ODK720954 ONG720952:ONG720954 OXC720952:OXC720954 PGY720952:PGY720954 PQU720952:PQU720954 QAQ720952:QAQ720954 QKM720952:QKM720954 QUI720952:QUI720954 REE720952:REE720954 ROA720952:ROA720954 RXW720952:RXW720954 SHS720952:SHS720954 SRO720952:SRO720954 TBK720952:TBK720954 TLG720952:TLG720954 TVC720952:TVC720954 UEY720952:UEY720954 UOU720952:UOU720954 UYQ720952:UYQ720954 VIM720952:VIM720954 VSI720952:VSI720954 WCE720952:WCE720954 WMA720952:WMA720954 WVW720952:WVW720954 O786488:O786490 JK786488:JK786490 TG786488:TG786490 ADC786488:ADC786490 AMY786488:AMY786490 AWU786488:AWU786490 BGQ786488:BGQ786490 BQM786488:BQM786490 CAI786488:CAI786490 CKE786488:CKE786490 CUA786488:CUA786490 DDW786488:DDW786490 DNS786488:DNS786490 DXO786488:DXO786490 EHK786488:EHK786490 ERG786488:ERG786490 FBC786488:FBC786490 FKY786488:FKY786490 FUU786488:FUU786490 GEQ786488:GEQ786490 GOM786488:GOM786490 GYI786488:GYI786490 HIE786488:HIE786490 HSA786488:HSA786490 IBW786488:IBW786490 ILS786488:ILS786490 IVO786488:IVO786490 JFK786488:JFK786490 JPG786488:JPG786490 JZC786488:JZC786490 KIY786488:KIY786490 KSU786488:KSU786490 LCQ786488:LCQ786490 LMM786488:LMM786490 LWI786488:LWI786490 MGE786488:MGE786490 MQA786488:MQA786490 MZW786488:MZW786490 NJS786488:NJS786490 NTO786488:NTO786490 ODK786488:ODK786490 ONG786488:ONG786490 OXC786488:OXC786490 PGY786488:PGY786490 PQU786488:PQU786490 QAQ786488:QAQ786490 QKM786488:QKM786490 QUI786488:QUI786490 REE786488:REE786490 ROA786488:ROA786490 RXW786488:RXW786490 SHS786488:SHS786490 SRO786488:SRO786490 TBK786488:TBK786490 TLG786488:TLG786490 TVC786488:TVC786490 UEY786488:UEY786490 UOU786488:UOU786490 UYQ786488:UYQ786490 VIM786488:VIM786490 VSI786488:VSI786490 WCE786488:WCE786490 WMA786488:WMA786490 WVW786488:WVW786490 O852024:O852026 JK852024:JK852026 TG852024:TG852026 ADC852024:ADC852026 AMY852024:AMY852026 AWU852024:AWU852026 BGQ852024:BGQ852026 BQM852024:BQM852026 CAI852024:CAI852026 CKE852024:CKE852026 CUA852024:CUA852026 DDW852024:DDW852026 DNS852024:DNS852026 DXO852024:DXO852026 EHK852024:EHK852026 ERG852024:ERG852026 FBC852024:FBC852026 FKY852024:FKY852026 FUU852024:FUU852026 GEQ852024:GEQ852026 GOM852024:GOM852026 GYI852024:GYI852026 HIE852024:HIE852026 HSA852024:HSA852026 IBW852024:IBW852026 ILS852024:ILS852026 IVO852024:IVO852026 JFK852024:JFK852026 JPG852024:JPG852026 JZC852024:JZC852026 KIY852024:KIY852026 KSU852024:KSU852026 LCQ852024:LCQ852026 LMM852024:LMM852026 LWI852024:LWI852026 MGE852024:MGE852026 MQA852024:MQA852026 MZW852024:MZW852026 NJS852024:NJS852026 NTO852024:NTO852026 ODK852024:ODK852026 ONG852024:ONG852026 OXC852024:OXC852026 PGY852024:PGY852026 PQU852024:PQU852026 QAQ852024:QAQ852026 QKM852024:QKM852026 QUI852024:QUI852026 REE852024:REE852026 ROA852024:ROA852026 RXW852024:RXW852026 SHS852024:SHS852026 SRO852024:SRO852026 TBK852024:TBK852026 TLG852024:TLG852026 TVC852024:TVC852026 UEY852024:UEY852026 UOU852024:UOU852026 UYQ852024:UYQ852026 VIM852024:VIM852026 VSI852024:VSI852026 WCE852024:WCE852026 WMA852024:WMA852026 WVW852024:WVW852026 O917560:O917562 JK917560:JK917562 TG917560:TG917562 ADC917560:ADC917562 AMY917560:AMY917562 AWU917560:AWU917562 BGQ917560:BGQ917562 BQM917560:BQM917562 CAI917560:CAI917562 CKE917560:CKE917562 CUA917560:CUA917562 DDW917560:DDW917562 DNS917560:DNS917562 DXO917560:DXO917562 EHK917560:EHK917562 ERG917560:ERG917562 FBC917560:FBC917562 FKY917560:FKY917562 FUU917560:FUU917562 GEQ917560:GEQ917562 GOM917560:GOM917562 GYI917560:GYI917562 HIE917560:HIE917562 HSA917560:HSA917562 IBW917560:IBW917562 ILS917560:ILS917562 IVO917560:IVO917562 JFK917560:JFK917562 JPG917560:JPG917562 JZC917560:JZC917562 KIY917560:KIY917562 KSU917560:KSU917562 LCQ917560:LCQ917562 LMM917560:LMM917562 LWI917560:LWI917562 MGE917560:MGE917562 MQA917560:MQA917562 MZW917560:MZW917562 NJS917560:NJS917562 NTO917560:NTO917562 ODK917560:ODK917562 ONG917560:ONG917562 OXC917560:OXC917562 PGY917560:PGY917562 PQU917560:PQU917562 QAQ917560:QAQ917562 QKM917560:QKM917562 QUI917560:QUI917562 REE917560:REE917562 ROA917560:ROA917562 RXW917560:RXW917562 SHS917560:SHS917562 SRO917560:SRO917562 TBK917560:TBK917562 TLG917560:TLG917562 TVC917560:TVC917562 UEY917560:UEY917562 UOU917560:UOU917562 UYQ917560:UYQ917562 VIM917560:VIM917562 VSI917560:VSI917562 WCE917560:WCE917562 WMA917560:WMA917562 WVW917560:WVW917562 O983096:O983098 JK983096:JK983098 TG983096:TG983098 ADC983096:ADC983098 AMY983096:AMY983098 AWU983096:AWU983098 BGQ983096:BGQ983098 BQM983096:BQM983098 CAI983096:CAI983098 CKE983096:CKE983098 CUA983096:CUA983098 DDW983096:DDW983098 DNS983096:DNS983098 DXO983096:DXO983098 EHK983096:EHK983098 ERG983096:ERG983098 FBC983096:FBC983098 FKY983096:FKY983098 FUU983096:FUU983098 GEQ983096:GEQ983098 GOM983096:GOM983098 GYI983096:GYI983098 HIE983096:HIE983098 HSA983096:HSA983098 IBW983096:IBW983098 ILS983096:ILS983098 IVO983096:IVO983098 JFK983096:JFK983098 JPG983096:JPG983098 JZC983096:JZC983098 KIY983096:KIY983098 KSU983096:KSU983098 LCQ983096:LCQ983098 LMM983096:LMM983098 LWI983096:LWI983098 MGE983096:MGE983098 MQA983096:MQA983098 MZW983096:MZW983098 NJS983096:NJS983098 NTO983096:NTO983098 ODK983096:ODK983098 ONG983096:ONG983098 OXC983096:OXC983098 PGY983096:PGY983098 PQU983096:PQU983098 QAQ983096:QAQ983098 QKM983096:QKM983098 QUI983096:QUI983098 REE983096:REE983098 ROA983096:ROA983098 RXW983096:RXW983098 SHS983096:SHS983098 SRO983096:SRO983098 TBK983096:TBK983098 TLG983096:TLG983098 TVC983096:TVC983098 UEY983096:UEY983098 UOU983096:UOU983098 UYQ983096:UYQ983098 VIM983096:VIM983098 VSI983096:VSI983098 WCE983096:WCE983098 WMA983096:WMA983098 WVW983096:WVW983098">
      <formula1>"Yes,No,NA"</formula1>
    </dataValidation>
    <dataValidation type="list" allowBlank="1" showInputMessage="1" showErrorMessage="1" sqref="L27:L42 JH27:JH42 TD27:TD42 ACZ27:ACZ42 AMV27:AMV42 AWR27:AWR42 BGN27:BGN42 BQJ27:BQJ42 CAF27:CAF42 CKB27:CKB42 CTX27:CTX42 DDT27:DDT42 DNP27:DNP42 DXL27:DXL42 EHH27:EHH42 ERD27:ERD42 FAZ27:FAZ42 FKV27:FKV42 FUR27:FUR42 GEN27:GEN42 GOJ27:GOJ42 GYF27:GYF42 HIB27:HIB42 HRX27:HRX42 IBT27:IBT42 ILP27:ILP42 IVL27:IVL42 JFH27:JFH42 JPD27:JPD42 JYZ27:JYZ42 KIV27:KIV42 KSR27:KSR42 LCN27:LCN42 LMJ27:LMJ42 LWF27:LWF42 MGB27:MGB42 MPX27:MPX42 MZT27:MZT42 NJP27:NJP42 NTL27:NTL42 ODH27:ODH42 OND27:OND42 OWZ27:OWZ42 PGV27:PGV42 PQR27:PQR42 QAN27:QAN42 QKJ27:QKJ42 QUF27:QUF42 REB27:REB42 RNX27:RNX42 RXT27:RXT42 SHP27:SHP42 SRL27:SRL42 TBH27:TBH42 TLD27:TLD42 TUZ27:TUZ42 UEV27:UEV42 UOR27:UOR42 UYN27:UYN42 VIJ27:VIJ42 VSF27:VSF42 WCB27:WCB42 WLX27:WLX42 WVT27:WVT42 L65563:L65578 JH65563:JH65578 TD65563:TD65578 ACZ65563:ACZ65578 AMV65563:AMV65578 AWR65563:AWR65578 BGN65563:BGN65578 BQJ65563:BQJ65578 CAF65563:CAF65578 CKB65563:CKB65578 CTX65563:CTX65578 DDT65563:DDT65578 DNP65563:DNP65578 DXL65563:DXL65578 EHH65563:EHH65578 ERD65563:ERD65578 FAZ65563:FAZ65578 FKV65563:FKV65578 FUR65563:FUR65578 GEN65563:GEN65578 GOJ65563:GOJ65578 GYF65563:GYF65578 HIB65563:HIB65578 HRX65563:HRX65578 IBT65563:IBT65578 ILP65563:ILP65578 IVL65563:IVL65578 JFH65563:JFH65578 JPD65563:JPD65578 JYZ65563:JYZ65578 KIV65563:KIV65578 KSR65563:KSR65578 LCN65563:LCN65578 LMJ65563:LMJ65578 LWF65563:LWF65578 MGB65563:MGB65578 MPX65563:MPX65578 MZT65563:MZT65578 NJP65563:NJP65578 NTL65563:NTL65578 ODH65563:ODH65578 OND65563:OND65578 OWZ65563:OWZ65578 PGV65563:PGV65578 PQR65563:PQR65578 QAN65563:QAN65578 QKJ65563:QKJ65578 QUF65563:QUF65578 REB65563:REB65578 RNX65563:RNX65578 RXT65563:RXT65578 SHP65563:SHP65578 SRL65563:SRL65578 TBH65563:TBH65578 TLD65563:TLD65578 TUZ65563:TUZ65578 UEV65563:UEV65578 UOR65563:UOR65578 UYN65563:UYN65578 VIJ65563:VIJ65578 VSF65563:VSF65578 WCB65563:WCB65578 WLX65563:WLX65578 WVT65563:WVT65578 L131099:L131114 JH131099:JH131114 TD131099:TD131114 ACZ131099:ACZ131114 AMV131099:AMV131114 AWR131099:AWR131114 BGN131099:BGN131114 BQJ131099:BQJ131114 CAF131099:CAF131114 CKB131099:CKB131114 CTX131099:CTX131114 DDT131099:DDT131114 DNP131099:DNP131114 DXL131099:DXL131114 EHH131099:EHH131114 ERD131099:ERD131114 FAZ131099:FAZ131114 FKV131099:FKV131114 FUR131099:FUR131114 GEN131099:GEN131114 GOJ131099:GOJ131114 GYF131099:GYF131114 HIB131099:HIB131114 HRX131099:HRX131114 IBT131099:IBT131114 ILP131099:ILP131114 IVL131099:IVL131114 JFH131099:JFH131114 JPD131099:JPD131114 JYZ131099:JYZ131114 KIV131099:KIV131114 KSR131099:KSR131114 LCN131099:LCN131114 LMJ131099:LMJ131114 LWF131099:LWF131114 MGB131099:MGB131114 MPX131099:MPX131114 MZT131099:MZT131114 NJP131099:NJP131114 NTL131099:NTL131114 ODH131099:ODH131114 OND131099:OND131114 OWZ131099:OWZ131114 PGV131099:PGV131114 PQR131099:PQR131114 QAN131099:QAN131114 QKJ131099:QKJ131114 QUF131099:QUF131114 REB131099:REB131114 RNX131099:RNX131114 RXT131099:RXT131114 SHP131099:SHP131114 SRL131099:SRL131114 TBH131099:TBH131114 TLD131099:TLD131114 TUZ131099:TUZ131114 UEV131099:UEV131114 UOR131099:UOR131114 UYN131099:UYN131114 VIJ131099:VIJ131114 VSF131099:VSF131114 WCB131099:WCB131114 WLX131099:WLX131114 WVT131099:WVT131114 L196635:L196650 JH196635:JH196650 TD196635:TD196650 ACZ196635:ACZ196650 AMV196635:AMV196650 AWR196635:AWR196650 BGN196635:BGN196650 BQJ196635:BQJ196650 CAF196635:CAF196650 CKB196635:CKB196650 CTX196635:CTX196650 DDT196635:DDT196650 DNP196635:DNP196650 DXL196635:DXL196650 EHH196635:EHH196650 ERD196635:ERD196650 FAZ196635:FAZ196650 FKV196635:FKV196650 FUR196635:FUR196650 GEN196635:GEN196650 GOJ196635:GOJ196650 GYF196635:GYF196650 HIB196635:HIB196650 HRX196635:HRX196650 IBT196635:IBT196650 ILP196635:ILP196650 IVL196635:IVL196650 JFH196635:JFH196650 JPD196635:JPD196650 JYZ196635:JYZ196650 KIV196635:KIV196650 KSR196635:KSR196650 LCN196635:LCN196650 LMJ196635:LMJ196650 LWF196635:LWF196650 MGB196635:MGB196650 MPX196635:MPX196650 MZT196635:MZT196650 NJP196635:NJP196650 NTL196635:NTL196650 ODH196635:ODH196650 OND196635:OND196650 OWZ196635:OWZ196650 PGV196635:PGV196650 PQR196635:PQR196650 QAN196635:QAN196650 QKJ196635:QKJ196650 QUF196635:QUF196650 REB196635:REB196650 RNX196635:RNX196650 RXT196635:RXT196650 SHP196635:SHP196650 SRL196635:SRL196650 TBH196635:TBH196650 TLD196635:TLD196650 TUZ196635:TUZ196650 UEV196635:UEV196650 UOR196635:UOR196650 UYN196635:UYN196650 VIJ196635:VIJ196650 VSF196635:VSF196650 WCB196635:WCB196650 WLX196635:WLX196650 WVT196635:WVT196650 L262171:L262186 JH262171:JH262186 TD262171:TD262186 ACZ262171:ACZ262186 AMV262171:AMV262186 AWR262171:AWR262186 BGN262171:BGN262186 BQJ262171:BQJ262186 CAF262171:CAF262186 CKB262171:CKB262186 CTX262171:CTX262186 DDT262171:DDT262186 DNP262171:DNP262186 DXL262171:DXL262186 EHH262171:EHH262186 ERD262171:ERD262186 FAZ262171:FAZ262186 FKV262171:FKV262186 FUR262171:FUR262186 GEN262171:GEN262186 GOJ262171:GOJ262186 GYF262171:GYF262186 HIB262171:HIB262186 HRX262171:HRX262186 IBT262171:IBT262186 ILP262171:ILP262186 IVL262171:IVL262186 JFH262171:JFH262186 JPD262171:JPD262186 JYZ262171:JYZ262186 KIV262171:KIV262186 KSR262171:KSR262186 LCN262171:LCN262186 LMJ262171:LMJ262186 LWF262171:LWF262186 MGB262171:MGB262186 MPX262171:MPX262186 MZT262171:MZT262186 NJP262171:NJP262186 NTL262171:NTL262186 ODH262171:ODH262186 OND262171:OND262186 OWZ262171:OWZ262186 PGV262171:PGV262186 PQR262171:PQR262186 QAN262171:QAN262186 QKJ262171:QKJ262186 QUF262171:QUF262186 REB262171:REB262186 RNX262171:RNX262186 RXT262171:RXT262186 SHP262171:SHP262186 SRL262171:SRL262186 TBH262171:TBH262186 TLD262171:TLD262186 TUZ262171:TUZ262186 UEV262171:UEV262186 UOR262171:UOR262186 UYN262171:UYN262186 VIJ262171:VIJ262186 VSF262171:VSF262186 WCB262171:WCB262186 WLX262171:WLX262186 WVT262171:WVT262186 L327707:L327722 JH327707:JH327722 TD327707:TD327722 ACZ327707:ACZ327722 AMV327707:AMV327722 AWR327707:AWR327722 BGN327707:BGN327722 BQJ327707:BQJ327722 CAF327707:CAF327722 CKB327707:CKB327722 CTX327707:CTX327722 DDT327707:DDT327722 DNP327707:DNP327722 DXL327707:DXL327722 EHH327707:EHH327722 ERD327707:ERD327722 FAZ327707:FAZ327722 FKV327707:FKV327722 FUR327707:FUR327722 GEN327707:GEN327722 GOJ327707:GOJ327722 GYF327707:GYF327722 HIB327707:HIB327722 HRX327707:HRX327722 IBT327707:IBT327722 ILP327707:ILP327722 IVL327707:IVL327722 JFH327707:JFH327722 JPD327707:JPD327722 JYZ327707:JYZ327722 KIV327707:KIV327722 KSR327707:KSR327722 LCN327707:LCN327722 LMJ327707:LMJ327722 LWF327707:LWF327722 MGB327707:MGB327722 MPX327707:MPX327722 MZT327707:MZT327722 NJP327707:NJP327722 NTL327707:NTL327722 ODH327707:ODH327722 OND327707:OND327722 OWZ327707:OWZ327722 PGV327707:PGV327722 PQR327707:PQR327722 QAN327707:QAN327722 QKJ327707:QKJ327722 QUF327707:QUF327722 REB327707:REB327722 RNX327707:RNX327722 RXT327707:RXT327722 SHP327707:SHP327722 SRL327707:SRL327722 TBH327707:TBH327722 TLD327707:TLD327722 TUZ327707:TUZ327722 UEV327707:UEV327722 UOR327707:UOR327722 UYN327707:UYN327722 VIJ327707:VIJ327722 VSF327707:VSF327722 WCB327707:WCB327722 WLX327707:WLX327722 WVT327707:WVT327722 L393243:L393258 JH393243:JH393258 TD393243:TD393258 ACZ393243:ACZ393258 AMV393243:AMV393258 AWR393243:AWR393258 BGN393243:BGN393258 BQJ393243:BQJ393258 CAF393243:CAF393258 CKB393243:CKB393258 CTX393243:CTX393258 DDT393243:DDT393258 DNP393243:DNP393258 DXL393243:DXL393258 EHH393243:EHH393258 ERD393243:ERD393258 FAZ393243:FAZ393258 FKV393243:FKV393258 FUR393243:FUR393258 GEN393243:GEN393258 GOJ393243:GOJ393258 GYF393243:GYF393258 HIB393243:HIB393258 HRX393243:HRX393258 IBT393243:IBT393258 ILP393243:ILP393258 IVL393243:IVL393258 JFH393243:JFH393258 JPD393243:JPD393258 JYZ393243:JYZ393258 KIV393243:KIV393258 KSR393243:KSR393258 LCN393243:LCN393258 LMJ393243:LMJ393258 LWF393243:LWF393258 MGB393243:MGB393258 MPX393243:MPX393258 MZT393243:MZT393258 NJP393243:NJP393258 NTL393243:NTL393258 ODH393243:ODH393258 OND393243:OND393258 OWZ393243:OWZ393258 PGV393243:PGV393258 PQR393243:PQR393258 QAN393243:QAN393258 QKJ393243:QKJ393258 QUF393243:QUF393258 REB393243:REB393258 RNX393243:RNX393258 RXT393243:RXT393258 SHP393243:SHP393258 SRL393243:SRL393258 TBH393243:TBH393258 TLD393243:TLD393258 TUZ393243:TUZ393258 UEV393243:UEV393258 UOR393243:UOR393258 UYN393243:UYN393258 VIJ393243:VIJ393258 VSF393243:VSF393258 WCB393243:WCB393258 WLX393243:WLX393258 WVT393243:WVT393258 L458779:L458794 JH458779:JH458794 TD458779:TD458794 ACZ458779:ACZ458794 AMV458779:AMV458794 AWR458779:AWR458794 BGN458779:BGN458794 BQJ458779:BQJ458794 CAF458779:CAF458794 CKB458779:CKB458794 CTX458779:CTX458794 DDT458779:DDT458794 DNP458779:DNP458794 DXL458779:DXL458794 EHH458779:EHH458794 ERD458779:ERD458794 FAZ458779:FAZ458794 FKV458779:FKV458794 FUR458779:FUR458794 GEN458779:GEN458794 GOJ458779:GOJ458794 GYF458779:GYF458794 HIB458779:HIB458794 HRX458779:HRX458794 IBT458779:IBT458794 ILP458779:ILP458794 IVL458779:IVL458794 JFH458779:JFH458794 JPD458779:JPD458794 JYZ458779:JYZ458794 KIV458779:KIV458794 KSR458779:KSR458794 LCN458779:LCN458794 LMJ458779:LMJ458794 LWF458779:LWF458794 MGB458779:MGB458794 MPX458779:MPX458794 MZT458779:MZT458794 NJP458779:NJP458794 NTL458779:NTL458794 ODH458779:ODH458794 OND458779:OND458794 OWZ458779:OWZ458794 PGV458779:PGV458794 PQR458779:PQR458794 QAN458779:QAN458794 QKJ458779:QKJ458794 QUF458779:QUF458794 REB458779:REB458794 RNX458779:RNX458794 RXT458779:RXT458794 SHP458779:SHP458794 SRL458779:SRL458794 TBH458779:TBH458794 TLD458779:TLD458794 TUZ458779:TUZ458794 UEV458779:UEV458794 UOR458779:UOR458794 UYN458779:UYN458794 VIJ458779:VIJ458794 VSF458779:VSF458794 WCB458779:WCB458794 WLX458779:WLX458794 WVT458779:WVT458794 L524315:L524330 JH524315:JH524330 TD524315:TD524330 ACZ524315:ACZ524330 AMV524315:AMV524330 AWR524315:AWR524330 BGN524315:BGN524330 BQJ524315:BQJ524330 CAF524315:CAF524330 CKB524315:CKB524330 CTX524315:CTX524330 DDT524315:DDT524330 DNP524315:DNP524330 DXL524315:DXL524330 EHH524315:EHH524330 ERD524315:ERD524330 FAZ524315:FAZ524330 FKV524315:FKV524330 FUR524315:FUR524330 GEN524315:GEN524330 GOJ524315:GOJ524330 GYF524315:GYF524330 HIB524315:HIB524330 HRX524315:HRX524330 IBT524315:IBT524330 ILP524315:ILP524330 IVL524315:IVL524330 JFH524315:JFH524330 JPD524315:JPD524330 JYZ524315:JYZ524330 KIV524315:KIV524330 KSR524315:KSR524330 LCN524315:LCN524330 LMJ524315:LMJ524330 LWF524315:LWF524330 MGB524315:MGB524330 MPX524315:MPX524330 MZT524315:MZT524330 NJP524315:NJP524330 NTL524315:NTL524330 ODH524315:ODH524330 OND524315:OND524330 OWZ524315:OWZ524330 PGV524315:PGV524330 PQR524315:PQR524330 QAN524315:QAN524330 QKJ524315:QKJ524330 QUF524315:QUF524330 REB524315:REB524330 RNX524315:RNX524330 RXT524315:RXT524330 SHP524315:SHP524330 SRL524315:SRL524330 TBH524315:TBH524330 TLD524315:TLD524330 TUZ524315:TUZ524330 UEV524315:UEV524330 UOR524315:UOR524330 UYN524315:UYN524330 VIJ524315:VIJ524330 VSF524315:VSF524330 WCB524315:WCB524330 WLX524315:WLX524330 WVT524315:WVT524330 L589851:L589866 JH589851:JH589866 TD589851:TD589866 ACZ589851:ACZ589866 AMV589851:AMV589866 AWR589851:AWR589866 BGN589851:BGN589866 BQJ589851:BQJ589866 CAF589851:CAF589866 CKB589851:CKB589866 CTX589851:CTX589866 DDT589851:DDT589866 DNP589851:DNP589866 DXL589851:DXL589866 EHH589851:EHH589866 ERD589851:ERD589866 FAZ589851:FAZ589866 FKV589851:FKV589866 FUR589851:FUR589866 GEN589851:GEN589866 GOJ589851:GOJ589866 GYF589851:GYF589866 HIB589851:HIB589866 HRX589851:HRX589866 IBT589851:IBT589866 ILP589851:ILP589866 IVL589851:IVL589866 JFH589851:JFH589866 JPD589851:JPD589866 JYZ589851:JYZ589866 KIV589851:KIV589866 KSR589851:KSR589866 LCN589851:LCN589866 LMJ589851:LMJ589866 LWF589851:LWF589866 MGB589851:MGB589866 MPX589851:MPX589866 MZT589851:MZT589866 NJP589851:NJP589866 NTL589851:NTL589866 ODH589851:ODH589866 OND589851:OND589866 OWZ589851:OWZ589866 PGV589851:PGV589866 PQR589851:PQR589866 QAN589851:QAN589866 QKJ589851:QKJ589866 QUF589851:QUF589866 REB589851:REB589866 RNX589851:RNX589866 RXT589851:RXT589866 SHP589851:SHP589866 SRL589851:SRL589866 TBH589851:TBH589866 TLD589851:TLD589866 TUZ589851:TUZ589866 UEV589851:UEV589866 UOR589851:UOR589866 UYN589851:UYN589866 VIJ589851:VIJ589866 VSF589851:VSF589866 WCB589851:WCB589866 WLX589851:WLX589866 WVT589851:WVT589866 L655387:L655402 JH655387:JH655402 TD655387:TD655402 ACZ655387:ACZ655402 AMV655387:AMV655402 AWR655387:AWR655402 BGN655387:BGN655402 BQJ655387:BQJ655402 CAF655387:CAF655402 CKB655387:CKB655402 CTX655387:CTX655402 DDT655387:DDT655402 DNP655387:DNP655402 DXL655387:DXL655402 EHH655387:EHH655402 ERD655387:ERD655402 FAZ655387:FAZ655402 FKV655387:FKV655402 FUR655387:FUR655402 GEN655387:GEN655402 GOJ655387:GOJ655402 GYF655387:GYF655402 HIB655387:HIB655402 HRX655387:HRX655402 IBT655387:IBT655402 ILP655387:ILP655402 IVL655387:IVL655402 JFH655387:JFH655402 JPD655387:JPD655402 JYZ655387:JYZ655402 KIV655387:KIV655402 KSR655387:KSR655402 LCN655387:LCN655402 LMJ655387:LMJ655402 LWF655387:LWF655402 MGB655387:MGB655402 MPX655387:MPX655402 MZT655387:MZT655402 NJP655387:NJP655402 NTL655387:NTL655402 ODH655387:ODH655402 OND655387:OND655402 OWZ655387:OWZ655402 PGV655387:PGV655402 PQR655387:PQR655402 QAN655387:QAN655402 QKJ655387:QKJ655402 QUF655387:QUF655402 REB655387:REB655402 RNX655387:RNX655402 RXT655387:RXT655402 SHP655387:SHP655402 SRL655387:SRL655402 TBH655387:TBH655402 TLD655387:TLD655402 TUZ655387:TUZ655402 UEV655387:UEV655402 UOR655387:UOR655402 UYN655387:UYN655402 VIJ655387:VIJ655402 VSF655387:VSF655402 WCB655387:WCB655402 WLX655387:WLX655402 WVT655387:WVT655402 L720923:L720938 JH720923:JH720938 TD720923:TD720938 ACZ720923:ACZ720938 AMV720923:AMV720938 AWR720923:AWR720938 BGN720923:BGN720938 BQJ720923:BQJ720938 CAF720923:CAF720938 CKB720923:CKB720938 CTX720923:CTX720938 DDT720923:DDT720938 DNP720923:DNP720938 DXL720923:DXL720938 EHH720923:EHH720938 ERD720923:ERD720938 FAZ720923:FAZ720938 FKV720923:FKV720938 FUR720923:FUR720938 GEN720923:GEN720938 GOJ720923:GOJ720938 GYF720923:GYF720938 HIB720923:HIB720938 HRX720923:HRX720938 IBT720923:IBT720938 ILP720923:ILP720938 IVL720923:IVL720938 JFH720923:JFH720938 JPD720923:JPD720938 JYZ720923:JYZ720938 KIV720923:KIV720938 KSR720923:KSR720938 LCN720923:LCN720938 LMJ720923:LMJ720938 LWF720923:LWF720938 MGB720923:MGB720938 MPX720923:MPX720938 MZT720923:MZT720938 NJP720923:NJP720938 NTL720923:NTL720938 ODH720923:ODH720938 OND720923:OND720938 OWZ720923:OWZ720938 PGV720923:PGV720938 PQR720923:PQR720938 QAN720923:QAN720938 QKJ720923:QKJ720938 QUF720923:QUF720938 REB720923:REB720938 RNX720923:RNX720938 RXT720923:RXT720938 SHP720923:SHP720938 SRL720923:SRL720938 TBH720923:TBH720938 TLD720923:TLD720938 TUZ720923:TUZ720938 UEV720923:UEV720938 UOR720923:UOR720938 UYN720923:UYN720938 VIJ720923:VIJ720938 VSF720923:VSF720938 WCB720923:WCB720938 WLX720923:WLX720938 WVT720923:WVT720938 L786459:L786474 JH786459:JH786474 TD786459:TD786474 ACZ786459:ACZ786474 AMV786459:AMV786474 AWR786459:AWR786474 BGN786459:BGN786474 BQJ786459:BQJ786474 CAF786459:CAF786474 CKB786459:CKB786474 CTX786459:CTX786474 DDT786459:DDT786474 DNP786459:DNP786474 DXL786459:DXL786474 EHH786459:EHH786474 ERD786459:ERD786474 FAZ786459:FAZ786474 FKV786459:FKV786474 FUR786459:FUR786474 GEN786459:GEN786474 GOJ786459:GOJ786474 GYF786459:GYF786474 HIB786459:HIB786474 HRX786459:HRX786474 IBT786459:IBT786474 ILP786459:ILP786474 IVL786459:IVL786474 JFH786459:JFH786474 JPD786459:JPD786474 JYZ786459:JYZ786474 KIV786459:KIV786474 KSR786459:KSR786474 LCN786459:LCN786474 LMJ786459:LMJ786474 LWF786459:LWF786474 MGB786459:MGB786474 MPX786459:MPX786474 MZT786459:MZT786474 NJP786459:NJP786474 NTL786459:NTL786474 ODH786459:ODH786474 OND786459:OND786474 OWZ786459:OWZ786474 PGV786459:PGV786474 PQR786459:PQR786474 QAN786459:QAN786474 QKJ786459:QKJ786474 QUF786459:QUF786474 REB786459:REB786474 RNX786459:RNX786474 RXT786459:RXT786474 SHP786459:SHP786474 SRL786459:SRL786474 TBH786459:TBH786474 TLD786459:TLD786474 TUZ786459:TUZ786474 UEV786459:UEV786474 UOR786459:UOR786474 UYN786459:UYN786474 VIJ786459:VIJ786474 VSF786459:VSF786474 WCB786459:WCB786474 WLX786459:WLX786474 WVT786459:WVT786474 L851995:L852010 JH851995:JH852010 TD851995:TD852010 ACZ851995:ACZ852010 AMV851995:AMV852010 AWR851995:AWR852010 BGN851995:BGN852010 BQJ851995:BQJ852010 CAF851995:CAF852010 CKB851995:CKB852010 CTX851995:CTX852010 DDT851995:DDT852010 DNP851995:DNP852010 DXL851995:DXL852010 EHH851995:EHH852010 ERD851995:ERD852010 FAZ851995:FAZ852010 FKV851995:FKV852010 FUR851995:FUR852010 GEN851995:GEN852010 GOJ851995:GOJ852010 GYF851995:GYF852010 HIB851995:HIB852010 HRX851995:HRX852010 IBT851995:IBT852010 ILP851995:ILP852010 IVL851995:IVL852010 JFH851995:JFH852010 JPD851995:JPD852010 JYZ851995:JYZ852010 KIV851995:KIV852010 KSR851995:KSR852010 LCN851995:LCN852010 LMJ851995:LMJ852010 LWF851995:LWF852010 MGB851995:MGB852010 MPX851995:MPX852010 MZT851995:MZT852010 NJP851995:NJP852010 NTL851995:NTL852010 ODH851995:ODH852010 OND851995:OND852010 OWZ851995:OWZ852010 PGV851995:PGV852010 PQR851995:PQR852010 QAN851995:QAN852010 QKJ851995:QKJ852010 QUF851995:QUF852010 REB851995:REB852010 RNX851995:RNX852010 RXT851995:RXT852010 SHP851995:SHP852010 SRL851995:SRL852010 TBH851995:TBH852010 TLD851995:TLD852010 TUZ851995:TUZ852010 UEV851995:UEV852010 UOR851995:UOR852010 UYN851995:UYN852010 VIJ851995:VIJ852010 VSF851995:VSF852010 WCB851995:WCB852010 WLX851995:WLX852010 WVT851995:WVT852010 L917531:L917546 JH917531:JH917546 TD917531:TD917546 ACZ917531:ACZ917546 AMV917531:AMV917546 AWR917531:AWR917546 BGN917531:BGN917546 BQJ917531:BQJ917546 CAF917531:CAF917546 CKB917531:CKB917546 CTX917531:CTX917546 DDT917531:DDT917546 DNP917531:DNP917546 DXL917531:DXL917546 EHH917531:EHH917546 ERD917531:ERD917546 FAZ917531:FAZ917546 FKV917531:FKV917546 FUR917531:FUR917546 GEN917531:GEN917546 GOJ917531:GOJ917546 GYF917531:GYF917546 HIB917531:HIB917546 HRX917531:HRX917546 IBT917531:IBT917546 ILP917531:ILP917546 IVL917531:IVL917546 JFH917531:JFH917546 JPD917531:JPD917546 JYZ917531:JYZ917546 KIV917531:KIV917546 KSR917531:KSR917546 LCN917531:LCN917546 LMJ917531:LMJ917546 LWF917531:LWF917546 MGB917531:MGB917546 MPX917531:MPX917546 MZT917531:MZT917546 NJP917531:NJP917546 NTL917531:NTL917546 ODH917531:ODH917546 OND917531:OND917546 OWZ917531:OWZ917546 PGV917531:PGV917546 PQR917531:PQR917546 QAN917531:QAN917546 QKJ917531:QKJ917546 QUF917531:QUF917546 REB917531:REB917546 RNX917531:RNX917546 RXT917531:RXT917546 SHP917531:SHP917546 SRL917531:SRL917546 TBH917531:TBH917546 TLD917531:TLD917546 TUZ917531:TUZ917546 UEV917531:UEV917546 UOR917531:UOR917546 UYN917531:UYN917546 VIJ917531:VIJ917546 VSF917531:VSF917546 WCB917531:WCB917546 WLX917531:WLX917546 WVT917531:WVT917546 L983067:L983082 JH983067:JH983082 TD983067:TD983082 ACZ983067:ACZ983082 AMV983067:AMV983082 AWR983067:AWR983082 BGN983067:BGN983082 BQJ983067:BQJ983082 CAF983067:CAF983082 CKB983067:CKB983082 CTX983067:CTX983082 DDT983067:DDT983082 DNP983067:DNP983082 DXL983067:DXL983082 EHH983067:EHH983082 ERD983067:ERD983082 FAZ983067:FAZ983082 FKV983067:FKV983082 FUR983067:FUR983082 GEN983067:GEN983082 GOJ983067:GOJ983082 GYF983067:GYF983082 HIB983067:HIB983082 HRX983067:HRX983082 IBT983067:IBT983082 ILP983067:ILP983082 IVL983067:IVL983082 JFH983067:JFH983082 JPD983067:JPD983082 JYZ983067:JYZ983082 KIV983067:KIV983082 KSR983067:KSR983082 LCN983067:LCN983082 LMJ983067:LMJ983082 LWF983067:LWF983082 MGB983067:MGB983082 MPX983067:MPX983082 MZT983067:MZT983082 NJP983067:NJP983082 NTL983067:NTL983082 ODH983067:ODH983082 OND983067:OND983082 OWZ983067:OWZ983082 PGV983067:PGV983082 PQR983067:PQR983082 QAN983067:QAN983082 QKJ983067:QKJ983082 QUF983067:QUF983082 REB983067:REB983082 RNX983067:RNX983082 RXT983067:RXT983082 SHP983067:SHP983082 SRL983067:SRL983082 TBH983067:TBH983082 TLD983067:TLD983082 TUZ983067:TUZ983082 UEV983067:UEV983082 UOR983067:UOR983082 UYN983067:UYN983082 VIJ983067:VIJ983082 VSF983067:VSF983082 WCB983067:WCB983082 WLX983067:WLX983082 WVT983067:WVT983082">
      <formula1>$V$61:$V$64</formula1>
    </dataValidation>
  </dataValidations>
  <hyperlinks>
    <hyperlink ref="A1" location="'Table Of Contents'!A1" display="TOC"/>
  </hyperlinks>
  <pageMargins left="0.75" right="0.75" top="1" bottom="1" header="0.5" footer="0.5"/>
  <pageSetup scale="44" fitToHeight="0" orientation="portrait" r:id="rId1"/>
  <headerFooter alignWithMargins="0">
    <oddFooter>Page &amp;P of &amp;N</oddFooter>
  </headerFooter>
  <rowBreaks count="1" manualBreakCount="1">
    <brk id="44" min="1" max="15" man="1"/>
  </row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theme="0" tint="-0.14999847407452621"/>
  </sheetPr>
  <dimension ref="A1:K103"/>
  <sheetViews>
    <sheetView showGridLines="0" topLeftCell="A20" zoomScaleNormal="100" workbookViewId="0">
      <selection activeCell="A43" sqref="A43:I83"/>
    </sheetView>
  </sheetViews>
  <sheetFormatPr defaultRowHeight="15"/>
  <cols>
    <col min="1" max="1" width="3.42578125" customWidth="1"/>
    <col min="2" max="2" width="11.5703125" customWidth="1"/>
    <col min="3" max="3" width="34.42578125" customWidth="1"/>
    <col min="4" max="5" width="22" customWidth="1"/>
    <col min="6" max="6" width="11.140625" customWidth="1"/>
    <col min="7" max="7" width="11.140625" style="39" customWidth="1"/>
    <col min="8" max="8" width="15.140625" customWidth="1"/>
    <col min="9" max="9" width="15.28515625" customWidth="1"/>
    <col min="10" max="10" width="34.140625" bestFit="1" customWidth="1"/>
    <col min="11" max="11" width="22" customWidth="1"/>
  </cols>
  <sheetData>
    <row r="1" spans="1:11" ht="15.75" customHeight="1" thickBot="1">
      <c r="K1" s="413">
        <f>VLOOKUP(D4,ClimateZoneLookup!A4:F65,6)</f>
        <v>5</v>
      </c>
    </row>
    <row r="2" spans="1:11" ht="36" customHeight="1" thickBot="1">
      <c r="A2" s="2348" t="str">
        <f>"Multifamily Performance Program - New Construction V6 - ASHRAE 2010 Baseline
Modified Prescriptive Path - Climate Zone "&amp;K1</f>
        <v>Multifamily Performance Program - New Construction V6 - ASHRAE 2010 Baseline
Modified Prescriptive Path - Climate Zone 5</v>
      </c>
      <c r="B2" s="2349"/>
      <c r="C2" s="2349"/>
      <c r="D2" s="2349"/>
      <c r="E2" s="2349"/>
      <c r="F2" s="2349"/>
      <c r="G2" s="2349"/>
      <c r="H2" s="2349"/>
      <c r="I2" s="2350"/>
    </row>
    <row r="3" spans="1:11" s="39" customFormat="1" ht="19.5" customHeight="1" thickBot="1">
      <c r="A3" s="1321"/>
      <c r="B3" s="51"/>
      <c r="C3" s="64" t="s">
        <v>368</v>
      </c>
      <c r="D3" s="2371"/>
      <c r="E3" s="2372"/>
      <c r="F3" s="65"/>
      <c r="G3" s="2253" t="s">
        <v>1958</v>
      </c>
      <c r="H3" s="2254"/>
      <c r="I3" s="2048"/>
    </row>
    <row r="4" spans="1:11" ht="19.5" customHeight="1" thickBot="1">
      <c r="A4" s="1322"/>
      <c r="B4" s="52"/>
      <c r="C4" s="64" t="s">
        <v>369</v>
      </c>
      <c r="D4" s="1318" t="s">
        <v>104</v>
      </c>
      <c r="E4" s="764"/>
      <c r="F4" s="765"/>
      <c r="G4" s="2253" t="s">
        <v>545</v>
      </c>
      <c r="H4" s="2254"/>
      <c r="I4" s="2048"/>
    </row>
    <row r="5" spans="1:11" s="39" customFormat="1" ht="19.5" customHeight="1" thickBot="1">
      <c r="A5" s="1322"/>
      <c r="B5" s="52"/>
      <c r="C5" s="64" t="s">
        <v>370</v>
      </c>
      <c r="D5" s="1319"/>
      <c r="E5" s="764"/>
      <c r="F5" s="765"/>
      <c r="G5" s="2253" t="s">
        <v>372</v>
      </c>
      <c r="H5" s="2254"/>
      <c r="I5" s="1319"/>
    </row>
    <row r="6" spans="1:11" s="241" customFormat="1" ht="19.5" customHeight="1" thickBot="1">
      <c r="A6" s="1322"/>
      <c r="B6" s="52"/>
      <c r="C6" s="1308" t="s">
        <v>371</v>
      </c>
      <c r="D6" s="2047"/>
      <c r="E6" s="778"/>
      <c r="F6" s="765"/>
      <c r="G6" s="2314" t="s">
        <v>547</v>
      </c>
      <c r="H6" s="2315"/>
      <c r="I6" s="1319"/>
    </row>
    <row r="7" spans="1:11" s="241" customFormat="1" ht="19.5" customHeight="1" thickBot="1">
      <c r="A7" s="1322"/>
      <c r="B7" s="52"/>
      <c r="C7" s="64" t="s">
        <v>546</v>
      </c>
      <c r="D7" s="1319"/>
      <c r="E7" s="778"/>
      <c r="F7" s="765"/>
      <c r="G7" s="2251" t="s">
        <v>1974</v>
      </c>
      <c r="H7" s="2252"/>
      <c r="I7" s="2047"/>
    </row>
    <row r="8" spans="1:11" s="241" customFormat="1" ht="19.5" customHeight="1" thickBot="1">
      <c r="A8" s="2173"/>
      <c r="B8" s="1323"/>
      <c r="C8" s="2174" t="s">
        <v>2536</v>
      </c>
      <c r="D8" s="1319"/>
      <c r="E8" s="2176"/>
      <c r="F8" s="2175"/>
      <c r="G8" s="2177"/>
      <c r="H8" s="2177"/>
      <c r="I8" s="2178"/>
    </row>
    <row r="9" spans="1:11" s="241" customFormat="1" ht="19.5" customHeight="1" thickBot="1">
      <c r="A9" s="2341" t="s">
        <v>2329</v>
      </c>
      <c r="B9" s="2341"/>
      <c r="C9" s="2341"/>
      <c r="D9" s="2341"/>
      <c r="E9" s="2341"/>
      <c r="F9" s="2341"/>
      <c r="G9" s="2341"/>
      <c r="H9" s="2341"/>
      <c r="I9" s="2341"/>
      <c r="J9" s="1320"/>
    </row>
    <row r="10" spans="1:11" ht="26.25" thickBot="1">
      <c r="A10" s="2307" t="s">
        <v>23</v>
      </c>
      <c r="B10" s="53" t="s">
        <v>233</v>
      </c>
      <c r="C10" s="56" t="s">
        <v>234</v>
      </c>
      <c r="D10" s="55" t="s">
        <v>31</v>
      </c>
      <c r="E10" s="54" t="s">
        <v>1955</v>
      </c>
      <c r="F10" s="46" t="s">
        <v>30</v>
      </c>
      <c r="G10" s="47" t="s">
        <v>366</v>
      </c>
      <c r="H10" s="47" t="s">
        <v>451</v>
      </c>
      <c r="I10" s="46" t="s">
        <v>197</v>
      </c>
      <c r="J10" s="779" t="str">
        <f>IF(I6="Yes","Existing Conditions","")</f>
        <v/>
      </c>
    </row>
    <row r="11" spans="1:11" ht="17.25" customHeight="1">
      <c r="A11" s="2351"/>
      <c r="B11" s="2352" t="s">
        <v>29</v>
      </c>
      <c r="C11" s="338" t="s">
        <v>16</v>
      </c>
      <c r="D11" s="367" t="str">
        <f>IF('Prescriptive Path'!$K$1=4,Proposed!D14,IF('Prescriptive Path'!$K$1=5,Proposed!K14,IF('Prescriptive Path'!$K$1=6,Proposed!P14)))</f>
        <v>R-25.0 ci</v>
      </c>
      <c r="E11" s="368" t="str">
        <f>IF('Prescriptive Path'!$K$1=4,Proposed!H14,IF('Prescriptive Path'!$K$1=5,Proposed!O14,IF('Prescriptive Path'!$K$1=6,Proposed!T14)))</f>
        <v>U-0.039</v>
      </c>
      <c r="F11" s="3"/>
      <c r="G11" s="3"/>
      <c r="H11" s="1013"/>
      <c r="I11" s="41" t="s">
        <v>196</v>
      </c>
      <c r="J11" s="1029" t="s">
        <v>1916</v>
      </c>
    </row>
    <row r="12" spans="1:11" ht="17.25" customHeight="1">
      <c r="A12" s="2351"/>
      <c r="B12" s="2353"/>
      <c r="C12" s="361" t="s">
        <v>51</v>
      </c>
      <c r="D12" s="367" t="str">
        <f>IF('Prescriptive Path'!$K$1=4,Proposed!D15,IF('Prescriptive Path'!$K$1=5,Proposed!K15,IF('Prescriptive Path'!$K$1=6,Proposed!P15)))</f>
        <v>R-19.0 + R-11 ls</v>
      </c>
      <c r="E12" s="368" t="str">
        <f>IF('Prescriptive Path'!$K$1=4,Proposed!H15,IF('Prescriptive Path'!$K$1=5,Proposed!O15,IF('Prescriptive Path'!$K$1=6,Proposed!T15)))</f>
        <v>U-0.035</v>
      </c>
      <c r="F12" s="3"/>
      <c r="G12" s="3"/>
      <c r="H12" s="1013"/>
      <c r="I12" s="6" t="s">
        <v>196</v>
      </c>
      <c r="J12" s="1029" t="s">
        <v>1916</v>
      </c>
    </row>
    <row r="13" spans="1:11" s="39" customFormat="1" ht="17.25" customHeight="1">
      <c r="A13" s="2351"/>
      <c r="B13" s="2353"/>
      <c r="C13" s="339" t="s">
        <v>53</v>
      </c>
      <c r="D13" s="367" t="str">
        <f>IF('Prescriptive Path'!$K$1=4,Proposed!D16,IF('Prescriptive Path'!$K$1=5,Proposed!K16,IF('Prescriptive Path'!$K$1=6,Proposed!P16)))</f>
        <v>R-49.0</v>
      </c>
      <c r="E13" s="368" t="str">
        <f>IF('Prescriptive Path'!$K$1=4,Proposed!H16,IF('Prescriptive Path'!$K$1=5,Proposed!O16,IF('Prescriptive Path'!$K$1=6,Proposed!T16)))</f>
        <v>U-0.021</v>
      </c>
      <c r="F13" s="3"/>
      <c r="G13" s="3"/>
      <c r="H13" s="1013"/>
      <c r="I13" s="6" t="s">
        <v>196</v>
      </c>
      <c r="J13" s="1029" t="s">
        <v>1916</v>
      </c>
    </row>
    <row r="14" spans="1:11" ht="17.25" customHeight="1">
      <c r="A14" s="2351"/>
      <c r="B14" s="2354" t="s">
        <v>63</v>
      </c>
      <c r="C14" s="361" t="s">
        <v>99</v>
      </c>
      <c r="D14" s="367" t="str">
        <f>IF('Prescriptive Path'!$K$1=4,Proposed!D17,IF('Prescriptive Path'!$K$1=5,Proposed!K17,IF('Prescriptive Path'!$K$1=6,Proposed!P17)))</f>
        <v>R-15.2 ci</v>
      </c>
      <c r="E14" s="368" t="str">
        <f>IF('Prescriptive Path'!$K$1=4,Proposed!H17,IF('Prescriptive Path'!$K$1=5,Proposed!O17,IF('Prescriptive Path'!$K$1=6,Proposed!T17)))</f>
        <v>U-0.071</v>
      </c>
      <c r="F14" s="3"/>
      <c r="G14" s="3"/>
      <c r="H14" s="1013"/>
      <c r="I14" s="6" t="s">
        <v>196</v>
      </c>
      <c r="J14" s="1029" t="s">
        <v>1916</v>
      </c>
    </row>
    <row r="15" spans="1:11" ht="17.25" customHeight="1">
      <c r="A15" s="2351"/>
      <c r="B15" s="2355"/>
      <c r="C15" s="339" t="s">
        <v>24</v>
      </c>
      <c r="D15" s="367" t="str">
        <f>IF('Prescriptive Path'!$K$1=4,Proposed!D18,IF('Prescriptive Path'!$K$1=5,Proposed!K18,IF('Prescriptive Path'!$K$1=6,Proposed!P18)))</f>
        <v>R-13.0 + R-10 ci</v>
      </c>
      <c r="E15" s="368" t="str">
        <f>IF('Prescriptive Path'!$K$1=4,Proposed!H18,IF('Prescriptive Path'!$K$1=5,Proposed!O18,IF('Prescriptive Path'!$K$1=6,Proposed!T18)))</f>
        <v>U-0.055</v>
      </c>
      <c r="F15" s="3"/>
      <c r="G15" s="3"/>
      <c r="H15" s="1013"/>
      <c r="I15" s="6" t="s">
        <v>196</v>
      </c>
      <c r="J15" s="1029" t="s">
        <v>1916</v>
      </c>
    </row>
    <row r="16" spans="1:11" s="39" customFormat="1" ht="17.25" customHeight="1">
      <c r="A16" s="2351"/>
      <c r="B16" s="2355"/>
      <c r="C16" s="339" t="s">
        <v>252</v>
      </c>
      <c r="D16" s="367" t="str">
        <f>IF('Prescriptive Path'!$K$1=4,Proposed!D19,IF('Prescriptive Path'!$K$1=5,Proposed!K19,IF('Prescriptive Path'!$K$1=6,Proposed!P19)))</f>
        <v>R-13.0 + R-13 ci</v>
      </c>
      <c r="E16" s="368" t="str">
        <f>IF('Prescriptive Path'!$K$1=4,Proposed!H19,IF('Prescriptive Path'!$K$1=5,Proposed!O19,IF('Prescriptive Path'!$K$1=6,Proposed!T19)))</f>
        <v>U-0.052</v>
      </c>
      <c r="F16" s="3"/>
      <c r="G16" s="3"/>
      <c r="H16" s="1013"/>
      <c r="I16" s="6" t="s">
        <v>196</v>
      </c>
      <c r="J16" s="1029" t="s">
        <v>1916</v>
      </c>
    </row>
    <row r="17" spans="1:11" ht="17.25" customHeight="1">
      <c r="A17" s="2351"/>
      <c r="B17" s="2355"/>
      <c r="C17" s="361" t="s">
        <v>277</v>
      </c>
      <c r="D17" s="367" t="str">
        <f>IF('Prescriptive Path'!$K$1=4,Proposed!D20,IF('Prescriptive Path'!$K$1=5,Proposed!K20,IF('Prescriptive Path'!$K$1=6,Proposed!P20)))</f>
        <v>R-13.0 + R-10 ci</v>
      </c>
      <c r="E17" s="368" t="str">
        <f>IF('Prescriptive Path'!$K$1=4,Proposed!H20,IF('Prescriptive Path'!$K$1=5,Proposed!O20,IF('Prescriptive Path'!$K$1=6,Proposed!T20)))</f>
        <v>U-0.045</v>
      </c>
      <c r="F17" s="3"/>
      <c r="G17" s="3"/>
      <c r="H17" s="1013"/>
      <c r="I17" s="6" t="s">
        <v>196</v>
      </c>
      <c r="J17" s="1029" t="s">
        <v>1916</v>
      </c>
    </row>
    <row r="18" spans="1:11" ht="38.25">
      <c r="A18" s="2351"/>
      <c r="B18" s="1825" t="s">
        <v>64</v>
      </c>
      <c r="C18" s="339" t="s">
        <v>5</v>
      </c>
      <c r="D18" s="367" t="str">
        <f>IF('Prescriptive Path'!$K$1=4,Proposed!D21,IF('Prescriptive Path'!$K$1=5,Proposed!K21,IF('Prescriptive Path'!$K$1=6,Proposed!P21)))</f>
        <v>R-10 ci</v>
      </c>
      <c r="E18" s="368" t="str">
        <f>IF('Prescriptive Path'!$K$1=4,Proposed!H21,IF('Prescriptive Path'!$K$1=5,Proposed!O21,IF('Prescriptive Path'!$K$1=6,Proposed!T21)))</f>
        <v>C-0.092</v>
      </c>
      <c r="F18" s="3"/>
      <c r="G18" s="3"/>
      <c r="H18" s="1013"/>
      <c r="I18" s="9" t="s">
        <v>196</v>
      </c>
      <c r="J18" s="1029" t="s">
        <v>2446</v>
      </c>
    </row>
    <row r="19" spans="1:11" ht="17.25" customHeight="1">
      <c r="A19" s="2351"/>
      <c r="B19" s="2356" t="s">
        <v>65</v>
      </c>
      <c r="C19" s="339" t="s">
        <v>100</v>
      </c>
      <c r="D19" s="360" t="str">
        <f>IF('Prescriptive Path'!$K$1=4,Proposed!D23,IF('Prescriptive Path'!$K$1=5,Proposed!K23,IF('Prescriptive Path'!$K$1=6,Proposed!P23)))</f>
        <v>R-14.6 ci</v>
      </c>
      <c r="E19" s="24" t="str">
        <f>IF('Prescriptive Path'!$K$1=4,Proposed!H23,IF('Prescriptive Path'!$K$1=5,Proposed!O23,IF('Prescriptive Path'!$K$1=6,Proposed!T23)))</f>
        <v>U-0.057</v>
      </c>
      <c r="F19" s="3"/>
      <c r="G19" s="3"/>
      <c r="H19" s="1014"/>
      <c r="I19" s="6" t="s">
        <v>196</v>
      </c>
      <c r="J19" s="1029" t="s">
        <v>2447</v>
      </c>
    </row>
    <row r="20" spans="1:11" ht="17.25" customHeight="1">
      <c r="A20" s="2351"/>
      <c r="B20" s="2356"/>
      <c r="C20" s="339" t="s">
        <v>68</v>
      </c>
      <c r="D20" s="283" t="str">
        <f>IF('Prescriptive Path'!$K$1=4,Proposed!D24,IF('Prescriptive Path'!$K$1=5,Proposed!K24,IF('Prescriptive Path'!$K$1=6,Proposed!P24)))</f>
        <v>R-38.0</v>
      </c>
      <c r="E20" s="24" t="str">
        <f>IF('Prescriptive Path'!$K$1=4,Proposed!H24,IF('Prescriptive Path'!$K$1=5,Proposed!O24,IF('Prescriptive Path'!$K$1=6,Proposed!T24)))</f>
        <v>U-0.032</v>
      </c>
      <c r="F20" s="3"/>
      <c r="G20" s="3"/>
      <c r="H20" s="1014"/>
      <c r="I20" s="6" t="s">
        <v>196</v>
      </c>
      <c r="J20" s="1029" t="s">
        <v>2448</v>
      </c>
    </row>
    <row r="21" spans="1:11" ht="17.25" customHeight="1">
      <c r="A21" s="2351"/>
      <c r="B21" s="2356"/>
      <c r="C21" s="339" t="s">
        <v>79</v>
      </c>
      <c r="D21" s="283" t="str">
        <f>IF('Prescriptive Path'!$K$1=4,Proposed!D25,IF('Prescriptive Path'!$K$1=5,Proposed!K25,IF('Prescriptive Path'!$K$1=6,Proposed!P25)))</f>
        <v>R-30.0 + 7.5 ci</v>
      </c>
      <c r="E21" s="24" t="str">
        <f>IF('Prescriptive Path'!$K$1=4,Proposed!H25,IF('Prescriptive Path'!$K$1=5,Proposed!O25,IF('Prescriptive Path'!$K$1=6,Proposed!T25)))</f>
        <v>U-0.026</v>
      </c>
      <c r="F21" s="3"/>
      <c r="G21" s="3"/>
      <c r="H21" s="1014"/>
      <c r="I21" s="6" t="s">
        <v>196</v>
      </c>
      <c r="J21" s="1029" t="s">
        <v>2449</v>
      </c>
    </row>
    <row r="22" spans="1:11" ht="26.25" thickBot="1">
      <c r="A22" s="2351"/>
      <c r="B22" s="5" t="s">
        <v>13</v>
      </c>
      <c r="C22" s="339" t="s">
        <v>8</v>
      </c>
      <c r="D22" s="283" t="s">
        <v>298</v>
      </c>
      <c r="E22" s="24" t="str">
        <f>IF('Prescriptive Path'!$K$1=4,Proposed!H28,IF('Prescriptive Path'!$K$1=5,Proposed!O28,IF('Prescriptive Path'!$K$1=6,Proposed!T28)))</f>
        <v>U-0.4</v>
      </c>
      <c r="F22" s="3"/>
      <c r="G22" s="3"/>
      <c r="H22" s="1014"/>
      <c r="I22" s="9" t="s">
        <v>196</v>
      </c>
      <c r="J22" s="1030" t="s">
        <v>2450</v>
      </c>
    </row>
    <row r="23" spans="1:11" ht="26.25" thickBot="1">
      <c r="A23" s="2351"/>
      <c r="B23" s="2276" t="s">
        <v>915</v>
      </c>
      <c r="C23" s="45" t="s">
        <v>15</v>
      </c>
      <c r="D23" s="2319" t="s">
        <v>103</v>
      </c>
      <c r="E23" s="2320"/>
      <c r="F23" s="46" t="s">
        <v>30</v>
      </c>
      <c r="G23" s="47" t="s">
        <v>366</v>
      </c>
      <c r="H23" s="47" t="s">
        <v>451</v>
      </c>
      <c r="I23" s="46" t="s">
        <v>197</v>
      </c>
      <c r="J23" s="1029" t="s">
        <v>1918</v>
      </c>
    </row>
    <row r="24" spans="1:11">
      <c r="A24" s="2351"/>
      <c r="B24" s="2337"/>
      <c r="C24" s="362" t="s">
        <v>10</v>
      </c>
      <c r="D24" s="2357" t="s">
        <v>4</v>
      </c>
      <c r="E24" s="2358"/>
      <c r="F24" s="3"/>
      <c r="G24" s="3"/>
      <c r="H24" s="1015"/>
      <c r="I24" s="6" t="s">
        <v>196</v>
      </c>
      <c r="J24" s="780" t="str">
        <f>IF($I$6="Yes",".","")</f>
        <v/>
      </c>
    </row>
    <row r="25" spans="1:11">
      <c r="A25" s="2351"/>
      <c r="B25" s="2337"/>
      <c r="C25" s="362" t="s">
        <v>41</v>
      </c>
      <c r="D25" s="2359" t="str">
        <f>IF('Prescriptive Path'!$K$1=4,Proposed!H32,IF('Prescriptive Path'!$K$1=5,Proposed!O32,IF('Prescriptive Path'!$K$1=6,Proposed!T32)))</f>
        <v>U-0.35 / SHGC-0.40</v>
      </c>
      <c r="E25" s="2360"/>
      <c r="F25" s="3"/>
      <c r="G25" s="3"/>
      <c r="H25" s="1015"/>
      <c r="I25" s="6" t="s">
        <v>196</v>
      </c>
      <c r="J25" s="1029" t="s">
        <v>1918</v>
      </c>
    </row>
    <row r="26" spans="1:11" ht="15.75" thickBot="1">
      <c r="A26" s="2308"/>
      <c r="B26" s="2277"/>
      <c r="C26" s="363" t="s">
        <v>12</v>
      </c>
      <c r="D26" s="2262" t="str">
        <f>IF('Prescriptive Path'!$K$1=4,Proposed!H34,IF('Prescriptive Path'!$K$1=5,Proposed!O34,IF('Prescriptive Path'!$K$1=6,Proposed!T34)))</f>
        <v>U-0.45 / SHGC-0.40</v>
      </c>
      <c r="E26" s="2321"/>
      <c r="F26" s="3"/>
      <c r="G26" s="3"/>
      <c r="H26" s="1015"/>
      <c r="I26" s="6" t="s">
        <v>196</v>
      </c>
      <c r="J26" s="1029" t="s">
        <v>1918</v>
      </c>
    </row>
    <row r="27" spans="1:11" ht="26.25" thickBot="1">
      <c r="A27" s="1" t="s">
        <v>0</v>
      </c>
      <c r="B27" s="2" t="s">
        <v>14</v>
      </c>
      <c r="C27" s="45" t="s">
        <v>15</v>
      </c>
      <c r="D27" s="2319" t="s">
        <v>358</v>
      </c>
      <c r="E27" s="2320"/>
      <c r="F27" s="46" t="s">
        <v>30</v>
      </c>
      <c r="G27" s="47" t="s">
        <v>366</v>
      </c>
      <c r="H27" s="47" t="s">
        <v>451</v>
      </c>
      <c r="I27" s="46" t="s">
        <v>197</v>
      </c>
    </row>
    <row r="28" spans="1:11">
      <c r="A28" s="2322" t="s">
        <v>28</v>
      </c>
      <c r="B28" s="2316" t="s">
        <v>28</v>
      </c>
      <c r="C28" s="340" t="s">
        <v>384</v>
      </c>
      <c r="D28" s="2329" t="s">
        <v>4</v>
      </c>
      <c r="E28" s="2330"/>
      <c r="F28" s="174" t="b">
        <v>0</v>
      </c>
      <c r="G28" s="175"/>
      <c r="H28" s="1016"/>
      <c r="I28" s="341" t="s">
        <v>198</v>
      </c>
    </row>
    <row r="29" spans="1:11">
      <c r="A29" s="2323"/>
      <c r="B29" s="2317"/>
      <c r="C29" s="334" t="s">
        <v>458</v>
      </c>
      <c r="D29" s="2331" t="s">
        <v>4</v>
      </c>
      <c r="E29" s="2332"/>
      <c r="F29" s="120" t="b">
        <v>0</v>
      </c>
      <c r="G29" s="120"/>
      <c r="H29" s="1017"/>
      <c r="I29" s="9" t="s">
        <v>198</v>
      </c>
      <c r="K29" s="40"/>
    </row>
    <row r="30" spans="1:11" ht="15.75" customHeight="1">
      <c r="A30" s="2323"/>
      <c r="B30" s="2317"/>
      <c r="C30" s="334" t="s">
        <v>391</v>
      </c>
      <c r="D30" s="2331" t="s">
        <v>4</v>
      </c>
      <c r="E30" s="2332"/>
      <c r="F30" s="120" t="b">
        <v>0</v>
      </c>
      <c r="G30" s="120"/>
      <c r="H30" s="1017"/>
      <c r="I30" s="9" t="s">
        <v>198</v>
      </c>
      <c r="K30" s="59"/>
    </row>
    <row r="31" spans="1:11" ht="15.75" customHeight="1">
      <c r="A31" s="2323"/>
      <c r="B31" s="2317"/>
      <c r="C31" s="173" t="s">
        <v>204</v>
      </c>
      <c r="D31" s="2333" t="s">
        <v>4</v>
      </c>
      <c r="E31" s="2334"/>
      <c r="F31" s="120" t="b">
        <v>0</v>
      </c>
      <c r="G31" s="120"/>
      <c r="H31" s="1018"/>
      <c r="I31" s="331" t="s">
        <v>198</v>
      </c>
      <c r="K31" s="59"/>
    </row>
    <row r="32" spans="1:11" s="39" customFormat="1" ht="15.75" customHeight="1">
      <c r="A32" s="2323"/>
      <c r="B32" s="2317"/>
      <c r="C32" s="15" t="s">
        <v>385</v>
      </c>
      <c r="D32" s="2327" t="s">
        <v>7</v>
      </c>
      <c r="E32" s="2328"/>
      <c r="F32" s="332"/>
      <c r="G32" s="333"/>
      <c r="H32" s="2325"/>
      <c r="I32" s="2326"/>
      <c r="K32" s="59"/>
    </row>
    <row r="33" spans="1:11" s="39" customFormat="1" ht="15.75" customHeight="1" thickBot="1">
      <c r="A33" s="2324"/>
      <c r="B33" s="2318"/>
      <c r="C33" s="366" t="s">
        <v>459</v>
      </c>
      <c r="D33" s="2335" t="s">
        <v>4</v>
      </c>
      <c r="E33" s="2336"/>
      <c r="F33" s="342" t="b">
        <v>0</v>
      </c>
      <c r="G33" s="342" t="b">
        <v>0</v>
      </c>
      <c r="H33" s="1019"/>
      <c r="I33" s="8" t="s">
        <v>198</v>
      </c>
      <c r="K33" s="59"/>
    </row>
    <row r="34" spans="1:11" ht="15" customHeight="1">
      <c r="A34" s="2280" t="s">
        <v>40</v>
      </c>
      <c r="B34" s="2309" t="s">
        <v>40</v>
      </c>
      <c r="C34" s="2290" t="s">
        <v>42</v>
      </c>
      <c r="D34" s="2286" t="s">
        <v>462</v>
      </c>
      <c r="E34" s="2287"/>
      <c r="F34" s="122" t="b">
        <v>0</v>
      </c>
      <c r="G34" s="59"/>
      <c r="H34" s="1020"/>
      <c r="I34" s="221" t="s">
        <v>198</v>
      </c>
      <c r="K34" s="40"/>
    </row>
    <row r="35" spans="1:11" ht="15" customHeight="1">
      <c r="A35" s="2280"/>
      <c r="B35" s="2259"/>
      <c r="C35" s="2291"/>
      <c r="D35" s="2286"/>
      <c r="E35" s="2287"/>
      <c r="F35" s="61"/>
      <c r="G35" s="59"/>
      <c r="H35" s="1014"/>
      <c r="I35" s="221" t="s">
        <v>373</v>
      </c>
      <c r="J35" s="39"/>
    </row>
    <row r="36" spans="1:11">
      <c r="A36" s="2280"/>
      <c r="B36" s="2259"/>
      <c r="C36" s="2291"/>
      <c r="D36" s="2288"/>
      <c r="E36" s="2289"/>
      <c r="F36" s="62"/>
      <c r="G36" s="63"/>
      <c r="H36" s="1013"/>
      <c r="I36" s="14" t="s">
        <v>374</v>
      </c>
      <c r="J36" s="39"/>
    </row>
    <row r="37" spans="1:11">
      <c r="A37" s="2280"/>
      <c r="B37" s="2259"/>
      <c r="C37" s="2291"/>
      <c r="D37" s="2270" t="s">
        <v>304</v>
      </c>
      <c r="E37" s="2271"/>
      <c r="F37" s="2339" t="b">
        <v>0</v>
      </c>
      <c r="G37" s="2361"/>
      <c r="H37" s="1013"/>
      <c r="I37" s="14" t="s">
        <v>198</v>
      </c>
    </row>
    <row r="38" spans="1:11" ht="15" customHeight="1">
      <c r="A38" s="2280"/>
      <c r="B38" s="2259"/>
      <c r="C38" s="2291"/>
      <c r="D38" s="2286"/>
      <c r="E38" s="2287"/>
      <c r="F38" s="2367"/>
      <c r="G38" s="2365"/>
      <c r="H38" s="1017"/>
      <c r="I38" s="221" t="s">
        <v>373</v>
      </c>
    </row>
    <row r="39" spans="1:11">
      <c r="A39" s="2280"/>
      <c r="B39" s="2259"/>
      <c r="C39" s="2292"/>
      <c r="D39" s="2288"/>
      <c r="E39" s="2289"/>
      <c r="F39" s="2368"/>
      <c r="G39" s="2366"/>
      <c r="H39" s="1021"/>
      <c r="I39" s="49" t="s">
        <v>374</v>
      </c>
    </row>
    <row r="40" spans="1:11" ht="25.5">
      <c r="A40" s="2280"/>
      <c r="B40" s="2259"/>
      <c r="C40" s="50" t="s">
        <v>36</v>
      </c>
      <c r="D40" s="2338" t="s">
        <v>32</v>
      </c>
      <c r="E40" s="2263"/>
      <c r="F40" s="220"/>
      <c r="G40" s="220"/>
      <c r="H40" s="1017"/>
      <c r="I40" s="9" t="s">
        <v>1978</v>
      </c>
    </row>
    <row r="41" spans="1:11" ht="20.25" customHeight="1">
      <c r="A41" s="2280"/>
      <c r="B41" s="2259"/>
      <c r="C41" s="2284" t="s">
        <v>35</v>
      </c>
      <c r="D41" s="2344" t="s">
        <v>1905</v>
      </c>
      <c r="E41" s="2345"/>
      <c r="F41" s="2339" t="b">
        <v>0</v>
      </c>
      <c r="G41" s="2339"/>
      <c r="H41" s="1017"/>
      <c r="I41" s="9" t="s">
        <v>395</v>
      </c>
      <c r="J41" s="247" t="b">
        <v>0</v>
      </c>
    </row>
    <row r="42" spans="1:11" s="39" customFormat="1" ht="19.5" customHeight="1" thickBot="1">
      <c r="A42" s="2281"/>
      <c r="B42" s="2310"/>
      <c r="C42" s="2285"/>
      <c r="D42" s="2346"/>
      <c r="E42" s="2347"/>
      <c r="F42" s="2340"/>
      <c r="G42" s="2340"/>
      <c r="H42" s="1019"/>
      <c r="I42" s="8" t="s">
        <v>396</v>
      </c>
    </row>
    <row r="43" spans="1:11" ht="19.5" customHeight="1">
      <c r="A43" s="2257" t="s">
        <v>37</v>
      </c>
      <c r="B43" s="2259" t="s">
        <v>69</v>
      </c>
      <c r="C43" s="2298" t="s">
        <v>2519</v>
      </c>
      <c r="D43" s="2301" t="s">
        <v>253</v>
      </c>
      <c r="E43" s="2302"/>
      <c r="F43" s="2342"/>
      <c r="G43" s="2342"/>
      <c r="H43" s="1023"/>
      <c r="I43" s="126" t="s">
        <v>198</v>
      </c>
    </row>
    <row r="44" spans="1:11" s="241" customFormat="1" ht="19.5" customHeight="1">
      <c r="A44" s="2258"/>
      <c r="B44" s="2259"/>
      <c r="C44" s="2299"/>
      <c r="D44" s="2303"/>
      <c r="E44" s="2304"/>
      <c r="F44" s="2343"/>
      <c r="G44" s="2343"/>
      <c r="H44" s="2136"/>
      <c r="I44" s="2137" t="s">
        <v>2525</v>
      </c>
    </row>
    <row r="45" spans="1:11" ht="19.5" customHeight="1">
      <c r="A45" s="2258"/>
      <c r="B45" s="2259"/>
      <c r="C45" s="2300" t="s">
        <v>2520</v>
      </c>
      <c r="D45" s="2305" t="s">
        <v>253</v>
      </c>
      <c r="E45" s="2306"/>
      <c r="F45" s="2131"/>
      <c r="G45" s="2131"/>
      <c r="H45" s="2136"/>
      <c r="I45" s="2137" t="s">
        <v>198</v>
      </c>
    </row>
    <row r="46" spans="1:11" s="241" customFormat="1" ht="19.5" customHeight="1">
      <c r="A46" s="2258"/>
      <c r="B46" s="2259"/>
      <c r="C46" s="2299"/>
      <c r="D46" s="2303"/>
      <c r="E46" s="2304"/>
      <c r="F46" s="2131"/>
      <c r="G46" s="2131"/>
      <c r="H46" s="2136"/>
      <c r="I46" s="2137" t="s">
        <v>2525</v>
      </c>
    </row>
    <row r="47" spans="1:11" s="241" customFormat="1" ht="19.5" customHeight="1">
      <c r="A47" s="2258"/>
      <c r="B47" s="2259"/>
      <c r="C47" s="57" t="s">
        <v>322</v>
      </c>
      <c r="D47" s="2311" t="s">
        <v>253</v>
      </c>
      <c r="E47" s="2312"/>
      <c r="F47" s="60"/>
      <c r="G47" s="60"/>
      <c r="H47" s="1024"/>
      <c r="I47" s="1309" t="s">
        <v>1976</v>
      </c>
    </row>
    <row r="48" spans="1:11" s="241" customFormat="1" ht="19.5" customHeight="1">
      <c r="A48" s="2258"/>
      <c r="B48" s="2259"/>
      <c r="C48" s="58" t="s">
        <v>323</v>
      </c>
      <c r="D48" s="2260" t="s">
        <v>327</v>
      </c>
      <c r="E48" s="2261"/>
      <c r="F48" s="60"/>
      <c r="G48" s="60"/>
      <c r="H48" s="1013"/>
      <c r="I48" s="1309" t="s">
        <v>1976</v>
      </c>
    </row>
    <row r="49" spans="1:11" s="39" customFormat="1" ht="15" customHeight="1">
      <c r="A49" s="2258"/>
      <c r="B49" s="2259"/>
      <c r="C49" s="15" t="s">
        <v>324</v>
      </c>
      <c r="D49" s="2262" t="s">
        <v>305</v>
      </c>
      <c r="E49" s="2263"/>
      <c r="F49" s="60"/>
      <c r="G49" s="60"/>
      <c r="H49" s="1014"/>
      <c r="I49" s="1309" t="s">
        <v>1976</v>
      </c>
    </row>
    <row r="50" spans="1:11" s="39" customFormat="1" ht="25.5" customHeight="1">
      <c r="A50" s="2258"/>
      <c r="B50" s="2259"/>
      <c r="C50" s="15" t="s">
        <v>325</v>
      </c>
      <c r="D50" s="2262" t="s">
        <v>305</v>
      </c>
      <c r="E50" s="2263"/>
      <c r="F50" s="60"/>
      <c r="G50" s="60"/>
      <c r="H50" s="1014"/>
      <c r="I50" s="1309" t="s">
        <v>1976</v>
      </c>
    </row>
    <row r="51" spans="1:11" ht="25.5">
      <c r="A51" s="2258"/>
      <c r="B51" s="2259"/>
      <c r="C51" s="15" t="s">
        <v>326</v>
      </c>
      <c r="D51" s="2262" t="s">
        <v>306</v>
      </c>
      <c r="E51" s="2263"/>
      <c r="F51" s="60"/>
      <c r="G51" s="60"/>
      <c r="H51" s="1014"/>
      <c r="I51" s="1309" t="s">
        <v>1976</v>
      </c>
    </row>
    <row r="52" spans="1:11" s="39" customFormat="1" ht="25.5">
      <c r="A52" s="2258"/>
      <c r="B52" s="2259"/>
      <c r="C52" s="15" t="s">
        <v>307</v>
      </c>
      <c r="D52" s="2264" t="s">
        <v>253</v>
      </c>
      <c r="E52" s="2265"/>
      <c r="F52" s="60"/>
      <c r="G52" s="60"/>
      <c r="H52" s="1014"/>
      <c r="I52" s="9" t="s">
        <v>1977</v>
      </c>
    </row>
    <row r="53" spans="1:11" ht="25.5">
      <c r="A53" s="2258"/>
      <c r="B53" s="2259"/>
      <c r="C53" s="15" t="s">
        <v>308</v>
      </c>
      <c r="D53" s="2260" t="str">
        <f>IF('Prescriptive Path'!$K$1=4,Proposed!H46,IF('Prescriptive Path'!$K$1=5,Proposed!O46,IF('Prescriptive Path'!$K$1=6,Proposed!T46)))</f>
        <v>ENERGY STAR Qualified</v>
      </c>
      <c r="E53" s="2261"/>
      <c r="F53" s="60"/>
      <c r="G53" s="60"/>
      <c r="H53" s="1014"/>
      <c r="I53" s="9" t="s">
        <v>1977</v>
      </c>
    </row>
    <row r="54" spans="1:11" ht="25.5" customHeight="1">
      <c r="A54" s="2258"/>
      <c r="B54" s="2259"/>
      <c r="C54" s="15" t="s">
        <v>309</v>
      </c>
      <c r="D54" s="2262" t="s">
        <v>310</v>
      </c>
      <c r="E54" s="2321"/>
      <c r="F54" s="60"/>
      <c r="G54" s="60"/>
      <c r="H54" s="1014"/>
      <c r="I54" s="9" t="s">
        <v>1977</v>
      </c>
      <c r="J54" s="39"/>
      <c r="K54" s="39"/>
    </row>
    <row r="55" spans="1:11" ht="25.5" customHeight="1">
      <c r="A55" s="2258"/>
      <c r="B55" s="2259"/>
      <c r="C55" s="2293" t="s">
        <v>312</v>
      </c>
      <c r="D55" s="2295" t="s">
        <v>2508</v>
      </c>
      <c r="E55" s="2296"/>
      <c r="F55" s="2361"/>
      <c r="G55" s="2361"/>
      <c r="H55" s="1014"/>
      <c r="I55" s="9" t="s">
        <v>1956</v>
      </c>
      <c r="J55" s="39"/>
      <c r="K55" s="39"/>
    </row>
    <row r="56" spans="1:11" ht="15" customHeight="1">
      <c r="A56" s="2258"/>
      <c r="B56" s="2259"/>
      <c r="C56" s="2294"/>
      <c r="D56" s="2297"/>
      <c r="E56" s="2261"/>
      <c r="F56" s="2366"/>
      <c r="G56" s="2366"/>
      <c r="H56" s="1014"/>
      <c r="I56" s="9" t="s">
        <v>1957</v>
      </c>
    </row>
    <row r="57" spans="1:11" ht="24" customHeight="1">
      <c r="A57" s="2258"/>
      <c r="B57" s="2259"/>
      <c r="C57" s="15" t="s">
        <v>313</v>
      </c>
      <c r="D57" s="2264" t="str">
        <f>IF('Prescriptive Path'!$K$1=4,Proposed!H49,IF('Prescriptive Path'!$K$1=5,Proposed!O49,IF('Prescriptive Path'!$K$1=6,Proposed!T49)))</f>
        <v>ENERGY STAR Qualified; 9.25 HSPF</v>
      </c>
      <c r="E57" s="2375"/>
      <c r="F57" s="60"/>
      <c r="G57" s="60"/>
      <c r="H57" s="1014"/>
      <c r="I57" s="9" t="s">
        <v>1976</v>
      </c>
    </row>
    <row r="58" spans="1:11" s="241" customFormat="1" ht="28.5" customHeight="1">
      <c r="A58" s="2258"/>
      <c r="B58" s="2259"/>
      <c r="C58" s="15" t="s">
        <v>328</v>
      </c>
      <c r="D58" s="2264" t="s">
        <v>315</v>
      </c>
      <c r="E58" s="2256"/>
      <c r="F58" s="60"/>
      <c r="G58" s="60"/>
      <c r="H58" s="1014"/>
      <c r="I58" s="9" t="s">
        <v>1976</v>
      </c>
    </row>
    <row r="59" spans="1:11" ht="19.5" customHeight="1">
      <c r="A59" s="2258"/>
      <c r="B59" s="2259"/>
      <c r="C59" s="15" t="s">
        <v>329</v>
      </c>
      <c r="D59" s="2264" t="s">
        <v>315</v>
      </c>
      <c r="E59" s="2256"/>
      <c r="F59" s="60"/>
      <c r="G59" s="60"/>
      <c r="H59" s="1014"/>
      <c r="I59" s="9" t="s">
        <v>1976</v>
      </c>
    </row>
    <row r="60" spans="1:11">
      <c r="A60" s="2258"/>
      <c r="B60" s="2259"/>
      <c r="C60" s="15" t="s">
        <v>314</v>
      </c>
      <c r="D60" s="2264" t="s">
        <v>316</v>
      </c>
      <c r="E60" s="2256"/>
      <c r="F60" s="60"/>
      <c r="G60" s="60"/>
      <c r="H60" s="1014"/>
      <c r="I60" s="9" t="s">
        <v>1976</v>
      </c>
    </row>
    <row r="61" spans="1:11" s="39" customFormat="1">
      <c r="A61" s="2258"/>
      <c r="B61" s="2259"/>
      <c r="C61" s="15" t="s">
        <v>317</v>
      </c>
      <c r="D61" s="2264" t="s">
        <v>318</v>
      </c>
      <c r="E61" s="2256"/>
      <c r="F61" s="60"/>
      <c r="G61" s="60"/>
      <c r="H61" s="1014"/>
      <c r="I61" s="9" t="s">
        <v>1976</v>
      </c>
    </row>
    <row r="62" spans="1:11" ht="25.5" customHeight="1">
      <c r="A62" s="2258"/>
      <c r="B62" s="2259"/>
      <c r="C62" s="15" t="s">
        <v>319</v>
      </c>
      <c r="D62" s="2264" t="str">
        <f>IF('Prescriptive Path'!K1=4,Proposed!H54,IF('Prescriptive Path'!K1=5,Proposed!O54,IF('Prescriptive Path'!K1=6,Proposed!T54)))</f>
        <v>ENERGY STAR Qualified</v>
      </c>
      <c r="E62" s="2256"/>
      <c r="F62" s="60"/>
      <c r="G62" s="60"/>
      <c r="H62" s="1014"/>
      <c r="I62" s="9" t="s">
        <v>1977</v>
      </c>
    </row>
    <row r="63" spans="1:11" ht="25.5" customHeight="1">
      <c r="A63" s="2258"/>
      <c r="B63" s="2259"/>
      <c r="C63" s="15" t="s">
        <v>320</v>
      </c>
      <c r="D63" s="2359" t="s">
        <v>1906</v>
      </c>
      <c r="E63" s="2328"/>
      <c r="F63" s="60"/>
      <c r="G63" s="60"/>
      <c r="H63" s="1014"/>
      <c r="I63" s="9" t="s">
        <v>1977</v>
      </c>
    </row>
    <row r="64" spans="1:11" ht="15" customHeight="1">
      <c r="A64" s="2258"/>
      <c r="B64" s="2259"/>
      <c r="C64" s="1850" t="s">
        <v>321</v>
      </c>
      <c r="D64" s="2376" t="s">
        <v>2511</v>
      </c>
      <c r="E64" s="2377"/>
      <c r="F64" s="60"/>
      <c r="G64" s="60"/>
      <c r="H64" s="1860"/>
      <c r="I64" s="9" t="s">
        <v>2338</v>
      </c>
    </row>
    <row r="65" spans="1:9" ht="15" customHeight="1">
      <c r="A65" s="2258"/>
      <c r="B65" s="2259"/>
      <c r="C65" s="365" t="s">
        <v>2340</v>
      </c>
      <c r="D65" s="2380" t="s">
        <v>37</v>
      </c>
      <c r="E65" s="2381"/>
      <c r="F65" s="137"/>
      <c r="G65" s="125"/>
      <c r="H65" s="1859"/>
      <c r="I65" s="1848" t="s">
        <v>2339</v>
      </c>
    </row>
    <row r="66" spans="1:9" ht="15" customHeight="1">
      <c r="A66" s="2258"/>
      <c r="B66" s="2259"/>
      <c r="C66" s="15" t="s">
        <v>2</v>
      </c>
      <c r="D66" s="2378" t="s">
        <v>330</v>
      </c>
      <c r="E66" s="2379"/>
      <c r="F66" s="60"/>
      <c r="G66" s="60"/>
      <c r="H66" s="1014"/>
      <c r="I66" s="9" t="s">
        <v>1976</v>
      </c>
    </row>
    <row r="67" spans="1:9" s="39" customFormat="1">
      <c r="A67" s="2258"/>
      <c r="B67" s="2259"/>
      <c r="C67" s="15" t="s">
        <v>3</v>
      </c>
      <c r="D67" s="2282" t="s">
        <v>330</v>
      </c>
      <c r="E67" s="2283"/>
      <c r="F67" s="60"/>
      <c r="G67" s="60"/>
      <c r="H67" s="1014"/>
      <c r="I67" s="9" t="s">
        <v>1976</v>
      </c>
    </row>
    <row r="68" spans="1:9" ht="15" customHeight="1">
      <c r="A68" s="2258"/>
      <c r="B68" s="2259"/>
      <c r="C68" s="15" t="s">
        <v>331</v>
      </c>
      <c r="D68" s="2282" t="s">
        <v>345</v>
      </c>
      <c r="E68" s="2283"/>
      <c r="F68" s="60"/>
      <c r="G68" s="60"/>
      <c r="H68" s="1014"/>
      <c r="I68" s="9" t="s">
        <v>1976</v>
      </c>
    </row>
    <row r="69" spans="1:9" ht="25.5">
      <c r="A69" s="2258"/>
      <c r="B69" s="2259"/>
      <c r="C69" s="15" t="s">
        <v>332</v>
      </c>
      <c r="D69" s="2282" t="s">
        <v>346</v>
      </c>
      <c r="E69" s="2283"/>
      <c r="F69" s="60"/>
      <c r="G69" s="60"/>
      <c r="H69" s="1014"/>
      <c r="I69" s="9" t="s">
        <v>1976</v>
      </c>
    </row>
    <row r="70" spans="1:9" ht="25.5">
      <c r="A70" s="2258"/>
      <c r="B70" s="2259"/>
      <c r="C70" s="15" t="s">
        <v>333</v>
      </c>
      <c r="D70" s="2282" t="s">
        <v>347</v>
      </c>
      <c r="E70" s="2283"/>
      <c r="F70" s="60"/>
      <c r="G70" s="60"/>
      <c r="H70" s="1014"/>
      <c r="I70" s="9" t="s">
        <v>1976</v>
      </c>
    </row>
    <row r="71" spans="1:9" ht="25.5">
      <c r="A71" s="2258"/>
      <c r="B71" s="2259"/>
      <c r="C71" s="15" t="s">
        <v>334</v>
      </c>
      <c r="D71" s="2282" t="s">
        <v>348</v>
      </c>
      <c r="E71" s="2283"/>
      <c r="F71" s="60"/>
      <c r="G71" s="60"/>
      <c r="H71" s="1014"/>
      <c r="I71" s="9" t="s">
        <v>1976</v>
      </c>
    </row>
    <row r="72" spans="1:9" ht="25.5">
      <c r="A72" s="2258"/>
      <c r="B72" s="2259"/>
      <c r="C72" s="15" t="s">
        <v>356</v>
      </c>
      <c r="D72" s="2282" t="s">
        <v>349</v>
      </c>
      <c r="E72" s="2283"/>
      <c r="F72" s="60"/>
      <c r="G72" s="60"/>
      <c r="H72" s="1014"/>
      <c r="I72" s="9" t="s">
        <v>1976</v>
      </c>
    </row>
    <row r="73" spans="1:9" ht="25.5" customHeight="1">
      <c r="A73" s="2258"/>
      <c r="B73" s="2259"/>
      <c r="C73" s="15" t="s">
        <v>357</v>
      </c>
      <c r="D73" s="2282" t="s">
        <v>349</v>
      </c>
      <c r="E73" s="2283"/>
      <c r="F73" s="60"/>
      <c r="G73" s="60"/>
      <c r="H73" s="1014"/>
      <c r="I73" s="9" t="s">
        <v>1976</v>
      </c>
    </row>
    <row r="74" spans="1:9" s="39" customFormat="1" ht="25.5" customHeight="1">
      <c r="A74" s="2258"/>
      <c r="B74" s="2259"/>
      <c r="C74" s="15" t="s">
        <v>335</v>
      </c>
      <c r="D74" s="2282" t="s">
        <v>350</v>
      </c>
      <c r="E74" s="2283"/>
      <c r="F74" s="60"/>
      <c r="G74" s="60"/>
      <c r="H74" s="1014"/>
      <c r="I74" s="9" t="s">
        <v>1976</v>
      </c>
    </row>
    <row r="75" spans="1:9" ht="25.5">
      <c r="A75" s="2258"/>
      <c r="B75" s="2259"/>
      <c r="C75" s="15" t="s">
        <v>336</v>
      </c>
      <c r="D75" s="2282" t="s">
        <v>351</v>
      </c>
      <c r="E75" s="2283"/>
      <c r="F75" s="60"/>
      <c r="G75" s="60"/>
      <c r="H75" s="1014"/>
      <c r="I75" s="9" t="s">
        <v>1976</v>
      </c>
    </row>
    <row r="76" spans="1:9" ht="25.5">
      <c r="A76" s="2258"/>
      <c r="B76" s="2259"/>
      <c r="C76" s="15" t="s">
        <v>337</v>
      </c>
      <c r="D76" s="2282" t="s">
        <v>18</v>
      </c>
      <c r="E76" s="2283"/>
      <c r="F76" s="60"/>
      <c r="G76" s="60"/>
      <c r="H76" s="1014"/>
      <c r="I76" s="9" t="s">
        <v>1976</v>
      </c>
    </row>
    <row r="77" spans="1:9" ht="25.5" customHeight="1">
      <c r="A77" s="2258"/>
      <c r="B77" s="2259"/>
      <c r="C77" s="15" t="s">
        <v>338</v>
      </c>
      <c r="D77" s="2282" t="s">
        <v>21</v>
      </c>
      <c r="E77" s="2283"/>
      <c r="F77" s="60"/>
      <c r="G77" s="60"/>
      <c r="H77" s="1014"/>
      <c r="I77" s="9" t="s">
        <v>1976</v>
      </c>
    </row>
    <row r="78" spans="1:9" ht="25.5">
      <c r="A78" s="2258"/>
      <c r="B78" s="2259"/>
      <c r="C78" s="15" t="s">
        <v>339</v>
      </c>
      <c r="D78" s="2282" t="s">
        <v>19</v>
      </c>
      <c r="E78" s="2283"/>
      <c r="F78" s="60"/>
      <c r="G78" s="60"/>
      <c r="H78" s="1014"/>
      <c r="I78" s="9" t="s">
        <v>1976</v>
      </c>
    </row>
    <row r="79" spans="1:9" ht="25.5">
      <c r="A79" s="2258"/>
      <c r="B79" s="2259"/>
      <c r="C79" s="15" t="s">
        <v>340</v>
      </c>
      <c r="D79" s="2282" t="s">
        <v>20</v>
      </c>
      <c r="E79" s="2283"/>
      <c r="F79" s="60"/>
      <c r="G79" s="60"/>
      <c r="H79" s="1014"/>
      <c r="I79" s="9" t="s">
        <v>1976</v>
      </c>
    </row>
    <row r="80" spans="1:9" ht="25.5">
      <c r="A80" s="2258"/>
      <c r="B80" s="2259"/>
      <c r="C80" s="15" t="s">
        <v>341</v>
      </c>
      <c r="D80" s="2363" t="s">
        <v>352</v>
      </c>
      <c r="E80" s="2364"/>
      <c r="F80" s="60"/>
      <c r="G80" s="60"/>
      <c r="H80" s="1014"/>
      <c r="I80" s="9" t="s">
        <v>1976</v>
      </c>
    </row>
    <row r="81" spans="1:10" ht="25.5">
      <c r="A81" s="2258"/>
      <c r="B81" s="2259"/>
      <c r="C81" s="15" t="s">
        <v>342</v>
      </c>
      <c r="D81" s="2363" t="s">
        <v>353</v>
      </c>
      <c r="E81" s="2364"/>
      <c r="F81" s="60"/>
      <c r="G81" s="60"/>
      <c r="H81" s="1014"/>
      <c r="I81" s="9" t="s">
        <v>1976</v>
      </c>
    </row>
    <row r="82" spans="1:10" s="39" customFormat="1">
      <c r="A82" s="2258"/>
      <c r="B82" s="2259"/>
      <c r="C82" s="15" t="s">
        <v>343</v>
      </c>
      <c r="D82" s="2363" t="s">
        <v>354</v>
      </c>
      <c r="E82" s="2364"/>
      <c r="F82" s="60"/>
      <c r="G82" s="60"/>
      <c r="H82" s="1014"/>
      <c r="I82" s="9" t="s">
        <v>1976</v>
      </c>
    </row>
    <row r="83" spans="1:10" s="39" customFormat="1" ht="26.25" thickBot="1">
      <c r="A83" s="2258"/>
      <c r="B83" s="2259"/>
      <c r="C83" s="364" t="s">
        <v>344</v>
      </c>
      <c r="D83" s="2373" t="s">
        <v>355</v>
      </c>
      <c r="E83" s="2374"/>
      <c r="F83" s="1845"/>
      <c r="G83" s="1845"/>
      <c r="H83" s="1025"/>
      <c r="I83" s="1847" t="s">
        <v>1976</v>
      </c>
    </row>
    <row r="84" spans="1:10" s="39" customFormat="1" ht="25.5" customHeight="1">
      <c r="A84" s="2266" t="s">
        <v>1</v>
      </c>
      <c r="B84" s="2309" t="s">
        <v>39</v>
      </c>
      <c r="C84" s="2313" t="s">
        <v>464</v>
      </c>
      <c r="D84" s="2386" t="s">
        <v>514</v>
      </c>
      <c r="E84" s="2387"/>
      <c r="F84" s="1846"/>
      <c r="G84" s="1846"/>
      <c r="H84" s="1858"/>
      <c r="I84" s="341" t="s">
        <v>196</v>
      </c>
    </row>
    <row r="85" spans="1:10" ht="25.5" customHeight="1">
      <c r="A85" s="2384"/>
      <c r="B85" s="2259"/>
      <c r="C85" s="2398"/>
      <c r="D85" s="2400" t="s">
        <v>515</v>
      </c>
      <c r="E85" s="2263"/>
      <c r="F85" s="1845"/>
      <c r="G85" s="1845"/>
      <c r="H85" s="1026"/>
      <c r="I85" s="9" t="s">
        <v>196</v>
      </c>
    </row>
    <row r="86" spans="1:10" ht="37.5" customHeight="1">
      <c r="A86" s="2384"/>
      <c r="B86" s="2259"/>
      <c r="C86" s="2399"/>
      <c r="D86" s="2400" t="s">
        <v>516</v>
      </c>
      <c r="E86" s="2263"/>
      <c r="F86" s="1845"/>
      <c r="G86" s="1845"/>
      <c r="H86" s="1027"/>
      <c r="I86" s="9" t="s">
        <v>196</v>
      </c>
    </row>
    <row r="87" spans="1:10" ht="25.5">
      <c r="A87" s="2384"/>
      <c r="B87" s="2259"/>
      <c r="C87" s="15" t="s">
        <v>465</v>
      </c>
      <c r="D87" s="2400" t="s">
        <v>517</v>
      </c>
      <c r="E87" s="2263"/>
      <c r="F87" s="1845"/>
      <c r="G87" s="1845"/>
      <c r="H87" s="1849"/>
      <c r="I87" s="9" t="s">
        <v>221</v>
      </c>
    </row>
    <row r="88" spans="1:10" ht="63.75">
      <c r="A88" s="2384"/>
      <c r="B88" s="2385"/>
      <c r="C88" s="15" t="s">
        <v>38</v>
      </c>
      <c r="D88" s="2369" t="s">
        <v>463</v>
      </c>
      <c r="E88" s="2370"/>
      <c r="F88" s="1845"/>
      <c r="G88" s="1845"/>
      <c r="H88" s="1849"/>
      <c r="I88" s="9" t="s">
        <v>446</v>
      </c>
    </row>
    <row r="89" spans="1:10" ht="63.75" customHeight="1">
      <c r="A89" s="2384"/>
      <c r="B89" s="2276" t="s">
        <v>49</v>
      </c>
      <c r="C89" s="2274" t="s">
        <v>50</v>
      </c>
      <c r="D89" s="2270" t="s">
        <v>434</v>
      </c>
      <c r="E89" s="2271"/>
      <c r="F89" s="2361"/>
      <c r="G89" s="2361"/>
      <c r="H89" s="1014"/>
      <c r="I89" s="9" t="s">
        <v>220</v>
      </c>
    </row>
    <row r="90" spans="1:10" ht="78.75" customHeight="1" thickBot="1">
      <c r="A90" s="2267"/>
      <c r="B90" s="2277"/>
      <c r="C90" s="2275"/>
      <c r="D90" s="2272"/>
      <c r="E90" s="2273"/>
      <c r="F90" s="2362"/>
      <c r="G90" s="2362"/>
      <c r="H90" s="1028"/>
      <c r="I90" s="8" t="s">
        <v>392</v>
      </c>
      <c r="J90" s="247" t="b">
        <v>0</v>
      </c>
    </row>
    <row r="91" spans="1:10" ht="22.5" customHeight="1">
      <c r="A91" s="2266" t="s">
        <v>43</v>
      </c>
      <c r="B91" s="2268" t="s">
        <v>43</v>
      </c>
      <c r="C91" s="2390" t="s">
        <v>437</v>
      </c>
      <c r="D91" s="2401" t="s">
        <v>438</v>
      </c>
      <c r="E91" s="2402"/>
      <c r="F91" s="1857"/>
      <c r="G91" s="1857"/>
      <c r="H91" s="1854"/>
      <c r="I91" s="1855" t="s">
        <v>435</v>
      </c>
    </row>
    <row r="92" spans="1:10" s="39" customFormat="1" ht="54.75" customHeight="1" thickBot="1">
      <c r="A92" s="2267"/>
      <c r="B92" s="2269"/>
      <c r="C92" s="2391"/>
      <c r="D92" s="2403"/>
      <c r="E92" s="2404"/>
      <c r="F92" s="1856"/>
      <c r="G92" s="1856"/>
      <c r="H92" s="1028"/>
      <c r="I92" s="359" t="s">
        <v>436</v>
      </c>
    </row>
    <row r="93" spans="1:10" s="39" customFormat="1" ht="46.5" customHeight="1">
      <c r="A93" s="2384" t="s">
        <v>46</v>
      </c>
      <c r="B93" s="2278" t="s">
        <v>22</v>
      </c>
      <c r="C93" s="2392" t="s">
        <v>481</v>
      </c>
      <c r="D93" s="2394" t="s">
        <v>253</v>
      </c>
      <c r="E93" s="2395"/>
      <c r="F93" s="2388"/>
      <c r="G93" s="2382"/>
      <c r="H93" s="1022"/>
      <c r="I93" s="468" t="s">
        <v>1979</v>
      </c>
    </row>
    <row r="94" spans="1:10" s="39" customFormat="1" ht="41.25" customHeight="1">
      <c r="A94" s="2384"/>
      <c r="B94" s="2279"/>
      <c r="C94" s="2393"/>
      <c r="D94" s="2396"/>
      <c r="E94" s="2397"/>
      <c r="F94" s="2389"/>
      <c r="G94" s="2383"/>
      <c r="H94" s="1014"/>
      <c r="I94" s="336" t="s">
        <v>483</v>
      </c>
    </row>
    <row r="95" spans="1:10" s="241" customFormat="1" ht="41.25" customHeight="1">
      <c r="A95" s="2384"/>
      <c r="B95" s="2279"/>
      <c r="C95" s="358" t="s">
        <v>439</v>
      </c>
      <c r="D95" s="2255" t="s">
        <v>47</v>
      </c>
      <c r="E95" s="2256"/>
      <c r="F95" s="60"/>
      <c r="G95" s="60"/>
      <c r="H95" s="1013"/>
      <c r="I95" s="7" t="s">
        <v>456</v>
      </c>
    </row>
    <row r="96" spans="1:10" s="241" customFormat="1" ht="49.5" customHeight="1">
      <c r="A96" s="2384"/>
      <c r="B96" s="2279"/>
      <c r="C96" s="358" t="s">
        <v>440</v>
      </c>
      <c r="D96" s="2255" t="s">
        <v>48</v>
      </c>
      <c r="E96" s="2256"/>
      <c r="F96" s="60"/>
      <c r="G96" s="60"/>
      <c r="H96" s="1014"/>
      <c r="I96" s="7" t="s">
        <v>457</v>
      </c>
    </row>
    <row r="97" spans="1:9" ht="26.25" thickBot="1">
      <c r="A97" s="2384"/>
      <c r="B97" s="2279"/>
      <c r="C97" s="767" t="s">
        <v>442</v>
      </c>
      <c r="D97" s="2270" t="s">
        <v>443</v>
      </c>
      <c r="E97" s="2271"/>
      <c r="F97" s="766"/>
      <c r="G97" s="766"/>
      <c r="H97" s="1014"/>
      <c r="I97" s="9" t="s">
        <v>1979</v>
      </c>
    </row>
    <row r="98" spans="1:9">
      <c r="A98" s="2239" t="s">
        <v>367</v>
      </c>
      <c r="B98" s="2236" t="s">
        <v>235</v>
      </c>
      <c r="C98" s="1311" t="s">
        <v>1970</v>
      </c>
      <c r="D98" s="2242"/>
      <c r="E98" s="2243"/>
      <c r="F98" s="2243"/>
      <c r="G98" s="2244"/>
      <c r="H98" s="1314"/>
      <c r="I98" s="1315" t="s">
        <v>236</v>
      </c>
    </row>
    <row r="99" spans="1:9" s="241" customFormat="1" ht="26.25" customHeight="1">
      <c r="A99" s="2240"/>
      <c r="B99" s="2237"/>
      <c r="C99" s="358" t="s">
        <v>1971</v>
      </c>
      <c r="D99" s="2245"/>
      <c r="E99" s="2246"/>
      <c r="F99" s="2246"/>
      <c r="G99" s="2247"/>
      <c r="H99" s="1316"/>
      <c r="I99" s="1317" t="s">
        <v>236</v>
      </c>
    </row>
    <row r="100" spans="1:9" s="241" customFormat="1" ht="15.75" customHeight="1">
      <c r="A100" s="2240"/>
      <c r="B100" s="2237"/>
      <c r="C100" s="358" t="s">
        <v>1972</v>
      </c>
      <c r="D100" s="2245"/>
      <c r="E100" s="2246"/>
      <c r="F100" s="2246"/>
      <c r="G100" s="2247"/>
      <c r="H100" s="1316"/>
      <c r="I100" s="1317" t="s">
        <v>236</v>
      </c>
    </row>
    <row r="101" spans="1:9" s="241" customFormat="1" ht="15.75" customHeight="1" thickBot="1">
      <c r="A101" s="2241"/>
      <c r="B101" s="2238"/>
      <c r="C101" s="1310" t="s">
        <v>1973</v>
      </c>
      <c r="D101" s="2248"/>
      <c r="E101" s="2249"/>
      <c r="F101" s="2249"/>
      <c r="G101" s="2250"/>
      <c r="H101" s="1312">
        <f>SUM(H98:H100)</f>
        <v>0</v>
      </c>
      <c r="I101" s="1313" t="s">
        <v>236</v>
      </c>
    </row>
    <row r="102" spans="1:9" s="241" customFormat="1" ht="15.75" customHeight="1">
      <c r="A102" s="26" t="s">
        <v>1959</v>
      </c>
      <c r="B102" s="26"/>
      <c r="C102"/>
      <c r="D102" s="26"/>
      <c r="E102" s="26"/>
      <c r="F102" s="26"/>
      <c r="G102" s="26"/>
      <c r="H102" s="26"/>
      <c r="I102"/>
    </row>
    <row r="103" spans="1:9" ht="15.75" customHeight="1">
      <c r="A103" s="241" t="s">
        <v>1975</v>
      </c>
    </row>
  </sheetData>
  <mergeCells count="115">
    <mergeCell ref="G93:G94"/>
    <mergeCell ref="A84:A90"/>
    <mergeCell ref="B84:B88"/>
    <mergeCell ref="D84:E84"/>
    <mergeCell ref="F93:F94"/>
    <mergeCell ref="A93:A97"/>
    <mergeCell ref="D95:E95"/>
    <mergeCell ref="C91:C92"/>
    <mergeCell ref="C93:C94"/>
    <mergeCell ref="D93:E94"/>
    <mergeCell ref="C84:C86"/>
    <mergeCell ref="D97:E97"/>
    <mergeCell ref="F89:F90"/>
    <mergeCell ref="D87:E87"/>
    <mergeCell ref="D91:E92"/>
    <mergeCell ref="D86:E86"/>
    <mergeCell ref="D85:E85"/>
    <mergeCell ref="D83:E83"/>
    <mergeCell ref="D57:E57"/>
    <mergeCell ref="D54:E54"/>
    <mergeCell ref="D72:E72"/>
    <mergeCell ref="D69:E69"/>
    <mergeCell ref="D70:E70"/>
    <mergeCell ref="D79:E79"/>
    <mergeCell ref="D75:E75"/>
    <mergeCell ref="D68:E68"/>
    <mergeCell ref="D64:E64"/>
    <mergeCell ref="D66:E66"/>
    <mergeCell ref="D77:E77"/>
    <mergeCell ref="D78:E78"/>
    <mergeCell ref="D71:E71"/>
    <mergeCell ref="D65:E65"/>
    <mergeCell ref="D63:E63"/>
    <mergeCell ref="D76:E76"/>
    <mergeCell ref="D74:E74"/>
    <mergeCell ref="D81:E81"/>
    <mergeCell ref="D82:E82"/>
    <mergeCell ref="A2:I2"/>
    <mergeCell ref="A10:A26"/>
    <mergeCell ref="B11:B13"/>
    <mergeCell ref="B14:B17"/>
    <mergeCell ref="B19:B21"/>
    <mergeCell ref="D23:E23"/>
    <mergeCell ref="D24:E24"/>
    <mergeCell ref="D25:E25"/>
    <mergeCell ref="G89:G90"/>
    <mergeCell ref="D59:E59"/>
    <mergeCell ref="D80:E80"/>
    <mergeCell ref="G41:G42"/>
    <mergeCell ref="G37:G39"/>
    <mergeCell ref="F37:F39"/>
    <mergeCell ref="F55:F56"/>
    <mergeCell ref="G55:G56"/>
    <mergeCell ref="D73:E73"/>
    <mergeCell ref="D88:E88"/>
    <mergeCell ref="G4:H4"/>
    <mergeCell ref="D3:E3"/>
    <mergeCell ref="G5:H5"/>
    <mergeCell ref="D47:E47"/>
    <mergeCell ref="G6:H6"/>
    <mergeCell ref="B28:B33"/>
    <mergeCell ref="D27:E27"/>
    <mergeCell ref="D26:E26"/>
    <mergeCell ref="A28:A33"/>
    <mergeCell ref="H32:I32"/>
    <mergeCell ref="D32:E32"/>
    <mergeCell ref="D28:E28"/>
    <mergeCell ref="D29:E29"/>
    <mergeCell ref="D31:E31"/>
    <mergeCell ref="D30:E30"/>
    <mergeCell ref="D33:E33"/>
    <mergeCell ref="B23:B26"/>
    <mergeCell ref="D40:E40"/>
    <mergeCell ref="F41:F42"/>
    <mergeCell ref="A9:I9"/>
    <mergeCell ref="F43:F44"/>
    <mergeCell ref="G43:G44"/>
    <mergeCell ref="D41:E42"/>
    <mergeCell ref="B34:B42"/>
    <mergeCell ref="D37:E39"/>
    <mergeCell ref="D34:E36"/>
    <mergeCell ref="D62:E62"/>
    <mergeCell ref="C34:C39"/>
    <mergeCell ref="C55:C56"/>
    <mergeCell ref="D55:E56"/>
    <mergeCell ref="D53:E53"/>
    <mergeCell ref="D61:E61"/>
    <mergeCell ref="C43:C44"/>
    <mergeCell ref="C45:C46"/>
    <mergeCell ref="D43:E44"/>
    <mergeCell ref="D45:E46"/>
    <mergeCell ref="B98:B101"/>
    <mergeCell ref="A98:A101"/>
    <mergeCell ref="D98:G101"/>
    <mergeCell ref="G7:H7"/>
    <mergeCell ref="G3:H3"/>
    <mergeCell ref="D96:E96"/>
    <mergeCell ref="A43:A83"/>
    <mergeCell ref="B43:B83"/>
    <mergeCell ref="D48:E48"/>
    <mergeCell ref="D49:E49"/>
    <mergeCell ref="D51:E51"/>
    <mergeCell ref="D52:E52"/>
    <mergeCell ref="A91:A92"/>
    <mergeCell ref="B91:B92"/>
    <mergeCell ref="D89:E90"/>
    <mergeCell ref="C89:C90"/>
    <mergeCell ref="B89:B90"/>
    <mergeCell ref="D58:E58"/>
    <mergeCell ref="D60:E60"/>
    <mergeCell ref="B93:B97"/>
    <mergeCell ref="A34:A42"/>
    <mergeCell ref="D67:E67"/>
    <mergeCell ref="D50:E50"/>
    <mergeCell ref="C41:C42"/>
  </mergeCells>
  <conditionalFormatting sqref="J10">
    <cfRule type="cellIs" dxfId="46" priority="12" stopIfTrue="1" operator="notEqual">
      <formula>""</formula>
    </cfRule>
  </conditionalFormatting>
  <conditionalFormatting sqref="J24">
    <cfRule type="notContainsBlanks" dxfId="45" priority="16" stopIfTrue="1">
      <formula>LEN(TRIM(J24))&gt;0</formula>
    </cfRule>
  </conditionalFormatting>
  <conditionalFormatting sqref="J25:J26 J11:J23">
    <cfRule type="expression" dxfId="44" priority="8" stopIfTrue="1">
      <formula>$I$6="Yes"</formula>
    </cfRule>
  </conditionalFormatting>
  <conditionalFormatting sqref="A9 J9:XFD9">
    <cfRule type="expression" dxfId="43" priority="1">
      <formula>$I$6="YES"</formula>
    </cfRule>
  </conditionalFormatting>
  <dataValidations count="12">
    <dataValidation type="list" allowBlank="1" showInputMessage="1" showErrorMessage="1" sqref="I5:I8">
      <formula1>"Yes, No"</formula1>
    </dataValidation>
    <dataValidation type="list" allowBlank="1" showInputMessage="1" sqref="D4">
      <formula1>counties</formula1>
    </dataValidation>
    <dataValidation type="list" allowBlank="1" showInputMessage="1" showErrorMessage="1" sqref="D5">
      <formula1>Utilities</formula1>
    </dataValidation>
    <dataValidation type="list" allowBlank="1" showInputMessage="1" showErrorMessage="1" sqref="H32">
      <formula1>"Electric Dryer, Gas Dryer"</formula1>
    </dataValidation>
    <dataValidation type="list" allowBlank="1" showInputMessage="1" showErrorMessage="1" sqref="D65:E65">
      <formula1>"Cooling, Heating and Cooling"</formula1>
    </dataValidation>
    <dataValidation type="list" allowBlank="1" showInputMessage="1" showErrorMessage="1" sqref="H94">
      <formula1>FanType</formula1>
    </dataValidation>
    <dataValidation type="list" allowBlank="1" showInputMessage="1" showErrorMessage="1" sqref="D7">
      <formula1>"Affordable,Market-Rate"</formula1>
    </dataValidation>
    <dataValidation type="list" allowBlank="1" showInputMessage="1" showErrorMessage="1" sqref="D6">
      <formula1>GasList</formula1>
    </dataValidation>
    <dataValidation type="list" allowBlank="1" showInputMessage="1" showErrorMessage="1" sqref="J11:J13">
      <formula1>RoofRValue</formula1>
    </dataValidation>
    <dataValidation type="list" allowBlank="1" showInputMessage="1" showErrorMessage="1" sqref="J14:J17">
      <formula1>WallRValue</formula1>
    </dataValidation>
    <dataValidation type="list" allowBlank="1" showInputMessage="1" showErrorMessage="1" sqref="J23 J25:J26">
      <formula1>WindowType</formula1>
    </dataValidation>
    <dataValidation type="list" allowBlank="1" showInputMessage="1" showErrorMessage="1" sqref="D8">
      <formula1>"V6.1, V6.2, V6.3"</formula1>
    </dataValidation>
  </dataValidations>
  <pageMargins left="0.25" right="0.25" top="0.75" bottom="0.75" header="0.3" footer="0.3"/>
  <pageSetup orientation="portrait" horizontalDpi="200" verticalDpi="200" r:id="rId1"/>
  <ignoredErrors>
    <ignoredError sqref="J24"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182" r:id="rId4" name="Check Box 158">
              <controlPr defaultSize="0" autoFill="0" autoLine="0" autoPict="0">
                <anchor moveWithCells="1">
                  <from>
                    <xdr:col>5</xdr:col>
                    <xdr:colOff>257175</xdr:colOff>
                    <xdr:row>12</xdr:row>
                    <xdr:rowOff>0</xdr:rowOff>
                  </from>
                  <to>
                    <xdr:col>5</xdr:col>
                    <xdr:colOff>561975</xdr:colOff>
                    <xdr:row>13</xdr:row>
                    <xdr:rowOff>0</xdr:rowOff>
                  </to>
                </anchor>
              </controlPr>
            </control>
          </mc:Choice>
        </mc:AlternateContent>
        <mc:AlternateContent xmlns:mc="http://schemas.openxmlformats.org/markup-compatibility/2006">
          <mc:Choice Requires="x14">
            <control shapeId="1184" r:id="rId5" name="Check Box 160">
              <controlPr defaultSize="0" autoFill="0" autoLine="0" autoPict="0">
                <anchor moveWithCells="1">
                  <from>
                    <xdr:col>5</xdr:col>
                    <xdr:colOff>257175</xdr:colOff>
                    <xdr:row>13</xdr:row>
                    <xdr:rowOff>0</xdr:rowOff>
                  </from>
                  <to>
                    <xdr:col>5</xdr:col>
                    <xdr:colOff>561975</xdr:colOff>
                    <xdr:row>14</xdr:row>
                    <xdr:rowOff>0</xdr:rowOff>
                  </to>
                </anchor>
              </controlPr>
            </control>
          </mc:Choice>
        </mc:AlternateContent>
        <mc:AlternateContent xmlns:mc="http://schemas.openxmlformats.org/markup-compatibility/2006">
          <mc:Choice Requires="x14">
            <control shapeId="1186" r:id="rId6" name="Check Box 162">
              <controlPr defaultSize="0" autoFill="0" autoLine="0" autoPict="0">
                <anchor moveWithCells="1">
                  <from>
                    <xdr:col>5</xdr:col>
                    <xdr:colOff>257175</xdr:colOff>
                    <xdr:row>14</xdr:row>
                    <xdr:rowOff>0</xdr:rowOff>
                  </from>
                  <to>
                    <xdr:col>5</xdr:col>
                    <xdr:colOff>561975</xdr:colOff>
                    <xdr:row>15</xdr:row>
                    <xdr:rowOff>0</xdr:rowOff>
                  </to>
                </anchor>
              </controlPr>
            </control>
          </mc:Choice>
        </mc:AlternateContent>
        <mc:AlternateContent xmlns:mc="http://schemas.openxmlformats.org/markup-compatibility/2006">
          <mc:Choice Requires="x14">
            <control shapeId="1189" r:id="rId7" name="Check Box 165">
              <controlPr defaultSize="0" autoFill="0" autoLine="0" autoPict="0">
                <anchor moveWithCells="1">
                  <from>
                    <xdr:col>5</xdr:col>
                    <xdr:colOff>257175</xdr:colOff>
                    <xdr:row>15</xdr:row>
                    <xdr:rowOff>0</xdr:rowOff>
                  </from>
                  <to>
                    <xdr:col>5</xdr:col>
                    <xdr:colOff>561975</xdr:colOff>
                    <xdr:row>16</xdr:row>
                    <xdr:rowOff>0</xdr:rowOff>
                  </to>
                </anchor>
              </controlPr>
            </control>
          </mc:Choice>
        </mc:AlternateContent>
        <mc:AlternateContent xmlns:mc="http://schemas.openxmlformats.org/markup-compatibility/2006">
          <mc:Choice Requires="x14">
            <control shapeId="1192" r:id="rId8" name="Check Box 168">
              <controlPr defaultSize="0" autoFill="0" autoLine="0" autoPict="0">
                <anchor moveWithCells="1">
                  <from>
                    <xdr:col>5</xdr:col>
                    <xdr:colOff>257175</xdr:colOff>
                    <xdr:row>16</xdr:row>
                    <xdr:rowOff>0</xdr:rowOff>
                  </from>
                  <to>
                    <xdr:col>5</xdr:col>
                    <xdr:colOff>561975</xdr:colOff>
                    <xdr:row>17</xdr:row>
                    <xdr:rowOff>0</xdr:rowOff>
                  </to>
                </anchor>
              </controlPr>
            </control>
          </mc:Choice>
        </mc:AlternateContent>
        <mc:AlternateContent xmlns:mc="http://schemas.openxmlformats.org/markup-compatibility/2006">
          <mc:Choice Requires="x14">
            <control shapeId="1195" r:id="rId9" name="Check Box 171">
              <controlPr defaultSize="0" autoFill="0" autoLine="0" autoPict="0">
                <anchor moveWithCells="1">
                  <from>
                    <xdr:col>5</xdr:col>
                    <xdr:colOff>257175</xdr:colOff>
                    <xdr:row>17</xdr:row>
                    <xdr:rowOff>133350</xdr:rowOff>
                  </from>
                  <to>
                    <xdr:col>5</xdr:col>
                    <xdr:colOff>561975</xdr:colOff>
                    <xdr:row>17</xdr:row>
                    <xdr:rowOff>352425</xdr:rowOff>
                  </to>
                </anchor>
              </controlPr>
            </control>
          </mc:Choice>
        </mc:AlternateContent>
        <mc:AlternateContent xmlns:mc="http://schemas.openxmlformats.org/markup-compatibility/2006">
          <mc:Choice Requires="x14">
            <control shapeId="1201" r:id="rId10" name="Check Box 177">
              <controlPr defaultSize="0" autoFill="0" autoLine="0" autoPict="0">
                <anchor moveWithCells="1">
                  <from>
                    <xdr:col>5</xdr:col>
                    <xdr:colOff>257175</xdr:colOff>
                    <xdr:row>18</xdr:row>
                    <xdr:rowOff>19050</xdr:rowOff>
                  </from>
                  <to>
                    <xdr:col>5</xdr:col>
                    <xdr:colOff>561975</xdr:colOff>
                    <xdr:row>19</xdr:row>
                    <xdr:rowOff>19050</xdr:rowOff>
                  </to>
                </anchor>
              </controlPr>
            </control>
          </mc:Choice>
        </mc:AlternateContent>
        <mc:AlternateContent xmlns:mc="http://schemas.openxmlformats.org/markup-compatibility/2006">
          <mc:Choice Requires="x14">
            <control shapeId="1204" r:id="rId11" name="Check Box 180">
              <controlPr defaultSize="0" autoFill="0" autoLine="0" autoPict="0">
                <anchor moveWithCells="1">
                  <from>
                    <xdr:col>5</xdr:col>
                    <xdr:colOff>257175</xdr:colOff>
                    <xdr:row>19</xdr:row>
                    <xdr:rowOff>0</xdr:rowOff>
                  </from>
                  <to>
                    <xdr:col>5</xdr:col>
                    <xdr:colOff>561975</xdr:colOff>
                    <xdr:row>20</xdr:row>
                    <xdr:rowOff>0</xdr:rowOff>
                  </to>
                </anchor>
              </controlPr>
            </control>
          </mc:Choice>
        </mc:AlternateContent>
        <mc:AlternateContent xmlns:mc="http://schemas.openxmlformats.org/markup-compatibility/2006">
          <mc:Choice Requires="x14">
            <control shapeId="1207" r:id="rId12" name="Check Box 183">
              <controlPr defaultSize="0" autoFill="0" autoLine="0" autoPict="0">
                <anchor moveWithCells="1">
                  <from>
                    <xdr:col>5</xdr:col>
                    <xdr:colOff>257175</xdr:colOff>
                    <xdr:row>20</xdr:row>
                    <xdr:rowOff>0</xdr:rowOff>
                  </from>
                  <to>
                    <xdr:col>5</xdr:col>
                    <xdr:colOff>561975</xdr:colOff>
                    <xdr:row>21</xdr:row>
                    <xdr:rowOff>0</xdr:rowOff>
                  </to>
                </anchor>
              </controlPr>
            </control>
          </mc:Choice>
        </mc:AlternateContent>
        <mc:AlternateContent xmlns:mc="http://schemas.openxmlformats.org/markup-compatibility/2006">
          <mc:Choice Requires="x14">
            <control shapeId="1216" r:id="rId13" name="Check Box 192">
              <controlPr defaultSize="0" autoFill="0" autoLine="0" autoPict="0">
                <anchor moveWithCells="1">
                  <from>
                    <xdr:col>5</xdr:col>
                    <xdr:colOff>257175</xdr:colOff>
                    <xdr:row>22</xdr:row>
                    <xdr:rowOff>314325</xdr:rowOff>
                  </from>
                  <to>
                    <xdr:col>5</xdr:col>
                    <xdr:colOff>561975</xdr:colOff>
                    <xdr:row>24</xdr:row>
                    <xdr:rowOff>9525</xdr:rowOff>
                  </to>
                </anchor>
              </controlPr>
            </control>
          </mc:Choice>
        </mc:AlternateContent>
        <mc:AlternateContent xmlns:mc="http://schemas.openxmlformats.org/markup-compatibility/2006">
          <mc:Choice Requires="x14">
            <control shapeId="1228" r:id="rId14" name="Check Box 204">
              <controlPr defaultSize="0" autoFill="0" autoLine="0" autoPict="0">
                <anchor moveWithCells="1">
                  <from>
                    <xdr:col>5</xdr:col>
                    <xdr:colOff>257175</xdr:colOff>
                    <xdr:row>24</xdr:row>
                    <xdr:rowOff>0</xdr:rowOff>
                  </from>
                  <to>
                    <xdr:col>5</xdr:col>
                    <xdr:colOff>561975</xdr:colOff>
                    <xdr:row>25</xdr:row>
                    <xdr:rowOff>28575</xdr:rowOff>
                  </to>
                </anchor>
              </controlPr>
            </control>
          </mc:Choice>
        </mc:AlternateContent>
        <mc:AlternateContent xmlns:mc="http://schemas.openxmlformats.org/markup-compatibility/2006">
          <mc:Choice Requires="x14">
            <control shapeId="1231" r:id="rId15" name="Check Box 207">
              <controlPr defaultSize="0" autoFill="0" autoLine="0" autoPict="0">
                <anchor moveWithCells="1">
                  <from>
                    <xdr:col>5</xdr:col>
                    <xdr:colOff>257175</xdr:colOff>
                    <xdr:row>25</xdr:row>
                    <xdr:rowOff>0</xdr:rowOff>
                  </from>
                  <to>
                    <xdr:col>5</xdr:col>
                    <xdr:colOff>561975</xdr:colOff>
                    <xdr:row>26</xdr:row>
                    <xdr:rowOff>19050</xdr:rowOff>
                  </to>
                </anchor>
              </controlPr>
            </control>
          </mc:Choice>
        </mc:AlternateContent>
        <mc:AlternateContent xmlns:mc="http://schemas.openxmlformats.org/markup-compatibility/2006">
          <mc:Choice Requires="x14">
            <control shapeId="1239" r:id="rId16" name="Check Box 215">
              <controlPr defaultSize="0" autoFill="0" autoLine="0" autoPict="0">
                <anchor moveWithCells="1">
                  <from>
                    <xdr:col>5</xdr:col>
                    <xdr:colOff>257175</xdr:colOff>
                    <xdr:row>25</xdr:row>
                    <xdr:rowOff>0</xdr:rowOff>
                  </from>
                  <to>
                    <xdr:col>5</xdr:col>
                    <xdr:colOff>561975</xdr:colOff>
                    <xdr:row>26</xdr:row>
                    <xdr:rowOff>19050</xdr:rowOff>
                  </to>
                </anchor>
              </controlPr>
            </control>
          </mc:Choice>
        </mc:AlternateContent>
        <mc:AlternateContent xmlns:mc="http://schemas.openxmlformats.org/markup-compatibility/2006">
          <mc:Choice Requires="x14">
            <control shapeId="1245" r:id="rId17" name="Check Box 221">
              <controlPr defaultSize="0" autoFill="0" autoLine="0" autoPict="0">
                <anchor moveWithCells="1">
                  <from>
                    <xdr:col>6</xdr:col>
                    <xdr:colOff>257175</xdr:colOff>
                    <xdr:row>10</xdr:row>
                    <xdr:rowOff>0</xdr:rowOff>
                  </from>
                  <to>
                    <xdr:col>6</xdr:col>
                    <xdr:colOff>561975</xdr:colOff>
                    <xdr:row>11</xdr:row>
                    <xdr:rowOff>0</xdr:rowOff>
                  </to>
                </anchor>
              </controlPr>
            </control>
          </mc:Choice>
        </mc:AlternateContent>
        <mc:AlternateContent xmlns:mc="http://schemas.openxmlformats.org/markup-compatibility/2006">
          <mc:Choice Requires="x14">
            <control shapeId="1251" r:id="rId18" name="Check Box 227">
              <controlPr defaultSize="0" autoFill="0" autoLine="0" autoPict="0">
                <anchor moveWithCells="1">
                  <from>
                    <xdr:col>6</xdr:col>
                    <xdr:colOff>257175</xdr:colOff>
                    <xdr:row>11</xdr:row>
                    <xdr:rowOff>0</xdr:rowOff>
                  </from>
                  <to>
                    <xdr:col>6</xdr:col>
                    <xdr:colOff>561975</xdr:colOff>
                    <xdr:row>12</xdr:row>
                    <xdr:rowOff>0</xdr:rowOff>
                  </to>
                </anchor>
              </controlPr>
            </control>
          </mc:Choice>
        </mc:AlternateContent>
        <mc:AlternateContent xmlns:mc="http://schemas.openxmlformats.org/markup-compatibility/2006">
          <mc:Choice Requires="x14">
            <control shapeId="1258" r:id="rId19" name="Check Box 234">
              <controlPr defaultSize="0" autoFill="0" autoLine="0" autoPict="0">
                <anchor moveWithCells="1">
                  <from>
                    <xdr:col>6</xdr:col>
                    <xdr:colOff>257175</xdr:colOff>
                    <xdr:row>12</xdr:row>
                    <xdr:rowOff>0</xdr:rowOff>
                  </from>
                  <to>
                    <xdr:col>6</xdr:col>
                    <xdr:colOff>561975</xdr:colOff>
                    <xdr:row>13</xdr:row>
                    <xdr:rowOff>0</xdr:rowOff>
                  </to>
                </anchor>
              </controlPr>
            </control>
          </mc:Choice>
        </mc:AlternateContent>
        <mc:AlternateContent xmlns:mc="http://schemas.openxmlformats.org/markup-compatibility/2006">
          <mc:Choice Requires="x14">
            <control shapeId="1264" r:id="rId20" name="Check Box 240">
              <controlPr defaultSize="0" autoFill="0" autoLine="0" autoPict="0">
                <anchor moveWithCells="1">
                  <from>
                    <xdr:col>6</xdr:col>
                    <xdr:colOff>257175</xdr:colOff>
                    <xdr:row>13</xdr:row>
                    <xdr:rowOff>0</xdr:rowOff>
                  </from>
                  <to>
                    <xdr:col>6</xdr:col>
                    <xdr:colOff>561975</xdr:colOff>
                    <xdr:row>14</xdr:row>
                    <xdr:rowOff>0</xdr:rowOff>
                  </to>
                </anchor>
              </controlPr>
            </control>
          </mc:Choice>
        </mc:AlternateContent>
        <mc:AlternateContent xmlns:mc="http://schemas.openxmlformats.org/markup-compatibility/2006">
          <mc:Choice Requires="x14">
            <control shapeId="1270" r:id="rId21" name="Check Box 246">
              <controlPr defaultSize="0" autoFill="0" autoLine="0" autoPict="0">
                <anchor moveWithCells="1">
                  <from>
                    <xdr:col>6</xdr:col>
                    <xdr:colOff>257175</xdr:colOff>
                    <xdr:row>14</xdr:row>
                    <xdr:rowOff>0</xdr:rowOff>
                  </from>
                  <to>
                    <xdr:col>6</xdr:col>
                    <xdr:colOff>561975</xdr:colOff>
                    <xdr:row>15</xdr:row>
                    <xdr:rowOff>0</xdr:rowOff>
                  </to>
                </anchor>
              </controlPr>
            </control>
          </mc:Choice>
        </mc:AlternateContent>
        <mc:AlternateContent xmlns:mc="http://schemas.openxmlformats.org/markup-compatibility/2006">
          <mc:Choice Requires="x14">
            <control shapeId="1276" r:id="rId22" name="Check Box 252">
              <controlPr defaultSize="0" autoFill="0" autoLine="0" autoPict="0">
                <anchor moveWithCells="1">
                  <from>
                    <xdr:col>6</xdr:col>
                    <xdr:colOff>257175</xdr:colOff>
                    <xdr:row>15</xdr:row>
                    <xdr:rowOff>0</xdr:rowOff>
                  </from>
                  <to>
                    <xdr:col>6</xdr:col>
                    <xdr:colOff>561975</xdr:colOff>
                    <xdr:row>16</xdr:row>
                    <xdr:rowOff>0</xdr:rowOff>
                  </to>
                </anchor>
              </controlPr>
            </control>
          </mc:Choice>
        </mc:AlternateContent>
        <mc:AlternateContent xmlns:mc="http://schemas.openxmlformats.org/markup-compatibility/2006">
          <mc:Choice Requires="x14">
            <control shapeId="1282" r:id="rId23" name="Check Box 258">
              <controlPr defaultSize="0" autoFill="0" autoLine="0" autoPict="0">
                <anchor moveWithCells="1">
                  <from>
                    <xdr:col>6</xdr:col>
                    <xdr:colOff>257175</xdr:colOff>
                    <xdr:row>16</xdr:row>
                    <xdr:rowOff>0</xdr:rowOff>
                  </from>
                  <to>
                    <xdr:col>6</xdr:col>
                    <xdr:colOff>561975</xdr:colOff>
                    <xdr:row>17</xdr:row>
                    <xdr:rowOff>0</xdr:rowOff>
                  </to>
                </anchor>
              </controlPr>
            </control>
          </mc:Choice>
        </mc:AlternateContent>
        <mc:AlternateContent xmlns:mc="http://schemas.openxmlformats.org/markup-compatibility/2006">
          <mc:Choice Requires="x14">
            <control shapeId="1288" r:id="rId24" name="Check Box 264">
              <controlPr defaultSize="0" autoFill="0" autoLine="0" autoPict="0">
                <anchor moveWithCells="1">
                  <from>
                    <xdr:col>6</xdr:col>
                    <xdr:colOff>257175</xdr:colOff>
                    <xdr:row>17</xdr:row>
                    <xdr:rowOff>133350</xdr:rowOff>
                  </from>
                  <to>
                    <xdr:col>6</xdr:col>
                    <xdr:colOff>561975</xdr:colOff>
                    <xdr:row>17</xdr:row>
                    <xdr:rowOff>352425</xdr:rowOff>
                  </to>
                </anchor>
              </controlPr>
            </control>
          </mc:Choice>
        </mc:AlternateContent>
        <mc:AlternateContent xmlns:mc="http://schemas.openxmlformats.org/markup-compatibility/2006">
          <mc:Choice Requires="x14">
            <control shapeId="1300" r:id="rId25" name="Check Box 276">
              <controlPr defaultSize="0" autoFill="0" autoLine="0" autoPict="0">
                <anchor moveWithCells="1">
                  <from>
                    <xdr:col>6</xdr:col>
                    <xdr:colOff>257175</xdr:colOff>
                    <xdr:row>18</xdr:row>
                    <xdr:rowOff>19050</xdr:rowOff>
                  </from>
                  <to>
                    <xdr:col>6</xdr:col>
                    <xdr:colOff>561975</xdr:colOff>
                    <xdr:row>19</xdr:row>
                    <xdr:rowOff>19050</xdr:rowOff>
                  </to>
                </anchor>
              </controlPr>
            </control>
          </mc:Choice>
        </mc:AlternateContent>
        <mc:AlternateContent xmlns:mc="http://schemas.openxmlformats.org/markup-compatibility/2006">
          <mc:Choice Requires="x14">
            <control shapeId="1306" r:id="rId26" name="Check Box 282">
              <controlPr defaultSize="0" autoFill="0" autoLine="0" autoPict="0">
                <anchor moveWithCells="1">
                  <from>
                    <xdr:col>6</xdr:col>
                    <xdr:colOff>257175</xdr:colOff>
                    <xdr:row>19</xdr:row>
                    <xdr:rowOff>0</xdr:rowOff>
                  </from>
                  <to>
                    <xdr:col>6</xdr:col>
                    <xdr:colOff>561975</xdr:colOff>
                    <xdr:row>20</xdr:row>
                    <xdr:rowOff>0</xdr:rowOff>
                  </to>
                </anchor>
              </controlPr>
            </control>
          </mc:Choice>
        </mc:AlternateContent>
        <mc:AlternateContent xmlns:mc="http://schemas.openxmlformats.org/markup-compatibility/2006">
          <mc:Choice Requires="x14">
            <control shapeId="1312" r:id="rId27" name="Check Box 288">
              <controlPr defaultSize="0" autoFill="0" autoLine="0" autoPict="0">
                <anchor moveWithCells="1">
                  <from>
                    <xdr:col>6</xdr:col>
                    <xdr:colOff>257175</xdr:colOff>
                    <xdr:row>20</xdr:row>
                    <xdr:rowOff>0</xdr:rowOff>
                  </from>
                  <to>
                    <xdr:col>6</xdr:col>
                    <xdr:colOff>561975</xdr:colOff>
                    <xdr:row>21</xdr:row>
                    <xdr:rowOff>0</xdr:rowOff>
                  </to>
                </anchor>
              </controlPr>
            </control>
          </mc:Choice>
        </mc:AlternateContent>
        <mc:AlternateContent xmlns:mc="http://schemas.openxmlformats.org/markup-compatibility/2006">
          <mc:Choice Requires="x14">
            <control shapeId="1330" r:id="rId28" name="Check Box 306">
              <controlPr defaultSize="0" autoFill="0" autoLine="0" autoPict="0">
                <anchor moveWithCells="1">
                  <from>
                    <xdr:col>6</xdr:col>
                    <xdr:colOff>257175</xdr:colOff>
                    <xdr:row>22</xdr:row>
                    <xdr:rowOff>304800</xdr:rowOff>
                  </from>
                  <to>
                    <xdr:col>6</xdr:col>
                    <xdr:colOff>561975</xdr:colOff>
                    <xdr:row>24</xdr:row>
                    <xdr:rowOff>0</xdr:rowOff>
                  </to>
                </anchor>
              </controlPr>
            </control>
          </mc:Choice>
        </mc:AlternateContent>
        <mc:AlternateContent xmlns:mc="http://schemas.openxmlformats.org/markup-compatibility/2006">
          <mc:Choice Requires="x14">
            <control shapeId="1354" r:id="rId29" name="Check Box 330">
              <controlPr defaultSize="0" autoFill="0" autoLine="0" autoPict="0">
                <anchor moveWithCells="1">
                  <from>
                    <xdr:col>6</xdr:col>
                    <xdr:colOff>257175</xdr:colOff>
                    <xdr:row>24</xdr:row>
                    <xdr:rowOff>0</xdr:rowOff>
                  </from>
                  <to>
                    <xdr:col>6</xdr:col>
                    <xdr:colOff>561975</xdr:colOff>
                    <xdr:row>25</xdr:row>
                    <xdr:rowOff>28575</xdr:rowOff>
                  </to>
                </anchor>
              </controlPr>
            </control>
          </mc:Choice>
        </mc:AlternateContent>
        <mc:AlternateContent xmlns:mc="http://schemas.openxmlformats.org/markup-compatibility/2006">
          <mc:Choice Requires="x14">
            <control shapeId="1360" r:id="rId30" name="Check Box 336">
              <controlPr defaultSize="0" autoFill="0" autoLine="0" autoPict="0">
                <anchor moveWithCells="1">
                  <from>
                    <xdr:col>6</xdr:col>
                    <xdr:colOff>257175</xdr:colOff>
                    <xdr:row>25</xdr:row>
                    <xdr:rowOff>0</xdr:rowOff>
                  </from>
                  <to>
                    <xdr:col>6</xdr:col>
                    <xdr:colOff>561975</xdr:colOff>
                    <xdr:row>26</xdr:row>
                    <xdr:rowOff>19050</xdr:rowOff>
                  </to>
                </anchor>
              </controlPr>
            </control>
          </mc:Choice>
        </mc:AlternateContent>
        <mc:AlternateContent xmlns:mc="http://schemas.openxmlformats.org/markup-compatibility/2006">
          <mc:Choice Requires="x14">
            <control shapeId="1372" r:id="rId31" name="Check Box 348">
              <controlPr defaultSize="0" autoFill="0" autoLine="0" autoPict="0">
                <anchor moveWithCells="1">
                  <from>
                    <xdr:col>6</xdr:col>
                    <xdr:colOff>257175</xdr:colOff>
                    <xdr:row>25</xdr:row>
                    <xdr:rowOff>0</xdr:rowOff>
                  </from>
                  <to>
                    <xdr:col>6</xdr:col>
                    <xdr:colOff>561975</xdr:colOff>
                    <xdr:row>26</xdr:row>
                    <xdr:rowOff>19050</xdr:rowOff>
                  </to>
                </anchor>
              </controlPr>
            </control>
          </mc:Choice>
        </mc:AlternateContent>
        <mc:AlternateContent xmlns:mc="http://schemas.openxmlformats.org/markup-compatibility/2006">
          <mc:Choice Requires="x14">
            <control shapeId="1378" r:id="rId32" name="Check Box 354">
              <controlPr defaultSize="0" autoFill="0" autoLine="0" autoPict="0">
                <anchor moveWithCells="1">
                  <from>
                    <xdr:col>5</xdr:col>
                    <xdr:colOff>257175</xdr:colOff>
                    <xdr:row>10</xdr:row>
                    <xdr:rowOff>0</xdr:rowOff>
                  </from>
                  <to>
                    <xdr:col>5</xdr:col>
                    <xdr:colOff>561975</xdr:colOff>
                    <xdr:row>11</xdr:row>
                    <xdr:rowOff>0</xdr:rowOff>
                  </to>
                </anchor>
              </controlPr>
            </control>
          </mc:Choice>
        </mc:AlternateContent>
        <mc:AlternateContent xmlns:mc="http://schemas.openxmlformats.org/markup-compatibility/2006">
          <mc:Choice Requires="x14">
            <control shapeId="1380" r:id="rId33" name="Check Box 356">
              <controlPr defaultSize="0" autoFill="0" autoLine="0" autoPict="0">
                <anchor moveWithCells="1">
                  <from>
                    <xdr:col>5</xdr:col>
                    <xdr:colOff>257175</xdr:colOff>
                    <xdr:row>11</xdr:row>
                    <xdr:rowOff>0</xdr:rowOff>
                  </from>
                  <to>
                    <xdr:col>5</xdr:col>
                    <xdr:colOff>561975</xdr:colOff>
                    <xdr:row>12</xdr:row>
                    <xdr:rowOff>0</xdr:rowOff>
                  </to>
                </anchor>
              </controlPr>
            </control>
          </mc:Choice>
        </mc:AlternateContent>
        <mc:AlternateContent xmlns:mc="http://schemas.openxmlformats.org/markup-compatibility/2006">
          <mc:Choice Requires="x14">
            <control shapeId="1385" r:id="rId34" name="Check Box 361">
              <controlPr defaultSize="0" autoFill="0" autoLine="0" autoPict="0">
                <anchor moveWithCells="1">
                  <from>
                    <xdr:col>5</xdr:col>
                    <xdr:colOff>257175</xdr:colOff>
                    <xdr:row>27</xdr:row>
                    <xdr:rowOff>0</xdr:rowOff>
                  </from>
                  <to>
                    <xdr:col>5</xdr:col>
                    <xdr:colOff>561975</xdr:colOff>
                    <xdr:row>28</xdr:row>
                    <xdr:rowOff>28575</xdr:rowOff>
                  </to>
                </anchor>
              </controlPr>
            </control>
          </mc:Choice>
        </mc:AlternateContent>
        <mc:AlternateContent xmlns:mc="http://schemas.openxmlformats.org/markup-compatibility/2006">
          <mc:Choice Requires="x14">
            <control shapeId="1390" r:id="rId35" name="Check Box 366">
              <controlPr defaultSize="0" autoFill="0" autoLine="0" autoPict="0">
                <anchor moveWithCells="1">
                  <from>
                    <xdr:col>5</xdr:col>
                    <xdr:colOff>257175</xdr:colOff>
                    <xdr:row>28</xdr:row>
                    <xdr:rowOff>0</xdr:rowOff>
                  </from>
                  <to>
                    <xdr:col>5</xdr:col>
                    <xdr:colOff>561975</xdr:colOff>
                    <xdr:row>29</xdr:row>
                    <xdr:rowOff>28575</xdr:rowOff>
                  </to>
                </anchor>
              </controlPr>
            </control>
          </mc:Choice>
        </mc:AlternateContent>
        <mc:AlternateContent xmlns:mc="http://schemas.openxmlformats.org/markup-compatibility/2006">
          <mc:Choice Requires="x14">
            <control shapeId="1393" r:id="rId36" name="Check Box 369">
              <controlPr defaultSize="0" autoFill="0" autoLine="0" autoPict="0">
                <anchor moveWithCells="1">
                  <from>
                    <xdr:col>5</xdr:col>
                    <xdr:colOff>257175</xdr:colOff>
                    <xdr:row>29</xdr:row>
                    <xdr:rowOff>0</xdr:rowOff>
                  </from>
                  <to>
                    <xdr:col>5</xdr:col>
                    <xdr:colOff>561975</xdr:colOff>
                    <xdr:row>30</xdr:row>
                    <xdr:rowOff>19050</xdr:rowOff>
                  </to>
                </anchor>
              </controlPr>
            </control>
          </mc:Choice>
        </mc:AlternateContent>
        <mc:AlternateContent xmlns:mc="http://schemas.openxmlformats.org/markup-compatibility/2006">
          <mc:Choice Requires="x14">
            <control shapeId="1396" r:id="rId37" name="Check Box 372">
              <controlPr defaultSize="0" autoFill="0" autoLine="0" autoPict="0">
                <anchor moveWithCells="1">
                  <from>
                    <xdr:col>5</xdr:col>
                    <xdr:colOff>257175</xdr:colOff>
                    <xdr:row>29</xdr:row>
                    <xdr:rowOff>0</xdr:rowOff>
                  </from>
                  <to>
                    <xdr:col>5</xdr:col>
                    <xdr:colOff>561975</xdr:colOff>
                    <xdr:row>30</xdr:row>
                    <xdr:rowOff>19050</xdr:rowOff>
                  </to>
                </anchor>
              </controlPr>
            </control>
          </mc:Choice>
        </mc:AlternateContent>
        <mc:AlternateContent xmlns:mc="http://schemas.openxmlformats.org/markup-compatibility/2006">
          <mc:Choice Requires="x14">
            <control shapeId="1399" r:id="rId38" name="Check Box 375">
              <controlPr defaultSize="0" autoFill="0" autoLine="0" autoPict="0">
                <anchor moveWithCells="1">
                  <from>
                    <xdr:col>5</xdr:col>
                    <xdr:colOff>257175</xdr:colOff>
                    <xdr:row>30</xdr:row>
                    <xdr:rowOff>0</xdr:rowOff>
                  </from>
                  <to>
                    <xdr:col>5</xdr:col>
                    <xdr:colOff>561975</xdr:colOff>
                    <xdr:row>31</xdr:row>
                    <xdr:rowOff>19050</xdr:rowOff>
                  </to>
                </anchor>
              </controlPr>
            </control>
          </mc:Choice>
        </mc:AlternateContent>
        <mc:AlternateContent xmlns:mc="http://schemas.openxmlformats.org/markup-compatibility/2006">
          <mc:Choice Requires="x14">
            <control shapeId="1402" r:id="rId39" name="Check Box 378">
              <controlPr defaultSize="0" autoFill="0" autoLine="0" autoPict="0">
                <anchor moveWithCells="1">
                  <from>
                    <xdr:col>6</xdr:col>
                    <xdr:colOff>257175</xdr:colOff>
                    <xdr:row>27</xdr:row>
                    <xdr:rowOff>0</xdr:rowOff>
                  </from>
                  <to>
                    <xdr:col>6</xdr:col>
                    <xdr:colOff>561975</xdr:colOff>
                    <xdr:row>28</xdr:row>
                    <xdr:rowOff>28575</xdr:rowOff>
                  </to>
                </anchor>
              </controlPr>
            </control>
          </mc:Choice>
        </mc:AlternateContent>
        <mc:AlternateContent xmlns:mc="http://schemas.openxmlformats.org/markup-compatibility/2006">
          <mc:Choice Requires="x14">
            <control shapeId="1405" r:id="rId40" name="Check Box 381">
              <controlPr defaultSize="0" autoFill="0" autoLine="0" autoPict="0">
                <anchor moveWithCells="1">
                  <from>
                    <xdr:col>6</xdr:col>
                    <xdr:colOff>257175</xdr:colOff>
                    <xdr:row>28</xdr:row>
                    <xdr:rowOff>0</xdr:rowOff>
                  </from>
                  <to>
                    <xdr:col>6</xdr:col>
                    <xdr:colOff>561975</xdr:colOff>
                    <xdr:row>29</xdr:row>
                    <xdr:rowOff>28575</xdr:rowOff>
                  </to>
                </anchor>
              </controlPr>
            </control>
          </mc:Choice>
        </mc:AlternateContent>
        <mc:AlternateContent xmlns:mc="http://schemas.openxmlformats.org/markup-compatibility/2006">
          <mc:Choice Requires="x14">
            <control shapeId="1408" r:id="rId41" name="Check Box 384">
              <controlPr defaultSize="0" autoFill="0" autoLine="0" autoPict="0">
                <anchor moveWithCells="1">
                  <from>
                    <xdr:col>6</xdr:col>
                    <xdr:colOff>257175</xdr:colOff>
                    <xdr:row>29</xdr:row>
                    <xdr:rowOff>0</xdr:rowOff>
                  </from>
                  <to>
                    <xdr:col>6</xdr:col>
                    <xdr:colOff>561975</xdr:colOff>
                    <xdr:row>30</xdr:row>
                    <xdr:rowOff>19050</xdr:rowOff>
                  </to>
                </anchor>
              </controlPr>
            </control>
          </mc:Choice>
        </mc:AlternateContent>
        <mc:AlternateContent xmlns:mc="http://schemas.openxmlformats.org/markup-compatibility/2006">
          <mc:Choice Requires="x14">
            <control shapeId="1411" r:id="rId42" name="Check Box 387">
              <controlPr defaultSize="0" autoFill="0" autoLine="0" autoPict="0">
                <anchor moveWithCells="1">
                  <from>
                    <xdr:col>6</xdr:col>
                    <xdr:colOff>257175</xdr:colOff>
                    <xdr:row>29</xdr:row>
                    <xdr:rowOff>0</xdr:rowOff>
                  </from>
                  <to>
                    <xdr:col>6</xdr:col>
                    <xdr:colOff>561975</xdr:colOff>
                    <xdr:row>30</xdr:row>
                    <xdr:rowOff>19050</xdr:rowOff>
                  </to>
                </anchor>
              </controlPr>
            </control>
          </mc:Choice>
        </mc:AlternateContent>
        <mc:AlternateContent xmlns:mc="http://schemas.openxmlformats.org/markup-compatibility/2006">
          <mc:Choice Requires="x14">
            <control shapeId="1414" r:id="rId43" name="Check Box 390">
              <controlPr defaultSize="0" autoFill="0" autoLine="0" autoPict="0">
                <anchor moveWithCells="1">
                  <from>
                    <xdr:col>6</xdr:col>
                    <xdr:colOff>257175</xdr:colOff>
                    <xdr:row>30</xdr:row>
                    <xdr:rowOff>0</xdr:rowOff>
                  </from>
                  <to>
                    <xdr:col>6</xdr:col>
                    <xdr:colOff>561975</xdr:colOff>
                    <xdr:row>31</xdr:row>
                    <xdr:rowOff>19050</xdr:rowOff>
                  </to>
                </anchor>
              </controlPr>
            </control>
          </mc:Choice>
        </mc:AlternateContent>
        <mc:AlternateContent xmlns:mc="http://schemas.openxmlformats.org/markup-compatibility/2006">
          <mc:Choice Requires="x14">
            <control shapeId="1420" r:id="rId44" name="Check Box 396">
              <controlPr defaultSize="0" autoFill="0" autoLine="0" autoPict="0">
                <anchor moveWithCells="1">
                  <from>
                    <xdr:col>6</xdr:col>
                    <xdr:colOff>257175</xdr:colOff>
                    <xdr:row>34</xdr:row>
                    <xdr:rowOff>0</xdr:rowOff>
                  </from>
                  <to>
                    <xdr:col>6</xdr:col>
                    <xdr:colOff>561975</xdr:colOff>
                    <xdr:row>35</xdr:row>
                    <xdr:rowOff>28575</xdr:rowOff>
                  </to>
                </anchor>
              </controlPr>
            </control>
          </mc:Choice>
        </mc:AlternateContent>
        <mc:AlternateContent xmlns:mc="http://schemas.openxmlformats.org/markup-compatibility/2006">
          <mc:Choice Requires="x14">
            <control shapeId="1426" r:id="rId45" name="Check Box 402">
              <controlPr defaultSize="0" autoFill="0" autoLine="0" autoPict="0">
                <anchor moveWithCells="1">
                  <from>
                    <xdr:col>5</xdr:col>
                    <xdr:colOff>257175</xdr:colOff>
                    <xdr:row>34</xdr:row>
                    <xdr:rowOff>0</xdr:rowOff>
                  </from>
                  <to>
                    <xdr:col>5</xdr:col>
                    <xdr:colOff>561975</xdr:colOff>
                    <xdr:row>35</xdr:row>
                    <xdr:rowOff>28575</xdr:rowOff>
                  </to>
                </anchor>
              </controlPr>
            </control>
          </mc:Choice>
        </mc:AlternateContent>
        <mc:AlternateContent xmlns:mc="http://schemas.openxmlformats.org/markup-compatibility/2006">
          <mc:Choice Requires="x14">
            <control shapeId="1432" r:id="rId46" name="Check Box 408">
              <controlPr defaultSize="0" autoFill="0" autoLine="0" autoPict="0">
                <anchor moveWithCells="1">
                  <from>
                    <xdr:col>6</xdr:col>
                    <xdr:colOff>257175</xdr:colOff>
                    <xdr:row>37</xdr:row>
                    <xdr:rowOff>0</xdr:rowOff>
                  </from>
                  <to>
                    <xdr:col>6</xdr:col>
                    <xdr:colOff>561975</xdr:colOff>
                    <xdr:row>38</xdr:row>
                    <xdr:rowOff>28575</xdr:rowOff>
                  </to>
                </anchor>
              </controlPr>
            </control>
          </mc:Choice>
        </mc:AlternateContent>
        <mc:AlternateContent xmlns:mc="http://schemas.openxmlformats.org/markup-compatibility/2006">
          <mc:Choice Requires="x14">
            <control shapeId="1439" r:id="rId47" name="Check Box 415">
              <controlPr defaultSize="0" autoFill="0" autoLine="0" autoPict="0">
                <anchor moveWithCells="1">
                  <from>
                    <xdr:col>5</xdr:col>
                    <xdr:colOff>257175</xdr:colOff>
                    <xdr:row>37</xdr:row>
                    <xdr:rowOff>0</xdr:rowOff>
                  </from>
                  <to>
                    <xdr:col>5</xdr:col>
                    <xdr:colOff>561975</xdr:colOff>
                    <xdr:row>38</xdr:row>
                    <xdr:rowOff>28575</xdr:rowOff>
                  </to>
                </anchor>
              </controlPr>
            </control>
          </mc:Choice>
        </mc:AlternateContent>
        <mc:AlternateContent xmlns:mc="http://schemas.openxmlformats.org/markup-compatibility/2006">
          <mc:Choice Requires="x14">
            <control shapeId="1454" r:id="rId48" name="Check Box 430">
              <controlPr defaultSize="0" autoFill="0" autoLine="0" autoPict="0">
                <anchor moveWithCells="1">
                  <from>
                    <xdr:col>5</xdr:col>
                    <xdr:colOff>257175</xdr:colOff>
                    <xdr:row>39</xdr:row>
                    <xdr:rowOff>47625</xdr:rowOff>
                  </from>
                  <to>
                    <xdr:col>5</xdr:col>
                    <xdr:colOff>561975</xdr:colOff>
                    <xdr:row>39</xdr:row>
                    <xdr:rowOff>266700</xdr:rowOff>
                  </to>
                </anchor>
              </controlPr>
            </control>
          </mc:Choice>
        </mc:AlternateContent>
        <mc:AlternateContent xmlns:mc="http://schemas.openxmlformats.org/markup-compatibility/2006">
          <mc:Choice Requires="x14">
            <control shapeId="1460" r:id="rId49" name="Check Box 436">
              <controlPr defaultSize="0" autoFill="0" autoLine="0" autoPict="0">
                <anchor moveWithCells="1">
                  <from>
                    <xdr:col>6</xdr:col>
                    <xdr:colOff>257175</xdr:colOff>
                    <xdr:row>39</xdr:row>
                    <xdr:rowOff>38100</xdr:rowOff>
                  </from>
                  <to>
                    <xdr:col>6</xdr:col>
                    <xdr:colOff>561975</xdr:colOff>
                    <xdr:row>39</xdr:row>
                    <xdr:rowOff>257175</xdr:rowOff>
                  </to>
                </anchor>
              </controlPr>
            </control>
          </mc:Choice>
        </mc:AlternateContent>
        <mc:AlternateContent xmlns:mc="http://schemas.openxmlformats.org/markup-compatibility/2006">
          <mc:Choice Requires="x14">
            <control shapeId="1466" r:id="rId50" name="Check Box 442">
              <controlPr defaultSize="0" autoFill="0" autoLine="0" autoPict="0">
                <anchor moveWithCells="1">
                  <from>
                    <xdr:col>5</xdr:col>
                    <xdr:colOff>257175</xdr:colOff>
                    <xdr:row>40</xdr:row>
                    <xdr:rowOff>142875</xdr:rowOff>
                  </from>
                  <to>
                    <xdr:col>5</xdr:col>
                    <xdr:colOff>561975</xdr:colOff>
                    <xdr:row>41</xdr:row>
                    <xdr:rowOff>104775</xdr:rowOff>
                  </to>
                </anchor>
              </controlPr>
            </control>
          </mc:Choice>
        </mc:AlternateContent>
        <mc:AlternateContent xmlns:mc="http://schemas.openxmlformats.org/markup-compatibility/2006">
          <mc:Choice Requires="x14">
            <control shapeId="1472" r:id="rId51" name="Check Box 448">
              <controlPr defaultSize="0" autoFill="0" autoLine="0" autoPict="0">
                <anchor moveWithCells="1">
                  <from>
                    <xdr:col>6</xdr:col>
                    <xdr:colOff>257175</xdr:colOff>
                    <xdr:row>40</xdr:row>
                    <xdr:rowOff>142875</xdr:rowOff>
                  </from>
                  <to>
                    <xdr:col>6</xdr:col>
                    <xdr:colOff>561975</xdr:colOff>
                    <xdr:row>41</xdr:row>
                    <xdr:rowOff>104775</xdr:rowOff>
                  </to>
                </anchor>
              </controlPr>
            </control>
          </mc:Choice>
        </mc:AlternateContent>
        <mc:AlternateContent xmlns:mc="http://schemas.openxmlformats.org/markup-compatibility/2006">
          <mc:Choice Requires="x14">
            <control shapeId="1475" r:id="rId52" name="Check Box 451">
              <controlPr defaultSize="0" autoFill="0" autoLine="0" autoPict="0">
                <anchor moveWithCells="1">
                  <from>
                    <xdr:col>5</xdr:col>
                    <xdr:colOff>257175</xdr:colOff>
                    <xdr:row>42</xdr:row>
                    <xdr:rowOff>0</xdr:rowOff>
                  </from>
                  <to>
                    <xdr:col>5</xdr:col>
                    <xdr:colOff>561975</xdr:colOff>
                    <xdr:row>42</xdr:row>
                    <xdr:rowOff>219075</xdr:rowOff>
                  </to>
                </anchor>
              </controlPr>
            </control>
          </mc:Choice>
        </mc:AlternateContent>
        <mc:AlternateContent xmlns:mc="http://schemas.openxmlformats.org/markup-compatibility/2006">
          <mc:Choice Requires="x14">
            <control shapeId="1478" r:id="rId53" name="Check Box 454">
              <controlPr defaultSize="0" autoFill="0" autoLine="0" autoPict="0">
                <anchor moveWithCells="1">
                  <from>
                    <xdr:col>6</xdr:col>
                    <xdr:colOff>257175</xdr:colOff>
                    <xdr:row>42</xdr:row>
                    <xdr:rowOff>0</xdr:rowOff>
                  </from>
                  <to>
                    <xdr:col>6</xdr:col>
                    <xdr:colOff>561975</xdr:colOff>
                    <xdr:row>42</xdr:row>
                    <xdr:rowOff>219075</xdr:rowOff>
                  </to>
                </anchor>
              </controlPr>
            </control>
          </mc:Choice>
        </mc:AlternateContent>
        <mc:AlternateContent xmlns:mc="http://schemas.openxmlformats.org/markup-compatibility/2006">
          <mc:Choice Requires="x14">
            <control shapeId="1481" r:id="rId54" name="Check Box 457">
              <controlPr defaultSize="0" autoFill="0" autoLine="0" autoPict="0">
                <anchor moveWithCells="1">
                  <from>
                    <xdr:col>5</xdr:col>
                    <xdr:colOff>257175</xdr:colOff>
                    <xdr:row>42</xdr:row>
                    <xdr:rowOff>133350</xdr:rowOff>
                  </from>
                  <to>
                    <xdr:col>5</xdr:col>
                    <xdr:colOff>561975</xdr:colOff>
                    <xdr:row>43</xdr:row>
                    <xdr:rowOff>104775</xdr:rowOff>
                  </to>
                </anchor>
              </controlPr>
            </control>
          </mc:Choice>
        </mc:AlternateContent>
        <mc:AlternateContent xmlns:mc="http://schemas.openxmlformats.org/markup-compatibility/2006">
          <mc:Choice Requires="x14">
            <control shapeId="1484" r:id="rId55" name="Check Box 460">
              <controlPr defaultSize="0" autoFill="0" autoLine="0" autoPict="0">
                <anchor moveWithCells="1">
                  <from>
                    <xdr:col>6</xdr:col>
                    <xdr:colOff>257175</xdr:colOff>
                    <xdr:row>42</xdr:row>
                    <xdr:rowOff>133350</xdr:rowOff>
                  </from>
                  <to>
                    <xdr:col>6</xdr:col>
                    <xdr:colOff>561975</xdr:colOff>
                    <xdr:row>43</xdr:row>
                    <xdr:rowOff>104775</xdr:rowOff>
                  </to>
                </anchor>
              </controlPr>
            </control>
          </mc:Choice>
        </mc:AlternateContent>
        <mc:AlternateContent xmlns:mc="http://schemas.openxmlformats.org/markup-compatibility/2006">
          <mc:Choice Requires="x14">
            <control shapeId="1487" r:id="rId56" name="Check Box 463">
              <controlPr defaultSize="0" autoFill="0" autoLine="0" autoPict="0">
                <anchor moveWithCells="1">
                  <from>
                    <xdr:col>5</xdr:col>
                    <xdr:colOff>257175</xdr:colOff>
                    <xdr:row>46</xdr:row>
                    <xdr:rowOff>0</xdr:rowOff>
                  </from>
                  <to>
                    <xdr:col>5</xdr:col>
                    <xdr:colOff>561975</xdr:colOff>
                    <xdr:row>46</xdr:row>
                    <xdr:rowOff>219075</xdr:rowOff>
                  </to>
                </anchor>
              </controlPr>
            </control>
          </mc:Choice>
        </mc:AlternateContent>
        <mc:AlternateContent xmlns:mc="http://schemas.openxmlformats.org/markup-compatibility/2006">
          <mc:Choice Requires="x14">
            <control shapeId="1490" r:id="rId57" name="Check Box 466">
              <controlPr defaultSize="0" autoFill="0" autoLine="0" autoPict="0">
                <anchor moveWithCells="1">
                  <from>
                    <xdr:col>6</xdr:col>
                    <xdr:colOff>257175</xdr:colOff>
                    <xdr:row>46</xdr:row>
                    <xdr:rowOff>0</xdr:rowOff>
                  </from>
                  <to>
                    <xdr:col>6</xdr:col>
                    <xdr:colOff>561975</xdr:colOff>
                    <xdr:row>46</xdr:row>
                    <xdr:rowOff>219075</xdr:rowOff>
                  </to>
                </anchor>
              </controlPr>
            </control>
          </mc:Choice>
        </mc:AlternateContent>
        <mc:AlternateContent xmlns:mc="http://schemas.openxmlformats.org/markup-compatibility/2006">
          <mc:Choice Requires="x14">
            <control shapeId="1493" r:id="rId58" name="Check Box 469">
              <controlPr defaultSize="0" autoFill="0" autoLine="0" autoPict="0">
                <anchor moveWithCells="1">
                  <from>
                    <xdr:col>5</xdr:col>
                    <xdr:colOff>257175</xdr:colOff>
                    <xdr:row>47</xdr:row>
                    <xdr:rowOff>0</xdr:rowOff>
                  </from>
                  <to>
                    <xdr:col>5</xdr:col>
                    <xdr:colOff>561975</xdr:colOff>
                    <xdr:row>47</xdr:row>
                    <xdr:rowOff>219075</xdr:rowOff>
                  </to>
                </anchor>
              </controlPr>
            </control>
          </mc:Choice>
        </mc:AlternateContent>
        <mc:AlternateContent xmlns:mc="http://schemas.openxmlformats.org/markup-compatibility/2006">
          <mc:Choice Requires="x14">
            <control shapeId="1496" r:id="rId59" name="Check Box 472">
              <controlPr defaultSize="0" autoFill="0" autoLine="0" autoPict="0">
                <anchor moveWithCells="1">
                  <from>
                    <xdr:col>6</xdr:col>
                    <xdr:colOff>257175</xdr:colOff>
                    <xdr:row>47</xdr:row>
                    <xdr:rowOff>0</xdr:rowOff>
                  </from>
                  <to>
                    <xdr:col>6</xdr:col>
                    <xdr:colOff>561975</xdr:colOff>
                    <xdr:row>47</xdr:row>
                    <xdr:rowOff>219075</xdr:rowOff>
                  </to>
                </anchor>
              </controlPr>
            </control>
          </mc:Choice>
        </mc:AlternateContent>
        <mc:AlternateContent xmlns:mc="http://schemas.openxmlformats.org/markup-compatibility/2006">
          <mc:Choice Requires="x14">
            <control shapeId="1499" r:id="rId60" name="Check Box 475">
              <controlPr defaultSize="0" autoFill="0" autoLine="0" autoPict="0">
                <anchor moveWithCells="1">
                  <from>
                    <xdr:col>5</xdr:col>
                    <xdr:colOff>257175</xdr:colOff>
                    <xdr:row>48</xdr:row>
                    <xdr:rowOff>0</xdr:rowOff>
                  </from>
                  <to>
                    <xdr:col>5</xdr:col>
                    <xdr:colOff>561975</xdr:colOff>
                    <xdr:row>49</xdr:row>
                    <xdr:rowOff>28575</xdr:rowOff>
                  </to>
                </anchor>
              </controlPr>
            </control>
          </mc:Choice>
        </mc:AlternateContent>
        <mc:AlternateContent xmlns:mc="http://schemas.openxmlformats.org/markup-compatibility/2006">
          <mc:Choice Requires="x14">
            <control shapeId="1502" r:id="rId61" name="Check Box 478">
              <controlPr defaultSize="0" autoFill="0" autoLine="0" autoPict="0">
                <anchor moveWithCells="1">
                  <from>
                    <xdr:col>6</xdr:col>
                    <xdr:colOff>257175</xdr:colOff>
                    <xdr:row>48</xdr:row>
                    <xdr:rowOff>0</xdr:rowOff>
                  </from>
                  <to>
                    <xdr:col>6</xdr:col>
                    <xdr:colOff>561975</xdr:colOff>
                    <xdr:row>49</xdr:row>
                    <xdr:rowOff>28575</xdr:rowOff>
                  </to>
                </anchor>
              </controlPr>
            </control>
          </mc:Choice>
        </mc:AlternateContent>
        <mc:AlternateContent xmlns:mc="http://schemas.openxmlformats.org/markup-compatibility/2006">
          <mc:Choice Requires="x14">
            <control shapeId="1505" r:id="rId62" name="Check Box 481">
              <controlPr defaultSize="0" autoFill="0" autoLine="0" autoPict="0">
                <anchor moveWithCells="1">
                  <from>
                    <xdr:col>5</xdr:col>
                    <xdr:colOff>257175</xdr:colOff>
                    <xdr:row>49</xdr:row>
                    <xdr:rowOff>0</xdr:rowOff>
                  </from>
                  <to>
                    <xdr:col>5</xdr:col>
                    <xdr:colOff>561975</xdr:colOff>
                    <xdr:row>49</xdr:row>
                    <xdr:rowOff>219075</xdr:rowOff>
                  </to>
                </anchor>
              </controlPr>
            </control>
          </mc:Choice>
        </mc:AlternateContent>
        <mc:AlternateContent xmlns:mc="http://schemas.openxmlformats.org/markup-compatibility/2006">
          <mc:Choice Requires="x14">
            <control shapeId="1508" r:id="rId63" name="Check Box 484">
              <controlPr defaultSize="0" autoFill="0" autoLine="0" autoPict="0">
                <anchor moveWithCells="1">
                  <from>
                    <xdr:col>6</xdr:col>
                    <xdr:colOff>257175</xdr:colOff>
                    <xdr:row>49</xdr:row>
                    <xdr:rowOff>0</xdr:rowOff>
                  </from>
                  <to>
                    <xdr:col>6</xdr:col>
                    <xdr:colOff>561975</xdr:colOff>
                    <xdr:row>49</xdr:row>
                    <xdr:rowOff>219075</xdr:rowOff>
                  </to>
                </anchor>
              </controlPr>
            </control>
          </mc:Choice>
        </mc:AlternateContent>
        <mc:AlternateContent xmlns:mc="http://schemas.openxmlformats.org/markup-compatibility/2006">
          <mc:Choice Requires="x14">
            <control shapeId="1511" r:id="rId64" name="Check Box 487">
              <controlPr defaultSize="0" autoFill="0" autoLine="0" autoPict="0">
                <anchor moveWithCells="1">
                  <from>
                    <xdr:col>5</xdr:col>
                    <xdr:colOff>257175</xdr:colOff>
                    <xdr:row>50</xdr:row>
                    <xdr:rowOff>0</xdr:rowOff>
                  </from>
                  <to>
                    <xdr:col>5</xdr:col>
                    <xdr:colOff>561975</xdr:colOff>
                    <xdr:row>50</xdr:row>
                    <xdr:rowOff>219075</xdr:rowOff>
                  </to>
                </anchor>
              </controlPr>
            </control>
          </mc:Choice>
        </mc:AlternateContent>
        <mc:AlternateContent xmlns:mc="http://schemas.openxmlformats.org/markup-compatibility/2006">
          <mc:Choice Requires="x14">
            <control shapeId="1514" r:id="rId65" name="Check Box 490">
              <controlPr defaultSize="0" autoFill="0" autoLine="0" autoPict="0">
                <anchor moveWithCells="1">
                  <from>
                    <xdr:col>6</xdr:col>
                    <xdr:colOff>257175</xdr:colOff>
                    <xdr:row>50</xdr:row>
                    <xdr:rowOff>0</xdr:rowOff>
                  </from>
                  <to>
                    <xdr:col>6</xdr:col>
                    <xdr:colOff>561975</xdr:colOff>
                    <xdr:row>50</xdr:row>
                    <xdr:rowOff>219075</xdr:rowOff>
                  </to>
                </anchor>
              </controlPr>
            </control>
          </mc:Choice>
        </mc:AlternateContent>
        <mc:AlternateContent xmlns:mc="http://schemas.openxmlformats.org/markup-compatibility/2006">
          <mc:Choice Requires="x14">
            <control shapeId="1523" r:id="rId66" name="Check Box 499">
              <controlPr defaultSize="0" autoFill="0" autoLine="0" autoPict="0">
                <anchor moveWithCells="1">
                  <from>
                    <xdr:col>5</xdr:col>
                    <xdr:colOff>257175</xdr:colOff>
                    <xdr:row>51</xdr:row>
                    <xdr:rowOff>57150</xdr:rowOff>
                  </from>
                  <to>
                    <xdr:col>5</xdr:col>
                    <xdr:colOff>561975</xdr:colOff>
                    <xdr:row>51</xdr:row>
                    <xdr:rowOff>276225</xdr:rowOff>
                  </to>
                </anchor>
              </controlPr>
            </control>
          </mc:Choice>
        </mc:AlternateContent>
        <mc:AlternateContent xmlns:mc="http://schemas.openxmlformats.org/markup-compatibility/2006">
          <mc:Choice Requires="x14">
            <control shapeId="1526" r:id="rId67" name="Check Box 502">
              <controlPr defaultSize="0" autoFill="0" autoLine="0" autoPict="0">
                <anchor moveWithCells="1">
                  <from>
                    <xdr:col>6</xdr:col>
                    <xdr:colOff>257175</xdr:colOff>
                    <xdr:row>51</xdr:row>
                    <xdr:rowOff>47625</xdr:rowOff>
                  </from>
                  <to>
                    <xdr:col>6</xdr:col>
                    <xdr:colOff>561975</xdr:colOff>
                    <xdr:row>51</xdr:row>
                    <xdr:rowOff>266700</xdr:rowOff>
                  </to>
                </anchor>
              </controlPr>
            </control>
          </mc:Choice>
        </mc:AlternateContent>
        <mc:AlternateContent xmlns:mc="http://schemas.openxmlformats.org/markup-compatibility/2006">
          <mc:Choice Requires="x14">
            <control shapeId="1529" r:id="rId68" name="Check Box 505">
              <controlPr defaultSize="0" autoFill="0" autoLine="0" autoPict="0">
                <anchor moveWithCells="1">
                  <from>
                    <xdr:col>5</xdr:col>
                    <xdr:colOff>266700</xdr:colOff>
                    <xdr:row>52</xdr:row>
                    <xdr:rowOff>38100</xdr:rowOff>
                  </from>
                  <to>
                    <xdr:col>5</xdr:col>
                    <xdr:colOff>571500</xdr:colOff>
                    <xdr:row>52</xdr:row>
                    <xdr:rowOff>257175</xdr:rowOff>
                  </to>
                </anchor>
              </controlPr>
            </control>
          </mc:Choice>
        </mc:AlternateContent>
        <mc:AlternateContent xmlns:mc="http://schemas.openxmlformats.org/markup-compatibility/2006">
          <mc:Choice Requires="x14">
            <control shapeId="1532" r:id="rId69" name="Check Box 508">
              <controlPr defaultSize="0" autoFill="0" autoLine="0" autoPict="0">
                <anchor moveWithCells="1">
                  <from>
                    <xdr:col>6</xdr:col>
                    <xdr:colOff>257175</xdr:colOff>
                    <xdr:row>52</xdr:row>
                    <xdr:rowOff>38100</xdr:rowOff>
                  </from>
                  <to>
                    <xdr:col>6</xdr:col>
                    <xdr:colOff>561975</xdr:colOff>
                    <xdr:row>52</xdr:row>
                    <xdr:rowOff>257175</xdr:rowOff>
                  </to>
                </anchor>
              </controlPr>
            </control>
          </mc:Choice>
        </mc:AlternateContent>
        <mc:AlternateContent xmlns:mc="http://schemas.openxmlformats.org/markup-compatibility/2006">
          <mc:Choice Requires="x14">
            <control shapeId="1535" r:id="rId70" name="Check Box 511">
              <controlPr defaultSize="0" autoFill="0" autoLine="0" autoPict="0">
                <anchor moveWithCells="1">
                  <from>
                    <xdr:col>5</xdr:col>
                    <xdr:colOff>257175</xdr:colOff>
                    <xdr:row>52</xdr:row>
                    <xdr:rowOff>314325</xdr:rowOff>
                  </from>
                  <to>
                    <xdr:col>5</xdr:col>
                    <xdr:colOff>561975</xdr:colOff>
                    <xdr:row>53</xdr:row>
                    <xdr:rowOff>209550</xdr:rowOff>
                  </to>
                </anchor>
              </controlPr>
            </control>
          </mc:Choice>
        </mc:AlternateContent>
        <mc:AlternateContent xmlns:mc="http://schemas.openxmlformats.org/markup-compatibility/2006">
          <mc:Choice Requires="x14">
            <control shapeId="1538" r:id="rId71" name="Check Box 514">
              <controlPr defaultSize="0" autoFill="0" autoLine="0" autoPict="0">
                <anchor moveWithCells="1">
                  <from>
                    <xdr:col>6</xdr:col>
                    <xdr:colOff>257175</xdr:colOff>
                    <xdr:row>52</xdr:row>
                    <xdr:rowOff>314325</xdr:rowOff>
                  </from>
                  <to>
                    <xdr:col>6</xdr:col>
                    <xdr:colOff>561975</xdr:colOff>
                    <xdr:row>53</xdr:row>
                    <xdr:rowOff>209550</xdr:rowOff>
                  </to>
                </anchor>
              </controlPr>
            </control>
          </mc:Choice>
        </mc:AlternateContent>
        <mc:AlternateContent xmlns:mc="http://schemas.openxmlformats.org/markup-compatibility/2006">
          <mc:Choice Requires="x14">
            <control shapeId="1541" r:id="rId72" name="Check Box 517">
              <controlPr defaultSize="0" autoFill="0" autoLine="0" autoPict="0">
                <anchor moveWithCells="1">
                  <from>
                    <xdr:col>5</xdr:col>
                    <xdr:colOff>257175</xdr:colOff>
                    <xdr:row>54</xdr:row>
                    <xdr:rowOff>219075</xdr:rowOff>
                  </from>
                  <to>
                    <xdr:col>5</xdr:col>
                    <xdr:colOff>561975</xdr:colOff>
                    <xdr:row>55</xdr:row>
                    <xdr:rowOff>114300</xdr:rowOff>
                  </to>
                </anchor>
              </controlPr>
            </control>
          </mc:Choice>
        </mc:AlternateContent>
        <mc:AlternateContent xmlns:mc="http://schemas.openxmlformats.org/markup-compatibility/2006">
          <mc:Choice Requires="x14">
            <control shapeId="1544" r:id="rId73" name="Check Box 520">
              <controlPr defaultSize="0" autoFill="0" autoLine="0" autoPict="0">
                <anchor moveWithCells="1">
                  <from>
                    <xdr:col>6</xdr:col>
                    <xdr:colOff>238125</xdr:colOff>
                    <xdr:row>54</xdr:row>
                    <xdr:rowOff>219075</xdr:rowOff>
                  </from>
                  <to>
                    <xdr:col>6</xdr:col>
                    <xdr:colOff>542925</xdr:colOff>
                    <xdr:row>55</xdr:row>
                    <xdr:rowOff>114300</xdr:rowOff>
                  </to>
                </anchor>
              </controlPr>
            </control>
          </mc:Choice>
        </mc:AlternateContent>
        <mc:AlternateContent xmlns:mc="http://schemas.openxmlformats.org/markup-compatibility/2006">
          <mc:Choice Requires="x14">
            <control shapeId="1547" r:id="rId74" name="Check Box 523">
              <controlPr defaultSize="0" autoFill="0" autoLine="0" autoPict="0">
                <anchor moveWithCells="1">
                  <from>
                    <xdr:col>5</xdr:col>
                    <xdr:colOff>257175</xdr:colOff>
                    <xdr:row>56</xdr:row>
                    <xdr:rowOff>19050</xdr:rowOff>
                  </from>
                  <to>
                    <xdr:col>5</xdr:col>
                    <xdr:colOff>561975</xdr:colOff>
                    <xdr:row>56</xdr:row>
                    <xdr:rowOff>238125</xdr:rowOff>
                  </to>
                </anchor>
              </controlPr>
            </control>
          </mc:Choice>
        </mc:AlternateContent>
        <mc:AlternateContent xmlns:mc="http://schemas.openxmlformats.org/markup-compatibility/2006">
          <mc:Choice Requires="x14">
            <control shapeId="1550" r:id="rId75" name="Check Box 526">
              <controlPr defaultSize="0" autoFill="0" autoLine="0" autoPict="0">
                <anchor moveWithCells="1">
                  <from>
                    <xdr:col>6</xdr:col>
                    <xdr:colOff>247650</xdr:colOff>
                    <xdr:row>55</xdr:row>
                    <xdr:rowOff>323850</xdr:rowOff>
                  </from>
                  <to>
                    <xdr:col>6</xdr:col>
                    <xdr:colOff>552450</xdr:colOff>
                    <xdr:row>57</xdr:row>
                    <xdr:rowOff>28575</xdr:rowOff>
                  </to>
                </anchor>
              </controlPr>
            </control>
          </mc:Choice>
        </mc:AlternateContent>
        <mc:AlternateContent xmlns:mc="http://schemas.openxmlformats.org/markup-compatibility/2006">
          <mc:Choice Requires="x14">
            <control shapeId="1559" r:id="rId76" name="Check Box 535">
              <controlPr defaultSize="0" autoFill="0" autoLine="0" autoPict="0">
                <anchor moveWithCells="1">
                  <from>
                    <xdr:col>5</xdr:col>
                    <xdr:colOff>257175</xdr:colOff>
                    <xdr:row>57</xdr:row>
                    <xdr:rowOff>57150</xdr:rowOff>
                  </from>
                  <to>
                    <xdr:col>5</xdr:col>
                    <xdr:colOff>561975</xdr:colOff>
                    <xdr:row>57</xdr:row>
                    <xdr:rowOff>323850</xdr:rowOff>
                  </to>
                </anchor>
              </controlPr>
            </control>
          </mc:Choice>
        </mc:AlternateContent>
        <mc:AlternateContent xmlns:mc="http://schemas.openxmlformats.org/markup-compatibility/2006">
          <mc:Choice Requires="x14">
            <control shapeId="1562" r:id="rId77" name="Check Box 538">
              <controlPr defaultSize="0" autoFill="0" autoLine="0" autoPict="0">
                <anchor moveWithCells="1">
                  <from>
                    <xdr:col>6</xdr:col>
                    <xdr:colOff>257175</xdr:colOff>
                    <xdr:row>57</xdr:row>
                    <xdr:rowOff>47625</xdr:rowOff>
                  </from>
                  <to>
                    <xdr:col>6</xdr:col>
                    <xdr:colOff>561975</xdr:colOff>
                    <xdr:row>57</xdr:row>
                    <xdr:rowOff>323850</xdr:rowOff>
                  </to>
                </anchor>
              </controlPr>
            </control>
          </mc:Choice>
        </mc:AlternateContent>
        <mc:AlternateContent xmlns:mc="http://schemas.openxmlformats.org/markup-compatibility/2006">
          <mc:Choice Requires="x14">
            <control shapeId="1565" r:id="rId78" name="Check Box 541">
              <controlPr defaultSize="0" autoFill="0" autoLine="0" autoPict="0">
                <anchor moveWithCells="1">
                  <from>
                    <xdr:col>5</xdr:col>
                    <xdr:colOff>266700</xdr:colOff>
                    <xdr:row>58</xdr:row>
                    <xdr:rowOff>38100</xdr:rowOff>
                  </from>
                  <to>
                    <xdr:col>5</xdr:col>
                    <xdr:colOff>571500</xdr:colOff>
                    <xdr:row>59</xdr:row>
                    <xdr:rowOff>9525</xdr:rowOff>
                  </to>
                </anchor>
              </controlPr>
            </control>
          </mc:Choice>
        </mc:AlternateContent>
        <mc:AlternateContent xmlns:mc="http://schemas.openxmlformats.org/markup-compatibility/2006">
          <mc:Choice Requires="x14">
            <control shapeId="1568" r:id="rId79" name="Check Box 544">
              <controlPr defaultSize="0" autoFill="0" autoLine="0" autoPict="0">
                <anchor moveWithCells="1">
                  <from>
                    <xdr:col>6</xdr:col>
                    <xdr:colOff>257175</xdr:colOff>
                    <xdr:row>58</xdr:row>
                    <xdr:rowOff>38100</xdr:rowOff>
                  </from>
                  <to>
                    <xdr:col>6</xdr:col>
                    <xdr:colOff>561975</xdr:colOff>
                    <xdr:row>59</xdr:row>
                    <xdr:rowOff>9525</xdr:rowOff>
                  </to>
                </anchor>
              </controlPr>
            </control>
          </mc:Choice>
        </mc:AlternateContent>
        <mc:AlternateContent xmlns:mc="http://schemas.openxmlformats.org/markup-compatibility/2006">
          <mc:Choice Requires="x14">
            <control shapeId="1571" r:id="rId80" name="Check Box 547">
              <controlPr defaultSize="0" autoFill="0" autoLine="0" autoPict="0">
                <anchor moveWithCells="1">
                  <from>
                    <xdr:col>5</xdr:col>
                    <xdr:colOff>257175</xdr:colOff>
                    <xdr:row>59</xdr:row>
                    <xdr:rowOff>38100</xdr:rowOff>
                  </from>
                  <to>
                    <xdr:col>5</xdr:col>
                    <xdr:colOff>561975</xdr:colOff>
                    <xdr:row>60</xdr:row>
                    <xdr:rowOff>66675</xdr:rowOff>
                  </to>
                </anchor>
              </controlPr>
            </control>
          </mc:Choice>
        </mc:AlternateContent>
        <mc:AlternateContent xmlns:mc="http://schemas.openxmlformats.org/markup-compatibility/2006">
          <mc:Choice Requires="x14">
            <control shapeId="1574" r:id="rId81" name="Check Box 550">
              <controlPr defaultSize="0" autoFill="0" autoLine="0" autoPict="0">
                <anchor moveWithCells="1">
                  <from>
                    <xdr:col>6</xdr:col>
                    <xdr:colOff>257175</xdr:colOff>
                    <xdr:row>59</xdr:row>
                    <xdr:rowOff>38100</xdr:rowOff>
                  </from>
                  <to>
                    <xdr:col>6</xdr:col>
                    <xdr:colOff>561975</xdr:colOff>
                    <xdr:row>60</xdr:row>
                    <xdr:rowOff>66675</xdr:rowOff>
                  </to>
                </anchor>
              </controlPr>
            </control>
          </mc:Choice>
        </mc:AlternateContent>
        <mc:AlternateContent xmlns:mc="http://schemas.openxmlformats.org/markup-compatibility/2006">
          <mc:Choice Requires="x14">
            <control shapeId="1577" r:id="rId82" name="Check Box 553">
              <controlPr defaultSize="0" autoFill="0" autoLine="0" autoPict="0">
                <anchor moveWithCells="1">
                  <from>
                    <xdr:col>5</xdr:col>
                    <xdr:colOff>257175</xdr:colOff>
                    <xdr:row>60</xdr:row>
                    <xdr:rowOff>19050</xdr:rowOff>
                  </from>
                  <to>
                    <xdr:col>5</xdr:col>
                    <xdr:colOff>561975</xdr:colOff>
                    <xdr:row>61</xdr:row>
                    <xdr:rowOff>47625</xdr:rowOff>
                  </to>
                </anchor>
              </controlPr>
            </control>
          </mc:Choice>
        </mc:AlternateContent>
        <mc:AlternateContent xmlns:mc="http://schemas.openxmlformats.org/markup-compatibility/2006">
          <mc:Choice Requires="x14">
            <control shapeId="1580" r:id="rId83" name="Check Box 556">
              <controlPr defaultSize="0" autoFill="0" autoLine="0" autoPict="0">
                <anchor moveWithCells="1">
                  <from>
                    <xdr:col>6</xdr:col>
                    <xdr:colOff>257175</xdr:colOff>
                    <xdr:row>60</xdr:row>
                    <xdr:rowOff>28575</xdr:rowOff>
                  </from>
                  <to>
                    <xdr:col>6</xdr:col>
                    <xdr:colOff>561975</xdr:colOff>
                    <xdr:row>61</xdr:row>
                    <xdr:rowOff>57150</xdr:rowOff>
                  </to>
                </anchor>
              </controlPr>
            </control>
          </mc:Choice>
        </mc:AlternateContent>
        <mc:AlternateContent xmlns:mc="http://schemas.openxmlformats.org/markup-compatibility/2006">
          <mc:Choice Requires="x14">
            <control shapeId="1583" r:id="rId84" name="Check Box 559">
              <controlPr defaultSize="0" autoFill="0" autoLine="0" autoPict="0">
                <anchor moveWithCells="1">
                  <from>
                    <xdr:col>5</xdr:col>
                    <xdr:colOff>257175</xdr:colOff>
                    <xdr:row>61</xdr:row>
                    <xdr:rowOff>0</xdr:rowOff>
                  </from>
                  <to>
                    <xdr:col>5</xdr:col>
                    <xdr:colOff>561975</xdr:colOff>
                    <xdr:row>61</xdr:row>
                    <xdr:rowOff>219075</xdr:rowOff>
                  </to>
                </anchor>
              </controlPr>
            </control>
          </mc:Choice>
        </mc:AlternateContent>
        <mc:AlternateContent xmlns:mc="http://schemas.openxmlformats.org/markup-compatibility/2006">
          <mc:Choice Requires="x14">
            <control shapeId="1586" r:id="rId85" name="Check Box 562">
              <controlPr defaultSize="0" autoFill="0" autoLine="0" autoPict="0">
                <anchor moveWithCells="1">
                  <from>
                    <xdr:col>6</xdr:col>
                    <xdr:colOff>257175</xdr:colOff>
                    <xdr:row>61</xdr:row>
                    <xdr:rowOff>0</xdr:rowOff>
                  </from>
                  <to>
                    <xdr:col>6</xdr:col>
                    <xdr:colOff>561975</xdr:colOff>
                    <xdr:row>61</xdr:row>
                    <xdr:rowOff>219075</xdr:rowOff>
                  </to>
                </anchor>
              </controlPr>
            </control>
          </mc:Choice>
        </mc:AlternateContent>
        <mc:AlternateContent xmlns:mc="http://schemas.openxmlformats.org/markup-compatibility/2006">
          <mc:Choice Requires="x14">
            <control shapeId="1589" r:id="rId86" name="Check Box 565">
              <controlPr defaultSize="0" autoFill="0" autoLine="0" autoPict="0">
                <anchor moveWithCells="1">
                  <from>
                    <xdr:col>5</xdr:col>
                    <xdr:colOff>257175</xdr:colOff>
                    <xdr:row>62</xdr:row>
                    <xdr:rowOff>0</xdr:rowOff>
                  </from>
                  <to>
                    <xdr:col>5</xdr:col>
                    <xdr:colOff>561975</xdr:colOff>
                    <xdr:row>62</xdr:row>
                    <xdr:rowOff>219075</xdr:rowOff>
                  </to>
                </anchor>
              </controlPr>
            </control>
          </mc:Choice>
        </mc:AlternateContent>
        <mc:AlternateContent xmlns:mc="http://schemas.openxmlformats.org/markup-compatibility/2006">
          <mc:Choice Requires="x14">
            <control shapeId="1592" r:id="rId87" name="Check Box 568">
              <controlPr defaultSize="0" autoFill="0" autoLine="0" autoPict="0">
                <anchor moveWithCells="1">
                  <from>
                    <xdr:col>6</xdr:col>
                    <xdr:colOff>257175</xdr:colOff>
                    <xdr:row>62</xdr:row>
                    <xdr:rowOff>0</xdr:rowOff>
                  </from>
                  <to>
                    <xdr:col>6</xdr:col>
                    <xdr:colOff>561975</xdr:colOff>
                    <xdr:row>62</xdr:row>
                    <xdr:rowOff>219075</xdr:rowOff>
                  </to>
                </anchor>
              </controlPr>
            </control>
          </mc:Choice>
        </mc:AlternateContent>
        <mc:AlternateContent xmlns:mc="http://schemas.openxmlformats.org/markup-compatibility/2006">
          <mc:Choice Requires="x14">
            <control shapeId="1595" r:id="rId88" name="Check Box 571">
              <controlPr defaultSize="0" autoFill="0" autoLine="0" autoPict="0">
                <anchor moveWithCells="1">
                  <from>
                    <xdr:col>5</xdr:col>
                    <xdr:colOff>257175</xdr:colOff>
                    <xdr:row>63</xdr:row>
                    <xdr:rowOff>66675</xdr:rowOff>
                  </from>
                  <to>
                    <xdr:col>5</xdr:col>
                    <xdr:colOff>561975</xdr:colOff>
                    <xdr:row>64</xdr:row>
                    <xdr:rowOff>95250</xdr:rowOff>
                  </to>
                </anchor>
              </controlPr>
            </control>
          </mc:Choice>
        </mc:AlternateContent>
        <mc:AlternateContent xmlns:mc="http://schemas.openxmlformats.org/markup-compatibility/2006">
          <mc:Choice Requires="x14">
            <control shapeId="1598" r:id="rId89" name="Check Box 574">
              <controlPr defaultSize="0" autoFill="0" autoLine="0" autoPict="0">
                <anchor moveWithCells="1">
                  <from>
                    <xdr:col>6</xdr:col>
                    <xdr:colOff>257175</xdr:colOff>
                    <xdr:row>63</xdr:row>
                    <xdr:rowOff>57150</xdr:rowOff>
                  </from>
                  <to>
                    <xdr:col>6</xdr:col>
                    <xdr:colOff>561975</xdr:colOff>
                    <xdr:row>64</xdr:row>
                    <xdr:rowOff>85725</xdr:rowOff>
                  </to>
                </anchor>
              </controlPr>
            </control>
          </mc:Choice>
        </mc:AlternateContent>
        <mc:AlternateContent xmlns:mc="http://schemas.openxmlformats.org/markup-compatibility/2006">
          <mc:Choice Requires="x14">
            <control shapeId="1601" r:id="rId90" name="Check Box 577">
              <controlPr defaultSize="0" autoFill="0" autoLine="0" autoPict="0">
                <anchor moveWithCells="1">
                  <from>
                    <xdr:col>5</xdr:col>
                    <xdr:colOff>257175</xdr:colOff>
                    <xdr:row>65</xdr:row>
                    <xdr:rowOff>0</xdr:rowOff>
                  </from>
                  <to>
                    <xdr:col>5</xdr:col>
                    <xdr:colOff>561975</xdr:colOff>
                    <xdr:row>66</xdr:row>
                    <xdr:rowOff>28575</xdr:rowOff>
                  </to>
                </anchor>
              </controlPr>
            </control>
          </mc:Choice>
        </mc:AlternateContent>
        <mc:AlternateContent xmlns:mc="http://schemas.openxmlformats.org/markup-compatibility/2006">
          <mc:Choice Requires="x14">
            <control shapeId="1604" r:id="rId91" name="Check Box 580">
              <controlPr defaultSize="0" autoFill="0" autoLine="0" autoPict="0">
                <anchor moveWithCells="1">
                  <from>
                    <xdr:col>6</xdr:col>
                    <xdr:colOff>257175</xdr:colOff>
                    <xdr:row>65</xdr:row>
                    <xdr:rowOff>0</xdr:rowOff>
                  </from>
                  <to>
                    <xdr:col>6</xdr:col>
                    <xdr:colOff>561975</xdr:colOff>
                    <xdr:row>66</xdr:row>
                    <xdr:rowOff>28575</xdr:rowOff>
                  </to>
                </anchor>
              </controlPr>
            </control>
          </mc:Choice>
        </mc:AlternateContent>
        <mc:AlternateContent xmlns:mc="http://schemas.openxmlformats.org/markup-compatibility/2006">
          <mc:Choice Requires="x14">
            <control shapeId="1613" r:id="rId92" name="Check Box 589">
              <controlPr defaultSize="0" autoFill="0" autoLine="0" autoPict="0">
                <anchor moveWithCells="1">
                  <from>
                    <xdr:col>5</xdr:col>
                    <xdr:colOff>257175</xdr:colOff>
                    <xdr:row>66</xdr:row>
                    <xdr:rowOff>0</xdr:rowOff>
                  </from>
                  <to>
                    <xdr:col>5</xdr:col>
                    <xdr:colOff>561975</xdr:colOff>
                    <xdr:row>67</xdr:row>
                    <xdr:rowOff>28575</xdr:rowOff>
                  </to>
                </anchor>
              </controlPr>
            </control>
          </mc:Choice>
        </mc:AlternateContent>
        <mc:AlternateContent xmlns:mc="http://schemas.openxmlformats.org/markup-compatibility/2006">
          <mc:Choice Requires="x14">
            <control shapeId="1616" r:id="rId93" name="Check Box 592">
              <controlPr defaultSize="0" autoFill="0" autoLine="0" autoPict="0">
                <anchor moveWithCells="1">
                  <from>
                    <xdr:col>6</xdr:col>
                    <xdr:colOff>257175</xdr:colOff>
                    <xdr:row>66</xdr:row>
                    <xdr:rowOff>0</xdr:rowOff>
                  </from>
                  <to>
                    <xdr:col>6</xdr:col>
                    <xdr:colOff>561975</xdr:colOff>
                    <xdr:row>67</xdr:row>
                    <xdr:rowOff>28575</xdr:rowOff>
                  </to>
                </anchor>
              </controlPr>
            </control>
          </mc:Choice>
        </mc:AlternateContent>
        <mc:AlternateContent xmlns:mc="http://schemas.openxmlformats.org/markup-compatibility/2006">
          <mc:Choice Requires="x14">
            <control shapeId="1625" r:id="rId94" name="Check Box 601">
              <controlPr defaultSize="0" autoFill="0" autoLine="0" autoPict="0">
                <anchor moveWithCells="1">
                  <from>
                    <xdr:col>5</xdr:col>
                    <xdr:colOff>257175</xdr:colOff>
                    <xdr:row>67</xdr:row>
                    <xdr:rowOff>0</xdr:rowOff>
                  </from>
                  <to>
                    <xdr:col>5</xdr:col>
                    <xdr:colOff>561975</xdr:colOff>
                    <xdr:row>68</xdr:row>
                    <xdr:rowOff>133350</xdr:rowOff>
                  </to>
                </anchor>
              </controlPr>
            </control>
          </mc:Choice>
        </mc:AlternateContent>
        <mc:AlternateContent xmlns:mc="http://schemas.openxmlformats.org/markup-compatibility/2006">
          <mc:Choice Requires="x14">
            <control shapeId="1628" r:id="rId95" name="Check Box 604">
              <controlPr defaultSize="0" autoFill="0" autoLine="0" autoPict="0">
                <anchor moveWithCells="1">
                  <from>
                    <xdr:col>6</xdr:col>
                    <xdr:colOff>257175</xdr:colOff>
                    <xdr:row>67</xdr:row>
                    <xdr:rowOff>0</xdr:rowOff>
                  </from>
                  <to>
                    <xdr:col>6</xdr:col>
                    <xdr:colOff>561975</xdr:colOff>
                    <xdr:row>68</xdr:row>
                    <xdr:rowOff>133350</xdr:rowOff>
                  </to>
                </anchor>
              </controlPr>
            </control>
          </mc:Choice>
        </mc:AlternateContent>
        <mc:AlternateContent xmlns:mc="http://schemas.openxmlformats.org/markup-compatibility/2006">
          <mc:Choice Requires="x14">
            <control shapeId="1643" r:id="rId96" name="Check Box 619">
              <controlPr defaultSize="0" autoFill="0" autoLine="0" autoPict="0">
                <anchor moveWithCells="1">
                  <from>
                    <xdr:col>5</xdr:col>
                    <xdr:colOff>257175</xdr:colOff>
                    <xdr:row>68</xdr:row>
                    <xdr:rowOff>0</xdr:rowOff>
                  </from>
                  <to>
                    <xdr:col>5</xdr:col>
                    <xdr:colOff>561975</xdr:colOff>
                    <xdr:row>68</xdr:row>
                    <xdr:rowOff>219075</xdr:rowOff>
                  </to>
                </anchor>
              </controlPr>
            </control>
          </mc:Choice>
        </mc:AlternateContent>
        <mc:AlternateContent xmlns:mc="http://schemas.openxmlformats.org/markup-compatibility/2006">
          <mc:Choice Requires="x14">
            <control shapeId="1646" r:id="rId97" name="Check Box 622">
              <controlPr defaultSize="0" autoFill="0" autoLine="0" autoPict="0">
                <anchor moveWithCells="1">
                  <from>
                    <xdr:col>6</xdr:col>
                    <xdr:colOff>257175</xdr:colOff>
                    <xdr:row>68</xdr:row>
                    <xdr:rowOff>0</xdr:rowOff>
                  </from>
                  <to>
                    <xdr:col>6</xdr:col>
                    <xdr:colOff>561975</xdr:colOff>
                    <xdr:row>68</xdr:row>
                    <xdr:rowOff>219075</xdr:rowOff>
                  </to>
                </anchor>
              </controlPr>
            </control>
          </mc:Choice>
        </mc:AlternateContent>
        <mc:AlternateContent xmlns:mc="http://schemas.openxmlformats.org/markup-compatibility/2006">
          <mc:Choice Requires="x14">
            <control shapeId="1661" r:id="rId98" name="Check Box 637">
              <controlPr defaultSize="0" autoFill="0" autoLine="0" autoPict="0">
                <anchor moveWithCells="1">
                  <from>
                    <xdr:col>5</xdr:col>
                    <xdr:colOff>257175</xdr:colOff>
                    <xdr:row>69</xdr:row>
                    <xdr:rowOff>0</xdr:rowOff>
                  </from>
                  <to>
                    <xdr:col>5</xdr:col>
                    <xdr:colOff>561975</xdr:colOff>
                    <xdr:row>69</xdr:row>
                    <xdr:rowOff>219075</xdr:rowOff>
                  </to>
                </anchor>
              </controlPr>
            </control>
          </mc:Choice>
        </mc:AlternateContent>
        <mc:AlternateContent xmlns:mc="http://schemas.openxmlformats.org/markup-compatibility/2006">
          <mc:Choice Requires="x14">
            <control shapeId="1664" r:id="rId99" name="Check Box 640">
              <controlPr defaultSize="0" autoFill="0" autoLine="0" autoPict="0">
                <anchor moveWithCells="1">
                  <from>
                    <xdr:col>6</xdr:col>
                    <xdr:colOff>257175</xdr:colOff>
                    <xdr:row>69</xdr:row>
                    <xdr:rowOff>0</xdr:rowOff>
                  </from>
                  <to>
                    <xdr:col>6</xdr:col>
                    <xdr:colOff>561975</xdr:colOff>
                    <xdr:row>69</xdr:row>
                    <xdr:rowOff>219075</xdr:rowOff>
                  </to>
                </anchor>
              </controlPr>
            </control>
          </mc:Choice>
        </mc:AlternateContent>
        <mc:AlternateContent xmlns:mc="http://schemas.openxmlformats.org/markup-compatibility/2006">
          <mc:Choice Requires="x14">
            <control shapeId="1679" r:id="rId100" name="Check Box 655">
              <controlPr defaultSize="0" autoFill="0" autoLine="0" autoPict="0">
                <anchor moveWithCells="1">
                  <from>
                    <xdr:col>5</xdr:col>
                    <xdr:colOff>257175</xdr:colOff>
                    <xdr:row>70</xdr:row>
                    <xdr:rowOff>0</xdr:rowOff>
                  </from>
                  <to>
                    <xdr:col>5</xdr:col>
                    <xdr:colOff>561975</xdr:colOff>
                    <xdr:row>70</xdr:row>
                    <xdr:rowOff>219075</xdr:rowOff>
                  </to>
                </anchor>
              </controlPr>
            </control>
          </mc:Choice>
        </mc:AlternateContent>
        <mc:AlternateContent xmlns:mc="http://schemas.openxmlformats.org/markup-compatibility/2006">
          <mc:Choice Requires="x14">
            <control shapeId="1682" r:id="rId101" name="Check Box 658">
              <controlPr defaultSize="0" autoFill="0" autoLine="0" autoPict="0">
                <anchor moveWithCells="1">
                  <from>
                    <xdr:col>6</xdr:col>
                    <xdr:colOff>257175</xdr:colOff>
                    <xdr:row>70</xdr:row>
                    <xdr:rowOff>0</xdr:rowOff>
                  </from>
                  <to>
                    <xdr:col>6</xdr:col>
                    <xdr:colOff>561975</xdr:colOff>
                    <xdr:row>70</xdr:row>
                    <xdr:rowOff>219075</xdr:rowOff>
                  </to>
                </anchor>
              </controlPr>
            </control>
          </mc:Choice>
        </mc:AlternateContent>
        <mc:AlternateContent xmlns:mc="http://schemas.openxmlformats.org/markup-compatibility/2006">
          <mc:Choice Requires="x14">
            <control shapeId="1697" r:id="rId102" name="Check Box 673">
              <controlPr defaultSize="0" autoFill="0" autoLine="0" autoPict="0">
                <anchor moveWithCells="1">
                  <from>
                    <xdr:col>5</xdr:col>
                    <xdr:colOff>257175</xdr:colOff>
                    <xdr:row>71</xdr:row>
                    <xdr:rowOff>0</xdr:rowOff>
                  </from>
                  <to>
                    <xdr:col>5</xdr:col>
                    <xdr:colOff>561975</xdr:colOff>
                    <xdr:row>71</xdr:row>
                    <xdr:rowOff>219075</xdr:rowOff>
                  </to>
                </anchor>
              </controlPr>
            </control>
          </mc:Choice>
        </mc:AlternateContent>
        <mc:AlternateContent xmlns:mc="http://schemas.openxmlformats.org/markup-compatibility/2006">
          <mc:Choice Requires="x14">
            <control shapeId="1700" r:id="rId103" name="Check Box 676">
              <controlPr defaultSize="0" autoFill="0" autoLine="0" autoPict="0">
                <anchor moveWithCells="1">
                  <from>
                    <xdr:col>6</xdr:col>
                    <xdr:colOff>257175</xdr:colOff>
                    <xdr:row>71</xdr:row>
                    <xdr:rowOff>0</xdr:rowOff>
                  </from>
                  <to>
                    <xdr:col>6</xdr:col>
                    <xdr:colOff>561975</xdr:colOff>
                    <xdr:row>71</xdr:row>
                    <xdr:rowOff>219075</xdr:rowOff>
                  </to>
                </anchor>
              </controlPr>
            </control>
          </mc:Choice>
        </mc:AlternateContent>
        <mc:AlternateContent xmlns:mc="http://schemas.openxmlformats.org/markup-compatibility/2006">
          <mc:Choice Requires="x14">
            <control shapeId="1715" r:id="rId104" name="Check Box 691">
              <controlPr defaultSize="0" autoFill="0" autoLine="0" autoPict="0">
                <anchor moveWithCells="1">
                  <from>
                    <xdr:col>5</xdr:col>
                    <xdr:colOff>257175</xdr:colOff>
                    <xdr:row>72</xdr:row>
                    <xdr:rowOff>0</xdr:rowOff>
                  </from>
                  <to>
                    <xdr:col>5</xdr:col>
                    <xdr:colOff>561975</xdr:colOff>
                    <xdr:row>72</xdr:row>
                    <xdr:rowOff>219075</xdr:rowOff>
                  </to>
                </anchor>
              </controlPr>
            </control>
          </mc:Choice>
        </mc:AlternateContent>
        <mc:AlternateContent xmlns:mc="http://schemas.openxmlformats.org/markup-compatibility/2006">
          <mc:Choice Requires="x14">
            <control shapeId="1718" r:id="rId105" name="Check Box 694">
              <controlPr defaultSize="0" autoFill="0" autoLine="0" autoPict="0">
                <anchor moveWithCells="1">
                  <from>
                    <xdr:col>6</xdr:col>
                    <xdr:colOff>257175</xdr:colOff>
                    <xdr:row>72</xdr:row>
                    <xdr:rowOff>0</xdr:rowOff>
                  </from>
                  <to>
                    <xdr:col>6</xdr:col>
                    <xdr:colOff>561975</xdr:colOff>
                    <xdr:row>72</xdr:row>
                    <xdr:rowOff>219075</xdr:rowOff>
                  </to>
                </anchor>
              </controlPr>
            </control>
          </mc:Choice>
        </mc:AlternateContent>
        <mc:AlternateContent xmlns:mc="http://schemas.openxmlformats.org/markup-compatibility/2006">
          <mc:Choice Requires="x14">
            <control shapeId="1733" r:id="rId106" name="Check Box 709">
              <controlPr defaultSize="0" autoFill="0" autoLine="0" autoPict="0">
                <anchor moveWithCells="1">
                  <from>
                    <xdr:col>5</xdr:col>
                    <xdr:colOff>257175</xdr:colOff>
                    <xdr:row>73</xdr:row>
                    <xdr:rowOff>0</xdr:rowOff>
                  </from>
                  <to>
                    <xdr:col>5</xdr:col>
                    <xdr:colOff>561975</xdr:colOff>
                    <xdr:row>73</xdr:row>
                    <xdr:rowOff>219075</xdr:rowOff>
                  </to>
                </anchor>
              </controlPr>
            </control>
          </mc:Choice>
        </mc:AlternateContent>
        <mc:AlternateContent xmlns:mc="http://schemas.openxmlformats.org/markup-compatibility/2006">
          <mc:Choice Requires="x14">
            <control shapeId="1736" r:id="rId107" name="Check Box 712">
              <controlPr defaultSize="0" autoFill="0" autoLine="0" autoPict="0">
                <anchor moveWithCells="1">
                  <from>
                    <xdr:col>6</xdr:col>
                    <xdr:colOff>257175</xdr:colOff>
                    <xdr:row>73</xdr:row>
                    <xdr:rowOff>0</xdr:rowOff>
                  </from>
                  <to>
                    <xdr:col>6</xdr:col>
                    <xdr:colOff>561975</xdr:colOff>
                    <xdr:row>73</xdr:row>
                    <xdr:rowOff>219075</xdr:rowOff>
                  </to>
                </anchor>
              </controlPr>
            </control>
          </mc:Choice>
        </mc:AlternateContent>
        <mc:AlternateContent xmlns:mc="http://schemas.openxmlformats.org/markup-compatibility/2006">
          <mc:Choice Requires="x14">
            <control shapeId="1751" r:id="rId108" name="Check Box 727">
              <controlPr defaultSize="0" autoFill="0" autoLine="0" autoPict="0">
                <anchor moveWithCells="1">
                  <from>
                    <xdr:col>5</xdr:col>
                    <xdr:colOff>257175</xdr:colOff>
                    <xdr:row>74</xdr:row>
                    <xdr:rowOff>0</xdr:rowOff>
                  </from>
                  <to>
                    <xdr:col>5</xdr:col>
                    <xdr:colOff>561975</xdr:colOff>
                    <xdr:row>74</xdr:row>
                    <xdr:rowOff>219075</xdr:rowOff>
                  </to>
                </anchor>
              </controlPr>
            </control>
          </mc:Choice>
        </mc:AlternateContent>
        <mc:AlternateContent xmlns:mc="http://schemas.openxmlformats.org/markup-compatibility/2006">
          <mc:Choice Requires="x14">
            <control shapeId="1754" r:id="rId109" name="Check Box 730">
              <controlPr defaultSize="0" autoFill="0" autoLine="0" autoPict="0">
                <anchor moveWithCells="1">
                  <from>
                    <xdr:col>6</xdr:col>
                    <xdr:colOff>257175</xdr:colOff>
                    <xdr:row>74</xdr:row>
                    <xdr:rowOff>0</xdr:rowOff>
                  </from>
                  <to>
                    <xdr:col>6</xdr:col>
                    <xdr:colOff>561975</xdr:colOff>
                    <xdr:row>74</xdr:row>
                    <xdr:rowOff>219075</xdr:rowOff>
                  </to>
                </anchor>
              </controlPr>
            </control>
          </mc:Choice>
        </mc:AlternateContent>
        <mc:AlternateContent xmlns:mc="http://schemas.openxmlformats.org/markup-compatibility/2006">
          <mc:Choice Requires="x14">
            <control shapeId="1769" r:id="rId110" name="Check Box 745">
              <controlPr defaultSize="0" autoFill="0" autoLine="0" autoPict="0">
                <anchor moveWithCells="1">
                  <from>
                    <xdr:col>5</xdr:col>
                    <xdr:colOff>257175</xdr:colOff>
                    <xdr:row>75</xdr:row>
                    <xdr:rowOff>0</xdr:rowOff>
                  </from>
                  <to>
                    <xdr:col>5</xdr:col>
                    <xdr:colOff>561975</xdr:colOff>
                    <xdr:row>76</xdr:row>
                    <xdr:rowOff>28575</xdr:rowOff>
                  </to>
                </anchor>
              </controlPr>
            </control>
          </mc:Choice>
        </mc:AlternateContent>
        <mc:AlternateContent xmlns:mc="http://schemas.openxmlformats.org/markup-compatibility/2006">
          <mc:Choice Requires="x14">
            <control shapeId="1772" r:id="rId111" name="Check Box 748">
              <controlPr defaultSize="0" autoFill="0" autoLine="0" autoPict="0">
                <anchor moveWithCells="1">
                  <from>
                    <xdr:col>6</xdr:col>
                    <xdr:colOff>257175</xdr:colOff>
                    <xdr:row>75</xdr:row>
                    <xdr:rowOff>0</xdr:rowOff>
                  </from>
                  <to>
                    <xdr:col>6</xdr:col>
                    <xdr:colOff>561975</xdr:colOff>
                    <xdr:row>76</xdr:row>
                    <xdr:rowOff>28575</xdr:rowOff>
                  </to>
                </anchor>
              </controlPr>
            </control>
          </mc:Choice>
        </mc:AlternateContent>
        <mc:AlternateContent xmlns:mc="http://schemas.openxmlformats.org/markup-compatibility/2006">
          <mc:Choice Requires="x14">
            <control shapeId="1787" r:id="rId112" name="Check Box 763">
              <controlPr defaultSize="0" autoFill="0" autoLine="0" autoPict="0">
                <anchor moveWithCells="1">
                  <from>
                    <xdr:col>5</xdr:col>
                    <xdr:colOff>257175</xdr:colOff>
                    <xdr:row>76</xdr:row>
                    <xdr:rowOff>0</xdr:rowOff>
                  </from>
                  <to>
                    <xdr:col>5</xdr:col>
                    <xdr:colOff>561975</xdr:colOff>
                    <xdr:row>76</xdr:row>
                    <xdr:rowOff>219075</xdr:rowOff>
                  </to>
                </anchor>
              </controlPr>
            </control>
          </mc:Choice>
        </mc:AlternateContent>
        <mc:AlternateContent xmlns:mc="http://schemas.openxmlformats.org/markup-compatibility/2006">
          <mc:Choice Requires="x14">
            <control shapeId="1790" r:id="rId113" name="Check Box 766">
              <controlPr defaultSize="0" autoFill="0" autoLine="0" autoPict="0">
                <anchor moveWithCells="1">
                  <from>
                    <xdr:col>6</xdr:col>
                    <xdr:colOff>257175</xdr:colOff>
                    <xdr:row>76</xdr:row>
                    <xdr:rowOff>0</xdr:rowOff>
                  </from>
                  <to>
                    <xdr:col>6</xdr:col>
                    <xdr:colOff>561975</xdr:colOff>
                    <xdr:row>76</xdr:row>
                    <xdr:rowOff>219075</xdr:rowOff>
                  </to>
                </anchor>
              </controlPr>
            </control>
          </mc:Choice>
        </mc:AlternateContent>
        <mc:AlternateContent xmlns:mc="http://schemas.openxmlformats.org/markup-compatibility/2006">
          <mc:Choice Requires="x14">
            <control shapeId="1805" r:id="rId114" name="Check Box 781">
              <controlPr defaultSize="0" autoFill="0" autoLine="0" autoPict="0">
                <anchor moveWithCells="1">
                  <from>
                    <xdr:col>5</xdr:col>
                    <xdr:colOff>257175</xdr:colOff>
                    <xdr:row>77</xdr:row>
                    <xdr:rowOff>0</xdr:rowOff>
                  </from>
                  <to>
                    <xdr:col>5</xdr:col>
                    <xdr:colOff>561975</xdr:colOff>
                    <xdr:row>77</xdr:row>
                    <xdr:rowOff>219075</xdr:rowOff>
                  </to>
                </anchor>
              </controlPr>
            </control>
          </mc:Choice>
        </mc:AlternateContent>
        <mc:AlternateContent xmlns:mc="http://schemas.openxmlformats.org/markup-compatibility/2006">
          <mc:Choice Requires="x14">
            <control shapeId="1808" r:id="rId115" name="Check Box 784">
              <controlPr defaultSize="0" autoFill="0" autoLine="0" autoPict="0">
                <anchor moveWithCells="1">
                  <from>
                    <xdr:col>6</xdr:col>
                    <xdr:colOff>257175</xdr:colOff>
                    <xdr:row>77</xdr:row>
                    <xdr:rowOff>0</xdr:rowOff>
                  </from>
                  <to>
                    <xdr:col>6</xdr:col>
                    <xdr:colOff>561975</xdr:colOff>
                    <xdr:row>77</xdr:row>
                    <xdr:rowOff>219075</xdr:rowOff>
                  </to>
                </anchor>
              </controlPr>
            </control>
          </mc:Choice>
        </mc:AlternateContent>
        <mc:AlternateContent xmlns:mc="http://schemas.openxmlformats.org/markup-compatibility/2006">
          <mc:Choice Requires="x14">
            <control shapeId="1823" r:id="rId116" name="Check Box 799">
              <controlPr defaultSize="0" autoFill="0" autoLine="0" autoPict="0">
                <anchor moveWithCells="1">
                  <from>
                    <xdr:col>5</xdr:col>
                    <xdr:colOff>257175</xdr:colOff>
                    <xdr:row>78</xdr:row>
                    <xdr:rowOff>0</xdr:rowOff>
                  </from>
                  <to>
                    <xdr:col>5</xdr:col>
                    <xdr:colOff>561975</xdr:colOff>
                    <xdr:row>78</xdr:row>
                    <xdr:rowOff>219075</xdr:rowOff>
                  </to>
                </anchor>
              </controlPr>
            </control>
          </mc:Choice>
        </mc:AlternateContent>
        <mc:AlternateContent xmlns:mc="http://schemas.openxmlformats.org/markup-compatibility/2006">
          <mc:Choice Requires="x14">
            <control shapeId="1826" r:id="rId117" name="Check Box 802">
              <controlPr defaultSize="0" autoFill="0" autoLine="0" autoPict="0">
                <anchor moveWithCells="1">
                  <from>
                    <xdr:col>6</xdr:col>
                    <xdr:colOff>257175</xdr:colOff>
                    <xdr:row>78</xdr:row>
                    <xdr:rowOff>0</xdr:rowOff>
                  </from>
                  <to>
                    <xdr:col>6</xdr:col>
                    <xdr:colOff>561975</xdr:colOff>
                    <xdr:row>78</xdr:row>
                    <xdr:rowOff>219075</xdr:rowOff>
                  </to>
                </anchor>
              </controlPr>
            </control>
          </mc:Choice>
        </mc:AlternateContent>
        <mc:AlternateContent xmlns:mc="http://schemas.openxmlformats.org/markup-compatibility/2006">
          <mc:Choice Requires="x14">
            <control shapeId="1841" r:id="rId118" name="Check Box 817">
              <controlPr defaultSize="0" autoFill="0" autoLine="0" autoPict="0">
                <anchor moveWithCells="1">
                  <from>
                    <xdr:col>5</xdr:col>
                    <xdr:colOff>257175</xdr:colOff>
                    <xdr:row>79</xdr:row>
                    <xdr:rowOff>0</xdr:rowOff>
                  </from>
                  <to>
                    <xdr:col>5</xdr:col>
                    <xdr:colOff>561975</xdr:colOff>
                    <xdr:row>79</xdr:row>
                    <xdr:rowOff>219075</xdr:rowOff>
                  </to>
                </anchor>
              </controlPr>
            </control>
          </mc:Choice>
        </mc:AlternateContent>
        <mc:AlternateContent xmlns:mc="http://schemas.openxmlformats.org/markup-compatibility/2006">
          <mc:Choice Requires="x14">
            <control shapeId="1844" r:id="rId119" name="Check Box 820">
              <controlPr defaultSize="0" autoFill="0" autoLine="0" autoPict="0">
                <anchor moveWithCells="1">
                  <from>
                    <xdr:col>6</xdr:col>
                    <xdr:colOff>257175</xdr:colOff>
                    <xdr:row>79</xdr:row>
                    <xdr:rowOff>0</xdr:rowOff>
                  </from>
                  <to>
                    <xdr:col>6</xdr:col>
                    <xdr:colOff>561975</xdr:colOff>
                    <xdr:row>79</xdr:row>
                    <xdr:rowOff>219075</xdr:rowOff>
                  </to>
                </anchor>
              </controlPr>
            </control>
          </mc:Choice>
        </mc:AlternateContent>
        <mc:AlternateContent xmlns:mc="http://schemas.openxmlformats.org/markup-compatibility/2006">
          <mc:Choice Requires="x14">
            <control shapeId="1859" r:id="rId120" name="Check Box 835">
              <controlPr defaultSize="0" autoFill="0" autoLine="0" autoPict="0">
                <anchor moveWithCells="1">
                  <from>
                    <xdr:col>5</xdr:col>
                    <xdr:colOff>257175</xdr:colOff>
                    <xdr:row>80</xdr:row>
                    <xdr:rowOff>0</xdr:rowOff>
                  </from>
                  <to>
                    <xdr:col>5</xdr:col>
                    <xdr:colOff>561975</xdr:colOff>
                    <xdr:row>80</xdr:row>
                    <xdr:rowOff>219075</xdr:rowOff>
                  </to>
                </anchor>
              </controlPr>
            </control>
          </mc:Choice>
        </mc:AlternateContent>
        <mc:AlternateContent xmlns:mc="http://schemas.openxmlformats.org/markup-compatibility/2006">
          <mc:Choice Requires="x14">
            <control shapeId="1862" r:id="rId121" name="Check Box 838">
              <controlPr defaultSize="0" autoFill="0" autoLine="0" autoPict="0">
                <anchor moveWithCells="1">
                  <from>
                    <xdr:col>6</xdr:col>
                    <xdr:colOff>257175</xdr:colOff>
                    <xdr:row>80</xdr:row>
                    <xdr:rowOff>0</xdr:rowOff>
                  </from>
                  <to>
                    <xdr:col>6</xdr:col>
                    <xdr:colOff>561975</xdr:colOff>
                    <xdr:row>80</xdr:row>
                    <xdr:rowOff>219075</xdr:rowOff>
                  </to>
                </anchor>
              </controlPr>
            </control>
          </mc:Choice>
        </mc:AlternateContent>
        <mc:AlternateContent xmlns:mc="http://schemas.openxmlformats.org/markup-compatibility/2006">
          <mc:Choice Requires="x14">
            <control shapeId="1877" r:id="rId122" name="Check Box 853">
              <controlPr defaultSize="0" autoFill="0" autoLine="0" autoPict="0">
                <anchor moveWithCells="1">
                  <from>
                    <xdr:col>5</xdr:col>
                    <xdr:colOff>257175</xdr:colOff>
                    <xdr:row>81</xdr:row>
                    <xdr:rowOff>0</xdr:rowOff>
                  </from>
                  <to>
                    <xdr:col>5</xdr:col>
                    <xdr:colOff>561975</xdr:colOff>
                    <xdr:row>82</xdr:row>
                    <xdr:rowOff>28575</xdr:rowOff>
                  </to>
                </anchor>
              </controlPr>
            </control>
          </mc:Choice>
        </mc:AlternateContent>
        <mc:AlternateContent xmlns:mc="http://schemas.openxmlformats.org/markup-compatibility/2006">
          <mc:Choice Requires="x14">
            <control shapeId="1880" r:id="rId123" name="Check Box 856">
              <controlPr defaultSize="0" autoFill="0" autoLine="0" autoPict="0">
                <anchor moveWithCells="1">
                  <from>
                    <xdr:col>6</xdr:col>
                    <xdr:colOff>257175</xdr:colOff>
                    <xdr:row>81</xdr:row>
                    <xdr:rowOff>0</xdr:rowOff>
                  </from>
                  <to>
                    <xdr:col>6</xdr:col>
                    <xdr:colOff>561975</xdr:colOff>
                    <xdr:row>82</xdr:row>
                    <xdr:rowOff>28575</xdr:rowOff>
                  </to>
                </anchor>
              </controlPr>
            </control>
          </mc:Choice>
        </mc:AlternateContent>
        <mc:AlternateContent xmlns:mc="http://schemas.openxmlformats.org/markup-compatibility/2006">
          <mc:Choice Requires="x14">
            <control shapeId="1895" r:id="rId124" name="Check Box 871">
              <controlPr defaultSize="0" autoFill="0" autoLine="0" autoPict="0">
                <anchor moveWithCells="1">
                  <from>
                    <xdr:col>5</xdr:col>
                    <xdr:colOff>257175</xdr:colOff>
                    <xdr:row>82</xdr:row>
                    <xdr:rowOff>0</xdr:rowOff>
                  </from>
                  <to>
                    <xdr:col>5</xdr:col>
                    <xdr:colOff>561975</xdr:colOff>
                    <xdr:row>82</xdr:row>
                    <xdr:rowOff>219075</xdr:rowOff>
                  </to>
                </anchor>
              </controlPr>
            </control>
          </mc:Choice>
        </mc:AlternateContent>
        <mc:AlternateContent xmlns:mc="http://schemas.openxmlformats.org/markup-compatibility/2006">
          <mc:Choice Requires="x14">
            <control shapeId="1898" r:id="rId125" name="Check Box 874">
              <controlPr defaultSize="0" autoFill="0" autoLine="0" autoPict="0">
                <anchor moveWithCells="1">
                  <from>
                    <xdr:col>6</xdr:col>
                    <xdr:colOff>257175</xdr:colOff>
                    <xdr:row>82</xdr:row>
                    <xdr:rowOff>0</xdr:rowOff>
                  </from>
                  <to>
                    <xdr:col>6</xdr:col>
                    <xdr:colOff>561975</xdr:colOff>
                    <xdr:row>82</xdr:row>
                    <xdr:rowOff>219075</xdr:rowOff>
                  </to>
                </anchor>
              </controlPr>
            </control>
          </mc:Choice>
        </mc:AlternateContent>
        <mc:AlternateContent xmlns:mc="http://schemas.openxmlformats.org/markup-compatibility/2006">
          <mc:Choice Requires="x14">
            <control shapeId="1949" r:id="rId126" name="Check Box 925">
              <controlPr defaultSize="0" autoFill="0" autoLine="0" autoPict="0">
                <anchor moveWithCells="1">
                  <from>
                    <xdr:col>5</xdr:col>
                    <xdr:colOff>257175</xdr:colOff>
                    <xdr:row>83</xdr:row>
                    <xdr:rowOff>123825</xdr:rowOff>
                  </from>
                  <to>
                    <xdr:col>5</xdr:col>
                    <xdr:colOff>561975</xdr:colOff>
                    <xdr:row>84</xdr:row>
                    <xdr:rowOff>19050</xdr:rowOff>
                  </to>
                </anchor>
              </controlPr>
            </control>
          </mc:Choice>
        </mc:AlternateContent>
        <mc:AlternateContent xmlns:mc="http://schemas.openxmlformats.org/markup-compatibility/2006">
          <mc:Choice Requires="x14">
            <control shapeId="1952" r:id="rId127" name="Check Box 928">
              <controlPr defaultSize="0" autoFill="0" autoLine="0" autoPict="0">
                <anchor moveWithCells="1">
                  <from>
                    <xdr:col>6</xdr:col>
                    <xdr:colOff>257175</xdr:colOff>
                    <xdr:row>83</xdr:row>
                    <xdr:rowOff>123825</xdr:rowOff>
                  </from>
                  <to>
                    <xdr:col>6</xdr:col>
                    <xdr:colOff>561975</xdr:colOff>
                    <xdr:row>84</xdr:row>
                    <xdr:rowOff>19050</xdr:rowOff>
                  </to>
                </anchor>
              </controlPr>
            </control>
          </mc:Choice>
        </mc:AlternateContent>
        <mc:AlternateContent xmlns:mc="http://schemas.openxmlformats.org/markup-compatibility/2006">
          <mc:Choice Requires="x14">
            <control shapeId="1967" r:id="rId128" name="Check Box 943">
              <controlPr defaultSize="0" autoFill="0" autoLine="0" autoPict="0">
                <anchor moveWithCells="1">
                  <from>
                    <xdr:col>5</xdr:col>
                    <xdr:colOff>257175</xdr:colOff>
                    <xdr:row>84</xdr:row>
                    <xdr:rowOff>0</xdr:rowOff>
                  </from>
                  <to>
                    <xdr:col>5</xdr:col>
                    <xdr:colOff>561975</xdr:colOff>
                    <xdr:row>84</xdr:row>
                    <xdr:rowOff>219075</xdr:rowOff>
                  </to>
                </anchor>
              </controlPr>
            </control>
          </mc:Choice>
        </mc:AlternateContent>
        <mc:AlternateContent xmlns:mc="http://schemas.openxmlformats.org/markup-compatibility/2006">
          <mc:Choice Requires="x14">
            <control shapeId="1970" r:id="rId129" name="Check Box 946">
              <controlPr defaultSize="0" autoFill="0" autoLine="0" autoPict="0">
                <anchor moveWithCells="1">
                  <from>
                    <xdr:col>6</xdr:col>
                    <xdr:colOff>257175</xdr:colOff>
                    <xdr:row>84</xdr:row>
                    <xdr:rowOff>0</xdr:rowOff>
                  </from>
                  <to>
                    <xdr:col>6</xdr:col>
                    <xdr:colOff>561975</xdr:colOff>
                    <xdr:row>84</xdr:row>
                    <xdr:rowOff>219075</xdr:rowOff>
                  </to>
                </anchor>
              </controlPr>
            </control>
          </mc:Choice>
        </mc:AlternateContent>
        <mc:AlternateContent xmlns:mc="http://schemas.openxmlformats.org/markup-compatibility/2006">
          <mc:Choice Requires="x14">
            <control shapeId="1985" r:id="rId130" name="Check Box 961">
              <controlPr defaultSize="0" autoFill="0" autoLine="0" autoPict="0">
                <anchor moveWithCells="1">
                  <from>
                    <xdr:col>5</xdr:col>
                    <xdr:colOff>257175</xdr:colOff>
                    <xdr:row>85</xdr:row>
                    <xdr:rowOff>0</xdr:rowOff>
                  </from>
                  <to>
                    <xdr:col>5</xdr:col>
                    <xdr:colOff>561975</xdr:colOff>
                    <xdr:row>85</xdr:row>
                    <xdr:rowOff>219075</xdr:rowOff>
                  </to>
                </anchor>
              </controlPr>
            </control>
          </mc:Choice>
        </mc:AlternateContent>
        <mc:AlternateContent xmlns:mc="http://schemas.openxmlformats.org/markup-compatibility/2006">
          <mc:Choice Requires="x14">
            <control shapeId="1988" r:id="rId131" name="Check Box 964">
              <controlPr defaultSize="0" autoFill="0" autoLine="0" autoPict="0">
                <anchor moveWithCells="1">
                  <from>
                    <xdr:col>6</xdr:col>
                    <xdr:colOff>257175</xdr:colOff>
                    <xdr:row>85</xdr:row>
                    <xdr:rowOff>0</xdr:rowOff>
                  </from>
                  <to>
                    <xdr:col>6</xdr:col>
                    <xdr:colOff>561975</xdr:colOff>
                    <xdr:row>85</xdr:row>
                    <xdr:rowOff>219075</xdr:rowOff>
                  </to>
                </anchor>
              </controlPr>
            </control>
          </mc:Choice>
        </mc:AlternateContent>
        <mc:AlternateContent xmlns:mc="http://schemas.openxmlformats.org/markup-compatibility/2006">
          <mc:Choice Requires="x14">
            <control shapeId="2003" r:id="rId132" name="Check Box 979">
              <controlPr defaultSize="0" autoFill="0" autoLine="0" autoPict="0">
                <anchor moveWithCells="1">
                  <from>
                    <xdr:col>5</xdr:col>
                    <xdr:colOff>257175</xdr:colOff>
                    <xdr:row>86</xdr:row>
                    <xdr:rowOff>257175</xdr:rowOff>
                  </from>
                  <to>
                    <xdr:col>5</xdr:col>
                    <xdr:colOff>561975</xdr:colOff>
                    <xdr:row>87</xdr:row>
                    <xdr:rowOff>485775</xdr:rowOff>
                  </to>
                </anchor>
              </controlPr>
            </control>
          </mc:Choice>
        </mc:AlternateContent>
        <mc:AlternateContent xmlns:mc="http://schemas.openxmlformats.org/markup-compatibility/2006">
          <mc:Choice Requires="x14">
            <control shapeId="2006" r:id="rId133" name="Check Box 982">
              <controlPr defaultSize="0" autoFill="0" autoLine="0" autoPict="0">
                <anchor moveWithCells="1">
                  <from>
                    <xdr:col>6</xdr:col>
                    <xdr:colOff>257175</xdr:colOff>
                    <xdr:row>86</xdr:row>
                    <xdr:rowOff>257175</xdr:rowOff>
                  </from>
                  <to>
                    <xdr:col>6</xdr:col>
                    <xdr:colOff>561975</xdr:colOff>
                    <xdr:row>87</xdr:row>
                    <xdr:rowOff>485775</xdr:rowOff>
                  </to>
                </anchor>
              </controlPr>
            </control>
          </mc:Choice>
        </mc:AlternateContent>
        <mc:AlternateContent xmlns:mc="http://schemas.openxmlformats.org/markup-compatibility/2006">
          <mc:Choice Requires="x14">
            <control shapeId="2022" r:id="rId134" name="Check Box 998">
              <controlPr defaultSize="0" autoFill="0" autoLine="0" autoPict="0">
                <anchor moveWithCells="1">
                  <from>
                    <xdr:col>5</xdr:col>
                    <xdr:colOff>266700</xdr:colOff>
                    <xdr:row>87</xdr:row>
                    <xdr:rowOff>361950</xdr:rowOff>
                  </from>
                  <to>
                    <xdr:col>5</xdr:col>
                    <xdr:colOff>571500</xdr:colOff>
                    <xdr:row>87</xdr:row>
                    <xdr:rowOff>581025</xdr:rowOff>
                  </to>
                </anchor>
              </controlPr>
            </control>
          </mc:Choice>
        </mc:AlternateContent>
        <mc:AlternateContent xmlns:mc="http://schemas.openxmlformats.org/markup-compatibility/2006">
          <mc:Choice Requires="x14">
            <control shapeId="2024" r:id="rId135" name="Check Box 1000">
              <controlPr defaultSize="0" autoFill="0" autoLine="0" autoPict="0">
                <anchor moveWithCells="1">
                  <from>
                    <xdr:col>6</xdr:col>
                    <xdr:colOff>257175</xdr:colOff>
                    <xdr:row>87</xdr:row>
                    <xdr:rowOff>342900</xdr:rowOff>
                  </from>
                  <to>
                    <xdr:col>6</xdr:col>
                    <xdr:colOff>561975</xdr:colOff>
                    <xdr:row>87</xdr:row>
                    <xdr:rowOff>561975</xdr:rowOff>
                  </to>
                </anchor>
              </controlPr>
            </control>
          </mc:Choice>
        </mc:AlternateContent>
        <mc:AlternateContent xmlns:mc="http://schemas.openxmlformats.org/markup-compatibility/2006">
          <mc:Choice Requires="x14">
            <control shapeId="2039" r:id="rId136" name="Check Box 1015">
              <controlPr defaultSize="0" autoFill="0" autoLine="0" autoPict="0">
                <anchor moveWithCells="1">
                  <from>
                    <xdr:col>5</xdr:col>
                    <xdr:colOff>247650</xdr:colOff>
                    <xdr:row>89</xdr:row>
                    <xdr:rowOff>85725</xdr:rowOff>
                  </from>
                  <to>
                    <xdr:col>5</xdr:col>
                    <xdr:colOff>552450</xdr:colOff>
                    <xdr:row>89</xdr:row>
                    <xdr:rowOff>695325</xdr:rowOff>
                  </to>
                </anchor>
              </controlPr>
            </control>
          </mc:Choice>
        </mc:AlternateContent>
        <mc:AlternateContent xmlns:mc="http://schemas.openxmlformats.org/markup-compatibility/2006">
          <mc:Choice Requires="x14">
            <control shapeId="2042" r:id="rId137" name="Check Box 1018">
              <controlPr defaultSize="0" autoFill="0" autoLine="0" autoPict="0">
                <anchor moveWithCells="1">
                  <from>
                    <xdr:col>6</xdr:col>
                    <xdr:colOff>257175</xdr:colOff>
                    <xdr:row>89</xdr:row>
                    <xdr:rowOff>95250</xdr:rowOff>
                  </from>
                  <to>
                    <xdr:col>6</xdr:col>
                    <xdr:colOff>561975</xdr:colOff>
                    <xdr:row>89</xdr:row>
                    <xdr:rowOff>695325</xdr:rowOff>
                  </to>
                </anchor>
              </controlPr>
            </control>
          </mc:Choice>
        </mc:AlternateContent>
        <mc:AlternateContent xmlns:mc="http://schemas.openxmlformats.org/markup-compatibility/2006">
          <mc:Choice Requires="x14">
            <control shapeId="2057" r:id="rId138" name="Check Box 1033">
              <controlPr defaultSize="0" autoFill="0" autoLine="0" autoPict="0">
                <anchor moveWithCells="1">
                  <from>
                    <xdr:col>5</xdr:col>
                    <xdr:colOff>257175</xdr:colOff>
                    <xdr:row>90</xdr:row>
                    <xdr:rowOff>180975</xdr:rowOff>
                  </from>
                  <to>
                    <xdr:col>5</xdr:col>
                    <xdr:colOff>561975</xdr:colOff>
                    <xdr:row>91</xdr:row>
                    <xdr:rowOff>114300</xdr:rowOff>
                  </to>
                </anchor>
              </controlPr>
            </control>
          </mc:Choice>
        </mc:AlternateContent>
        <mc:AlternateContent xmlns:mc="http://schemas.openxmlformats.org/markup-compatibility/2006">
          <mc:Choice Requires="x14">
            <control shapeId="2060" r:id="rId139" name="Check Box 1036">
              <controlPr defaultSize="0" autoFill="0" autoLine="0" autoPict="0">
                <anchor moveWithCells="1">
                  <from>
                    <xdr:col>6</xdr:col>
                    <xdr:colOff>257175</xdr:colOff>
                    <xdr:row>90</xdr:row>
                    <xdr:rowOff>180975</xdr:rowOff>
                  </from>
                  <to>
                    <xdr:col>6</xdr:col>
                    <xdr:colOff>561975</xdr:colOff>
                    <xdr:row>91</xdr:row>
                    <xdr:rowOff>114300</xdr:rowOff>
                  </to>
                </anchor>
              </controlPr>
            </control>
          </mc:Choice>
        </mc:AlternateContent>
        <mc:AlternateContent xmlns:mc="http://schemas.openxmlformats.org/markup-compatibility/2006">
          <mc:Choice Requires="x14">
            <control shapeId="2111" r:id="rId140" name="Check Box 1087">
              <controlPr defaultSize="0" autoFill="0" autoLine="0" autoPict="0">
                <anchor moveWithCells="1">
                  <from>
                    <xdr:col>5</xdr:col>
                    <xdr:colOff>257175</xdr:colOff>
                    <xdr:row>90</xdr:row>
                    <xdr:rowOff>552450</xdr:rowOff>
                  </from>
                  <to>
                    <xdr:col>5</xdr:col>
                    <xdr:colOff>561975</xdr:colOff>
                    <xdr:row>91</xdr:row>
                    <xdr:rowOff>485775</xdr:rowOff>
                  </to>
                </anchor>
              </controlPr>
            </control>
          </mc:Choice>
        </mc:AlternateContent>
        <mc:AlternateContent xmlns:mc="http://schemas.openxmlformats.org/markup-compatibility/2006">
          <mc:Choice Requires="x14">
            <control shapeId="2114" r:id="rId141" name="Check Box 1090">
              <controlPr defaultSize="0" autoFill="0" autoLine="0" autoPict="0">
                <anchor moveWithCells="1">
                  <from>
                    <xdr:col>6</xdr:col>
                    <xdr:colOff>266700</xdr:colOff>
                    <xdr:row>90</xdr:row>
                    <xdr:rowOff>552450</xdr:rowOff>
                  </from>
                  <to>
                    <xdr:col>6</xdr:col>
                    <xdr:colOff>571500</xdr:colOff>
                    <xdr:row>91</xdr:row>
                    <xdr:rowOff>485775</xdr:rowOff>
                  </to>
                </anchor>
              </controlPr>
            </control>
          </mc:Choice>
        </mc:AlternateContent>
        <mc:AlternateContent xmlns:mc="http://schemas.openxmlformats.org/markup-compatibility/2006">
          <mc:Choice Requires="x14">
            <control shapeId="2147" r:id="rId142" name="Check Box 1123">
              <controlPr defaultSize="0" autoFill="0" autoLine="0" autoPict="0">
                <anchor moveWithCells="1">
                  <from>
                    <xdr:col>5</xdr:col>
                    <xdr:colOff>257175</xdr:colOff>
                    <xdr:row>93</xdr:row>
                    <xdr:rowOff>600075</xdr:rowOff>
                  </from>
                  <to>
                    <xdr:col>5</xdr:col>
                    <xdr:colOff>561975</xdr:colOff>
                    <xdr:row>94</xdr:row>
                    <xdr:rowOff>352425</xdr:rowOff>
                  </to>
                </anchor>
              </controlPr>
            </control>
          </mc:Choice>
        </mc:AlternateContent>
        <mc:AlternateContent xmlns:mc="http://schemas.openxmlformats.org/markup-compatibility/2006">
          <mc:Choice Requires="x14">
            <control shapeId="2150" r:id="rId143" name="Check Box 1126">
              <controlPr defaultSize="0" autoFill="0" autoLine="0" autoPict="0">
                <anchor moveWithCells="1">
                  <from>
                    <xdr:col>6</xdr:col>
                    <xdr:colOff>257175</xdr:colOff>
                    <xdr:row>93</xdr:row>
                    <xdr:rowOff>609600</xdr:rowOff>
                  </from>
                  <to>
                    <xdr:col>6</xdr:col>
                    <xdr:colOff>561975</xdr:colOff>
                    <xdr:row>94</xdr:row>
                    <xdr:rowOff>352425</xdr:rowOff>
                  </to>
                </anchor>
              </controlPr>
            </control>
          </mc:Choice>
        </mc:AlternateContent>
        <mc:AlternateContent xmlns:mc="http://schemas.openxmlformats.org/markup-compatibility/2006">
          <mc:Choice Requires="x14">
            <control shapeId="2183" r:id="rId144" name="Check Box 1159">
              <controlPr defaultSize="0" autoFill="0" autoLine="0" autoPict="0">
                <anchor moveWithCells="1">
                  <from>
                    <xdr:col>5</xdr:col>
                    <xdr:colOff>257175</xdr:colOff>
                    <xdr:row>95</xdr:row>
                    <xdr:rowOff>114300</xdr:rowOff>
                  </from>
                  <to>
                    <xdr:col>5</xdr:col>
                    <xdr:colOff>561975</xdr:colOff>
                    <xdr:row>95</xdr:row>
                    <xdr:rowOff>485775</xdr:rowOff>
                  </to>
                </anchor>
              </controlPr>
            </control>
          </mc:Choice>
        </mc:AlternateContent>
        <mc:AlternateContent xmlns:mc="http://schemas.openxmlformats.org/markup-compatibility/2006">
          <mc:Choice Requires="x14">
            <control shapeId="2186" r:id="rId145" name="Check Box 1162">
              <controlPr defaultSize="0" autoFill="0" autoLine="0" autoPict="0">
                <anchor moveWithCells="1">
                  <from>
                    <xdr:col>6</xdr:col>
                    <xdr:colOff>257175</xdr:colOff>
                    <xdr:row>95</xdr:row>
                    <xdr:rowOff>114300</xdr:rowOff>
                  </from>
                  <to>
                    <xdr:col>6</xdr:col>
                    <xdr:colOff>561975</xdr:colOff>
                    <xdr:row>95</xdr:row>
                    <xdr:rowOff>485775</xdr:rowOff>
                  </to>
                </anchor>
              </controlPr>
            </control>
          </mc:Choice>
        </mc:AlternateContent>
        <mc:AlternateContent xmlns:mc="http://schemas.openxmlformats.org/markup-compatibility/2006">
          <mc:Choice Requires="x14">
            <control shapeId="2267" r:id="rId146" name="Check Box 1243">
              <controlPr defaultSize="0" autoFill="0" autoLine="0" autoPict="0">
                <anchor moveWithCells="1">
                  <from>
                    <xdr:col>5</xdr:col>
                    <xdr:colOff>257175</xdr:colOff>
                    <xdr:row>96</xdr:row>
                    <xdr:rowOff>57150</xdr:rowOff>
                  </from>
                  <to>
                    <xdr:col>5</xdr:col>
                    <xdr:colOff>561975</xdr:colOff>
                    <xdr:row>97</xdr:row>
                    <xdr:rowOff>0</xdr:rowOff>
                  </to>
                </anchor>
              </controlPr>
            </control>
          </mc:Choice>
        </mc:AlternateContent>
        <mc:AlternateContent xmlns:mc="http://schemas.openxmlformats.org/markup-compatibility/2006">
          <mc:Choice Requires="x14">
            <control shapeId="2268" r:id="rId147" name="Check Box 1244">
              <controlPr defaultSize="0" autoFill="0" autoLine="0" autoPict="0">
                <anchor moveWithCells="1">
                  <from>
                    <xdr:col>6</xdr:col>
                    <xdr:colOff>257175</xdr:colOff>
                    <xdr:row>96</xdr:row>
                    <xdr:rowOff>66675</xdr:rowOff>
                  </from>
                  <to>
                    <xdr:col>6</xdr:col>
                    <xdr:colOff>561975</xdr:colOff>
                    <xdr:row>97</xdr:row>
                    <xdr:rowOff>0</xdr:rowOff>
                  </to>
                </anchor>
              </controlPr>
            </control>
          </mc:Choice>
        </mc:AlternateContent>
        <mc:AlternateContent xmlns:mc="http://schemas.openxmlformats.org/markup-compatibility/2006">
          <mc:Choice Requires="x14">
            <control shapeId="2271" r:id="rId148" name="Check Box 1247">
              <controlPr defaultSize="0" autoFill="0" autoLine="0" autoPict="0">
                <anchor moveWithCells="1">
                  <from>
                    <xdr:col>5</xdr:col>
                    <xdr:colOff>257175</xdr:colOff>
                    <xdr:row>31</xdr:row>
                    <xdr:rowOff>180975</xdr:rowOff>
                  </from>
                  <to>
                    <xdr:col>5</xdr:col>
                    <xdr:colOff>561975</xdr:colOff>
                    <xdr:row>33</xdr:row>
                    <xdr:rowOff>0</xdr:rowOff>
                  </to>
                </anchor>
              </controlPr>
            </control>
          </mc:Choice>
        </mc:AlternateContent>
        <mc:AlternateContent xmlns:mc="http://schemas.openxmlformats.org/markup-compatibility/2006">
          <mc:Choice Requires="x14">
            <control shapeId="2273" r:id="rId149" name="Check Box 1249">
              <controlPr defaultSize="0" autoFill="0" autoLine="0" autoPict="0">
                <anchor moveWithCells="1">
                  <from>
                    <xdr:col>6</xdr:col>
                    <xdr:colOff>257175</xdr:colOff>
                    <xdr:row>31</xdr:row>
                    <xdr:rowOff>180975</xdr:rowOff>
                  </from>
                  <to>
                    <xdr:col>6</xdr:col>
                    <xdr:colOff>561975</xdr:colOff>
                    <xdr:row>33</xdr:row>
                    <xdr:rowOff>0</xdr:rowOff>
                  </to>
                </anchor>
              </controlPr>
            </control>
          </mc:Choice>
        </mc:AlternateContent>
        <mc:AlternateContent xmlns:mc="http://schemas.openxmlformats.org/markup-compatibility/2006">
          <mc:Choice Requires="x14">
            <control shapeId="2275" r:id="rId150" name="Check Box 1251">
              <controlPr defaultSize="0" autoFill="0" autoLine="0" autoPict="0">
                <anchor moveWithCells="1">
                  <from>
                    <xdr:col>5</xdr:col>
                    <xdr:colOff>219075</xdr:colOff>
                    <xdr:row>92</xdr:row>
                    <xdr:rowOff>371475</xdr:rowOff>
                  </from>
                  <to>
                    <xdr:col>5</xdr:col>
                    <xdr:colOff>523875</xdr:colOff>
                    <xdr:row>93</xdr:row>
                    <xdr:rowOff>133350</xdr:rowOff>
                  </to>
                </anchor>
              </controlPr>
            </control>
          </mc:Choice>
        </mc:AlternateContent>
        <mc:AlternateContent xmlns:mc="http://schemas.openxmlformats.org/markup-compatibility/2006">
          <mc:Choice Requires="x14">
            <control shapeId="2276" r:id="rId151" name="Check Box 1252">
              <controlPr defaultSize="0" autoFill="0" autoLine="0" autoPict="0">
                <anchor moveWithCells="1">
                  <from>
                    <xdr:col>6</xdr:col>
                    <xdr:colOff>247650</xdr:colOff>
                    <xdr:row>92</xdr:row>
                    <xdr:rowOff>361950</xdr:rowOff>
                  </from>
                  <to>
                    <xdr:col>6</xdr:col>
                    <xdr:colOff>552450</xdr:colOff>
                    <xdr:row>93</xdr:row>
                    <xdr:rowOff>123825</xdr:rowOff>
                  </to>
                </anchor>
              </controlPr>
            </control>
          </mc:Choice>
        </mc:AlternateContent>
        <mc:AlternateContent xmlns:mc="http://schemas.openxmlformats.org/markup-compatibility/2006">
          <mc:Choice Requires="x14">
            <control shapeId="2289" r:id="rId152" name="Check Box 1265">
              <controlPr defaultSize="0" autoFill="0" autoLine="0" autoPict="0">
                <anchor moveWithCells="1">
                  <from>
                    <xdr:col>5</xdr:col>
                    <xdr:colOff>257175</xdr:colOff>
                    <xdr:row>21</xdr:row>
                    <xdr:rowOff>0</xdr:rowOff>
                  </from>
                  <to>
                    <xdr:col>5</xdr:col>
                    <xdr:colOff>561975</xdr:colOff>
                    <xdr:row>21</xdr:row>
                    <xdr:rowOff>219075</xdr:rowOff>
                  </to>
                </anchor>
              </controlPr>
            </control>
          </mc:Choice>
        </mc:AlternateContent>
        <mc:AlternateContent xmlns:mc="http://schemas.openxmlformats.org/markup-compatibility/2006">
          <mc:Choice Requires="x14">
            <control shapeId="2290" r:id="rId153" name="Check Box 1266">
              <controlPr defaultSize="0" autoFill="0" autoLine="0" autoPict="0">
                <anchor moveWithCells="1">
                  <from>
                    <xdr:col>5</xdr:col>
                    <xdr:colOff>257175</xdr:colOff>
                    <xdr:row>21</xdr:row>
                    <xdr:rowOff>0</xdr:rowOff>
                  </from>
                  <to>
                    <xdr:col>5</xdr:col>
                    <xdr:colOff>561975</xdr:colOff>
                    <xdr:row>21</xdr:row>
                    <xdr:rowOff>219075</xdr:rowOff>
                  </to>
                </anchor>
              </controlPr>
            </control>
          </mc:Choice>
        </mc:AlternateContent>
        <mc:AlternateContent xmlns:mc="http://schemas.openxmlformats.org/markup-compatibility/2006">
          <mc:Choice Requires="x14">
            <control shapeId="2291" r:id="rId154" name="Check Box 1267">
              <controlPr defaultSize="0" autoFill="0" autoLine="0" autoPict="0">
                <anchor moveWithCells="1">
                  <from>
                    <xdr:col>6</xdr:col>
                    <xdr:colOff>257175</xdr:colOff>
                    <xdr:row>21</xdr:row>
                    <xdr:rowOff>0</xdr:rowOff>
                  </from>
                  <to>
                    <xdr:col>6</xdr:col>
                    <xdr:colOff>561975</xdr:colOff>
                    <xdr:row>21</xdr:row>
                    <xdr:rowOff>219075</xdr:rowOff>
                  </to>
                </anchor>
              </controlPr>
            </control>
          </mc:Choice>
        </mc:AlternateContent>
        <mc:AlternateContent xmlns:mc="http://schemas.openxmlformats.org/markup-compatibility/2006">
          <mc:Choice Requires="x14">
            <control shapeId="2292" r:id="rId155" name="Check Box 1268">
              <controlPr defaultSize="0" autoFill="0" autoLine="0" autoPict="0">
                <anchor moveWithCells="1">
                  <from>
                    <xdr:col>6</xdr:col>
                    <xdr:colOff>257175</xdr:colOff>
                    <xdr:row>21</xdr:row>
                    <xdr:rowOff>0</xdr:rowOff>
                  </from>
                  <to>
                    <xdr:col>6</xdr:col>
                    <xdr:colOff>561975</xdr:colOff>
                    <xdr:row>21</xdr:row>
                    <xdr:rowOff>219075</xdr:rowOff>
                  </to>
                </anchor>
              </controlPr>
            </control>
          </mc:Choice>
        </mc:AlternateContent>
        <mc:AlternateContent xmlns:mc="http://schemas.openxmlformats.org/markup-compatibility/2006">
          <mc:Choice Requires="x14">
            <control shapeId="2296" r:id="rId156" name="Check Box 1272">
              <controlPr defaultSize="0" autoFill="0" autoLine="0" autoPict="0">
                <anchor moveWithCells="1">
                  <from>
                    <xdr:col>5</xdr:col>
                    <xdr:colOff>257175</xdr:colOff>
                    <xdr:row>44</xdr:row>
                    <xdr:rowOff>133350</xdr:rowOff>
                  </from>
                  <to>
                    <xdr:col>5</xdr:col>
                    <xdr:colOff>561975</xdr:colOff>
                    <xdr:row>45</xdr:row>
                    <xdr:rowOff>104775</xdr:rowOff>
                  </to>
                </anchor>
              </controlPr>
            </control>
          </mc:Choice>
        </mc:AlternateContent>
        <mc:AlternateContent xmlns:mc="http://schemas.openxmlformats.org/markup-compatibility/2006">
          <mc:Choice Requires="x14">
            <control shapeId="2297" r:id="rId157" name="Check Box 1273">
              <controlPr defaultSize="0" autoFill="0" autoLine="0" autoPict="0">
                <anchor moveWithCells="1">
                  <from>
                    <xdr:col>6</xdr:col>
                    <xdr:colOff>257175</xdr:colOff>
                    <xdr:row>44</xdr:row>
                    <xdr:rowOff>133350</xdr:rowOff>
                  </from>
                  <to>
                    <xdr:col>6</xdr:col>
                    <xdr:colOff>561975</xdr:colOff>
                    <xdr:row>45</xdr:row>
                    <xdr:rowOff>104775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rgb="FF99FF99"/>
    <pageSetUpPr fitToPage="1"/>
  </sheetPr>
  <dimension ref="A1:BB190"/>
  <sheetViews>
    <sheetView showGridLines="0" view="pageBreakPreview" topLeftCell="A34" zoomScale="90" zoomScaleNormal="75" zoomScaleSheetLayoutView="90" workbookViewId="0">
      <selection activeCell="D3" sqref="D3"/>
    </sheetView>
  </sheetViews>
  <sheetFormatPr defaultRowHeight="12.75"/>
  <cols>
    <col min="1" max="1" width="9.140625" style="1430" customWidth="1"/>
    <col min="2" max="2" width="20" style="1324" customWidth="1"/>
    <col min="3" max="3" width="22.7109375" style="1324" customWidth="1"/>
    <col min="4" max="4" width="15.7109375" style="1324" customWidth="1"/>
    <col min="5" max="5" width="18" style="1324" customWidth="1"/>
    <col min="6" max="6" width="30.7109375" style="1324" customWidth="1"/>
    <col min="7" max="7" width="10.7109375" style="1324" customWidth="1"/>
    <col min="8" max="8" width="6.28515625" style="1324" customWidth="1"/>
    <col min="9" max="9" width="11" style="1324" customWidth="1"/>
    <col min="10" max="10" width="33.5703125" style="1324" customWidth="1"/>
    <col min="11" max="11" width="9.7109375" style="1430" customWidth="1"/>
    <col min="12" max="12" width="63.28515625" style="1324" bestFit="1" customWidth="1"/>
    <col min="13" max="13" width="21.42578125" style="1324" bestFit="1" customWidth="1"/>
    <col min="14" max="14" width="16.140625" style="1324" bestFit="1" customWidth="1"/>
    <col min="15" max="17" width="9.7109375" style="1324" customWidth="1"/>
    <col min="18" max="18" width="9.7109375" style="1324" hidden="1" customWidth="1"/>
    <col min="19" max="19" width="9.7109375" style="1324" customWidth="1"/>
    <col min="20" max="16384" width="9.140625" style="1324"/>
  </cols>
  <sheetData>
    <row r="1" spans="1:54" ht="26.25" customHeight="1">
      <c r="A1" s="1534" t="s">
        <v>1408</v>
      </c>
      <c r="B1" s="1138"/>
      <c r="C1" s="1137"/>
      <c r="D1" s="1138"/>
      <c r="E1" s="1138"/>
      <c r="F1" s="1140"/>
      <c r="G1" s="1138"/>
      <c r="H1" s="795"/>
      <c r="I1" s="795"/>
      <c r="J1" s="795"/>
      <c r="K1" s="1324"/>
    </row>
    <row r="2" spans="1:54" ht="26.25" customHeight="1">
      <c r="A2" s="1324"/>
      <c r="B2" s="1138"/>
      <c r="C2" s="1137" t="str">
        <f>'1.1 - APPLIANCES'!C2</f>
        <v>MULTIFAMILY PERFORMANCE PROGRAM</v>
      </c>
      <c r="D2" s="1138"/>
      <c r="E2" s="1138"/>
      <c r="F2" s="1140"/>
      <c r="G2" s="1138"/>
      <c r="H2" s="795"/>
      <c r="I2" s="795"/>
      <c r="J2" s="795"/>
      <c r="K2" s="1324"/>
    </row>
    <row r="3" spans="1:54" ht="26.25" customHeight="1">
      <c r="A3" s="1324"/>
      <c r="B3" s="1138"/>
      <c r="C3" s="1139" t="s">
        <v>368</v>
      </c>
      <c r="D3" s="1139">
        <f>'Project Info'!C3</f>
        <v>0</v>
      </c>
      <c r="E3" s="1138"/>
      <c r="F3" s="1140"/>
      <c r="G3" s="1138"/>
      <c r="H3" s="795"/>
      <c r="I3" s="795"/>
      <c r="J3" s="795"/>
      <c r="K3" s="1324"/>
    </row>
    <row r="4" spans="1:54" ht="26.25" customHeight="1">
      <c r="B4" s="1138"/>
      <c r="C4" s="1138"/>
      <c r="D4" s="1139"/>
      <c r="E4" s="1138"/>
      <c r="F4" s="1140"/>
      <c r="G4" s="1138"/>
      <c r="H4" s="795"/>
      <c r="I4" s="795"/>
      <c r="J4" s="795"/>
    </row>
    <row r="5" spans="1:54" s="1532" customFormat="1" ht="15.75">
      <c r="A5" s="1540"/>
      <c r="B5" s="1141" t="s">
        <v>1462</v>
      </c>
      <c r="C5" s="1142"/>
      <c r="D5" s="1142"/>
      <c r="E5" s="1143"/>
      <c r="F5" s="1166"/>
      <c r="G5" s="1167"/>
      <c r="H5" s="2721" t="s">
        <v>1411</v>
      </c>
      <c r="I5" s="2722"/>
      <c r="J5" s="1352" t="s">
        <v>1412</v>
      </c>
      <c r="K5" s="1533"/>
      <c r="L5" s="1533"/>
      <c r="M5" s="1533"/>
      <c r="N5" s="1533"/>
      <c r="O5" s="1533"/>
      <c r="P5" s="1533"/>
      <c r="Q5" s="1533"/>
      <c r="R5" s="1533"/>
      <c r="S5" s="1533"/>
      <c r="T5" s="1533"/>
      <c r="U5" s="1533"/>
      <c r="V5" s="1533"/>
      <c r="W5" s="1533"/>
      <c r="X5" s="1533"/>
      <c r="Y5" s="1533"/>
      <c r="Z5" s="1533"/>
      <c r="AA5" s="1533"/>
      <c r="AB5" s="1533"/>
      <c r="AC5" s="1533"/>
      <c r="AD5" s="1533"/>
      <c r="AE5" s="1533"/>
      <c r="AF5" s="1533"/>
      <c r="AG5" s="1533"/>
      <c r="AH5" s="1533"/>
      <c r="AI5" s="1533"/>
      <c r="AJ5" s="1533"/>
      <c r="AK5" s="1533"/>
      <c r="AL5" s="1533"/>
      <c r="AM5" s="1533"/>
      <c r="AN5" s="1533"/>
      <c r="AO5" s="1533"/>
      <c r="AP5" s="1533"/>
      <c r="AQ5" s="1533"/>
      <c r="AR5" s="1533"/>
      <c r="AS5" s="1533"/>
      <c r="AT5" s="1533"/>
      <c r="AU5" s="1533"/>
      <c r="AV5" s="1533"/>
      <c r="AW5" s="1533"/>
      <c r="AX5" s="1533"/>
      <c r="AY5" s="1533"/>
      <c r="AZ5" s="1533"/>
      <c r="BA5" s="1533"/>
      <c r="BB5" s="1533"/>
    </row>
    <row r="6" spans="1:54">
      <c r="B6" s="1168"/>
      <c r="C6" s="1149"/>
      <c r="D6" s="1144"/>
      <c r="E6" s="1144"/>
      <c r="F6" s="1144"/>
      <c r="G6" s="1144"/>
      <c r="H6" s="2727" t="s">
        <v>1413</v>
      </c>
      <c r="I6" s="2745"/>
      <c r="J6" s="900"/>
      <c r="L6" s="1430"/>
      <c r="M6" s="1430"/>
      <c r="N6" s="1430"/>
      <c r="O6" s="1430"/>
      <c r="P6" s="1430"/>
      <c r="Q6" s="1430"/>
      <c r="R6" s="1430"/>
      <c r="S6" s="1430"/>
      <c r="T6" s="1430"/>
      <c r="U6" s="1430"/>
      <c r="V6" s="1430"/>
      <c r="W6" s="1430"/>
      <c r="X6" s="1430"/>
      <c r="Y6" s="1430"/>
      <c r="Z6" s="1430"/>
      <c r="AA6" s="1430"/>
      <c r="AB6" s="1430"/>
      <c r="AC6" s="1430"/>
      <c r="AD6" s="1430"/>
      <c r="AE6" s="1430"/>
      <c r="AF6" s="1430"/>
      <c r="AG6" s="1430"/>
      <c r="AH6" s="1430"/>
      <c r="AI6" s="1430"/>
      <c r="AJ6" s="1430"/>
      <c r="AK6" s="1430"/>
      <c r="AL6" s="1430"/>
      <c r="AM6" s="1430"/>
      <c r="AN6" s="1430"/>
      <c r="AO6" s="1430"/>
      <c r="AP6" s="1430"/>
      <c r="AQ6" s="1430"/>
      <c r="AR6" s="1430"/>
      <c r="AS6" s="1430"/>
      <c r="AT6" s="1430"/>
      <c r="AU6" s="1430"/>
      <c r="AV6" s="1430"/>
      <c r="AW6" s="1430"/>
      <c r="AX6" s="1430"/>
      <c r="AY6" s="1430"/>
      <c r="AZ6" s="1430"/>
      <c r="BA6" s="1430"/>
      <c r="BB6" s="1430"/>
    </row>
    <row r="7" spans="1:54">
      <c r="B7" s="1168"/>
      <c r="C7" s="1149"/>
      <c r="D7" s="1144"/>
      <c r="E7" s="1144"/>
      <c r="F7" s="1144"/>
      <c r="G7" s="1144"/>
      <c r="H7" s="2731"/>
      <c r="I7" s="2732"/>
      <c r="J7" s="890"/>
      <c r="L7" s="1430"/>
      <c r="M7" s="1430"/>
      <c r="N7" s="1430"/>
      <c r="O7" s="1430"/>
      <c r="P7" s="1430"/>
      <c r="Q7" s="1430"/>
      <c r="R7" s="1430"/>
      <c r="S7" s="1430"/>
      <c r="T7" s="1430"/>
      <c r="U7" s="1430"/>
      <c r="V7" s="1430"/>
      <c r="W7" s="1430"/>
      <c r="X7" s="1430"/>
      <c r="Y7" s="1430"/>
      <c r="Z7" s="1430"/>
      <c r="AA7" s="1430"/>
      <c r="AB7" s="1430"/>
      <c r="AC7" s="1430"/>
      <c r="AD7" s="1430"/>
      <c r="AE7" s="1430"/>
      <c r="AF7" s="1430"/>
      <c r="AG7" s="1430"/>
      <c r="AH7" s="1430"/>
      <c r="AI7" s="1430"/>
      <c r="AJ7" s="1430"/>
      <c r="AK7" s="1430"/>
      <c r="AL7" s="1430"/>
      <c r="AM7" s="1430"/>
      <c r="AN7" s="1430"/>
      <c r="AO7" s="1430"/>
      <c r="AP7" s="1430"/>
      <c r="AQ7" s="1430"/>
      <c r="AR7" s="1430"/>
      <c r="AS7" s="1430"/>
      <c r="AT7" s="1430"/>
      <c r="AU7" s="1430"/>
      <c r="AV7" s="1430"/>
      <c r="AW7" s="1430"/>
      <c r="AX7" s="1430"/>
      <c r="AY7" s="1430"/>
      <c r="AZ7" s="1430"/>
      <c r="BA7" s="1430"/>
      <c r="BB7" s="1430"/>
    </row>
    <row r="8" spans="1:54">
      <c r="B8" s="1148" t="s">
        <v>1414</v>
      </c>
      <c r="C8" s="1169"/>
      <c r="D8" s="1170"/>
      <c r="E8" s="1170"/>
      <c r="F8" s="1170"/>
      <c r="G8" s="1170"/>
      <c r="H8" s="2731"/>
      <c r="I8" s="2732"/>
      <c r="J8" s="890"/>
      <c r="L8" s="1430"/>
      <c r="M8" s="1430"/>
      <c r="N8" s="1430"/>
      <c r="O8" s="1430"/>
      <c r="P8" s="1430"/>
      <c r="Q8" s="1430"/>
      <c r="R8" s="1430"/>
      <c r="S8" s="1430"/>
      <c r="T8" s="1430"/>
      <c r="U8" s="1430"/>
      <c r="V8" s="1430"/>
      <c r="W8" s="1430"/>
      <c r="X8" s="1430"/>
      <c r="Y8" s="1430"/>
      <c r="Z8" s="1430"/>
      <c r="AA8" s="1430"/>
      <c r="AB8" s="1430"/>
      <c r="AC8" s="1430"/>
      <c r="AD8" s="1430"/>
      <c r="AE8" s="1430"/>
      <c r="AF8" s="1430"/>
      <c r="AG8" s="1430"/>
      <c r="AH8" s="1430"/>
      <c r="AI8" s="1430"/>
      <c r="AJ8" s="1430"/>
      <c r="AK8" s="1430"/>
      <c r="AL8" s="1430"/>
      <c r="AM8" s="1430"/>
      <c r="AN8" s="1430"/>
      <c r="AO8" s="1430"/>
      <c r="AP8" s="1430"/>
      <c r="AQ8" s="1430"/>
      <c r="AR8" s="1430"/>
      <c r="AS8" s="1430"/>
      <c r="AT8" s="1430"/>
      <c r="AU8" s="1430"/>
      <c r="AV8" s="1430"/>
      <c r="AW8" s="1430"/>
      <c r="AX8" s="1430"/>
      <c r="AY8" s="1430"/>
      <c r="AZ8" s="1430"/>
      <c r="BA8" s="1430"/>
      <c r="BB8" s="1430"/>
    </row>
    <row r="9" spans="1:54" ht="29.25" customHeight="1">
      <c r="B9" s="2673" t="s">
        <v>1463</v>
      </c>
      <c r="C9" s="2673"/>
      <c r="D9" s="2673"/>
      <c r="E9" s="2673"/>
      <c r="F9" s="2673"/>
      <c r="G9" s="2673"/>
      <c r="H9" s="1529"/>
      <c r="I9" s="1529"/>
      <c r="J9" s="1530"/>
      <c r="L9" s="1430"/>
      <c r="M9" s="1430"/>
      <c r="N9" s="1430"/>
      <c r="O9" s="1430"/>
      <c r="P9" s="1430"/>
      <c r="Q9" s="1430"/>
      <c r="R9" s="1430"/>
      <c r="S9" s="1430"/>
      <c r="T9" s="1430"/>
      <c r="U9" s="1430"/>
      <c r="V9" s="1430"/>
      <c r="W9" s="1430"/>
      <c r="X9" s="1430"/>
      <c r="Y9" s="1430"/>
      <c r="Z9" s="1430"/>
      <c r="AA9" s="1430"/>
      <c r="AB9" s="1430"/>
      <c r="AC9" s="1430"/>
      <c r="AD9" s="1430"/>
      <c r="AE9" s="1430"/>
      <c r="AF9" s="1430"/>
      <c r="AG9" s="1430"/>
      <c r="AH9" s="1430"/>
      <c r="AI9" s="1430"/>
      <c r="AJ9" s="1430"/>
      <c r="AK9" s="1430"/>
      <c r="AL9" s="1430"/>
      <c r="AM9" s="1430"/>
      <c r="AN9" s="1430"/>
      <c r="AO9" s="1430"/>
      <c r="AP9" s="1430"/>
      <c r="AQ9" s="1430"/>
      <c r="AR9" s="1430"/>
      <c r="AS9" s="1430"/>
      <c r="AT9" s="1430"/>
      <c r="AU9" s="1430"/>
      <c r="AV9" s="1430"/>
      <c r="AW9" s="1430"/>
      <c r="AX9" s="1430"/>
      <c r="AY9" s="1430"/>
      <c r="AZ9" s="1430"/>
      <c r="BA9" s="1430"/>
      <c r="BB9" s="1430"/>
    </row>
    <row r="10" spans="1:54" ht="26.25" customHeight="1">
      <c r="A10" s="1552"/>
      <c r="B10" s="2673" t="s">
        <v>1464</v>
      </c>
      <c r="C10" s="2673"/>
      <c r="D10" s="2673"/>
      <c r="E10" s="2673"/>
      <c r="F10" s="2673"/>
      <c r="G10" s="2673"/>
      <c r="H10" s="1529"/>
      <c r="I10" s="1529"/>
      <c r="J10" s="1530"/>
      <c r="K10" s="1552"/>
      <c r="L10" s="1430"/>
      <c r="M10" s="1430"/>
      <c r="N10" s="1430"/>
      <c r="O10" s="1430"/>
      <c r="P10" s="1430"/>
      <c r="Q10" s="1430"/>
      <c r="R10" s="1430"/>
      <c r="S10" s="1430"/>
      <c r="T10" s="1430"/>
      <c r="U10" s="1430"/>
      <c r="V10" s="1430"/>
      <c r="W10" s="1430"/>
      <c r="X10" s="1430"/>
      <c r="Y10" s="1430"/>
      <c r="Z10" s="1430"/>
      <c r="AA10" s="1430"/>
      <c r="AB10" s="1430"/>
      <c r="AC10" s="1430"/>
      <c r="AD10" s="1430"/>
      <c r="AE10" s="1430"/>
      <c r="AF10" s="1430"/>
      <c r="AG10" s="1430"/>
      <c r="AH10" s="1430"/>
      <c r="AI10" s="1430"/>
      <c r="AJ10" s="1430"/>
      <c r="AK10" s="1430"/>
      <c r="AL10" s="1430"/>
      <c r="AM10" s="1430"/>
      <c r="AN10" s="1430"/>
      <c r="AO10" s="1430"/>
      <c r="AP10" s="1430"/>
      <c r="AQ10" s="1430"/>
      <c r="AR10" s="1430"/>
      <c r="AS10" s="1430"/>
      <c r="AT10" s="1430"/>
      <c r="AU10" s="1430"/>
      <c r="AV10" s="1430"/>
      <c r="AW10" s="1430"/>
      <c r="AX10" s="1430"/>
      <c r="AY10" s="1430"/>
      <c r="AZ10" s="1430"/>
      <c r="BA10" s="1430"/>
    </row>
    <row r="11" spans="1:54" ht="34.5" customHeight="1">
      <c r="B11" s="2673" t="s">
        <v>1465</v>
      </c>
      <c r="C11" s="2673"/>
      <c r="D11" s="2673"/>
      <c r="E11" s="2673"/>
      <c r="F11" s="2673"/>
      <c r="G11" s="2673"/>
      <c r="H11" s="1529"/>
      <c r="I11" s="1529"/>
      <c r="J11" s="1530"/>
      <c r="L11" s="1430"/>
      <c r="M11" s="1430"/>
      <c r="N11" s="1430"/>
      <c r="O11" s="1430"/>
      <c r="P11" s="1430"/>
      <c r="Q11" s="1430"/>
      <c r="R11" s="1430"/>
      <c r="S11" s="1430"/>
      <c r="T11" s="1430"/>
      <c r="U11" s="1430"/>
      <c r="V11" s="1430"/>
      <c r="W11" s="1430"/>
      <c r="X11" s="1430"/>
      <c r="Y11" s="1430"/>
      <c r="Z11" s="1430"/>
      <c r="AA11" s="1430"/>
      <c r="AB11" s="1430"/>
      <c r="AC11" s="1430"/>
      <c r="AD11" s="1430"/>
      <c r="AE11" s="1430"/>
      <c r="AF11" s="1430"/>
      <c r="AG11" s="1430"/>
      <c r="AH11" s="1430"/>
      <c r="AI11" s="1430"/>
      <c r="AJ11" s="1430"/>
      <c r="AK11" s="1430"/>
      <c r="AL11" s="1430"/>
      <c r="AM11" s="1430"/>
      <c r="AN11" s="1430"/>
      <c r="AO11" s="1430"/>
      <c r="AP11" s="1430"/>
      <c r="AQ11" s="1430"/>
      <c r="AR11" s="1430"/>
      <c r="AS11" s="1430"/>
      <c r="AT11" s="1430"/>
      <c r="AU11" s="1430"/>
      <c r="AV11" s="1430"/>
      <c r="AW11" s="1430"/>
      <c r="AX11" s="1430"/>
      <c r="AY11" s="1430"/>
      <c r="AZ11" s="1430"/>
      <c r="BA11" s="1430"/>
      <c r="BB11" s="1430"/>
    </row>
    <row r="12" spans="1:54">
      <c r="B12" s="1170"/>
      <c r="C12" s="1169"/>
      <c r="D12" s="1170"/>
      <c r="E12" s="1170"/>
      <c r="F12" s="1170"/>
      <c r="G12" s="1170"/>
      <c r="H12" s="1529"/>
      <c r="I12" s="1529"/>
      <c r="J12" s="1530"/>
    </row>
    <row r="13" spans="1:54">
      <c r="B13" s="1148" t="s">
        <v>1416</v>
      </c>
      <c r="C13" s="1169"/>
      <c r="D13" s="1170"/>
      <c r="E13" s="1170"/>
      <c r="F13" s="1170"/>
      <c r="G13" s="1170"/>
      <c r="H13" s="1529"/>
      <c r="I13" s="1529"/>
      <c r="J13" s="1530"/>
    </row>
    <row r="14" spans="1:54">
      <c r="B14" s="1170" t="s">
        <v>1417</v>
      </c>
      <c r="C14" s="1169"/>
      <c r="D14" s="1170"/>
      <c r="E14" s="1170"/>
      <c r="F14" s="1170"/>
      <c r="G14" s="1170"/>
      <c r="H14" s="1529"/>
      <c r="I14" s="1529"/>
      <c r="J14" s="1529"/>
    </row>
    <row r="15" spans="1:54" ht="14.25" customHeight="1">
      <c r="B15" s="1171" t="s">
        <v>1466</v>
      </c>
      <c r="C15" s="1169"/>
      <c r="D15" s="1170"/>
      <c r="E15" s="1170"/>
      <c r="F15" s="1170"/>
      <c r="G15" s="1170"/>
      <c r="H15" s="1529"/>
      <c r="I15" s="1529"/>
      <c r="J15" s="1529"/>
      <c r="L15" s="1172" t="s">
        <v>1467</v>
      </c>
      <c r="M15" s="1173" t="s">
        <v>1468</v>
      </c>
      <c r="N15" s="1172" t="s">
        <v>1469</v>
      </c>
    </row>
    <row r="16" spans="1:54">
      <c r="B16" s="1171" t="s">
        <v>1470</v>
      </c>
      <c r="C16" s="1169"/>
      <c r="D16" s="1170"/>
      <c r="E16" s="1170"/>
      <c r="F16" s="1170"/>
      <c r="G16" s="1170"/>
      <c r="H16" s="1529"/>
      <c r="I16" s="1529"/>
      <c r="J16" s="1529"/>
      <c r="L16" s="1174" t="s">
        <v>1471</v>
      </c>
      <c r="M16" s="1175">
        <v>5</v>
      </c>
      <c r="N16" s="1174" t="s">
        <v>1472</v>
      </c>
    </row>
    <row r="17" spans="1:18">
      <c r="B17" s="1171" t="s">
        <v>1473</v>
      </c>
      <c r="C17" s="1169"/>
      <c r="D17" s="1170"/>
      <c r="E17" s="1170"/>
      <c r="F17" s="1170"/>
      <c r="G17" s="1170"/>
      <c r="H17" s="1529"/>
      <c r="I17" s="1529"/>
      <c r="J17" s="1529"/>
      <c r="L17" s="1174" t="s">
        <v>1474</v>
      </c>
      <c r="M17" s="1176">
        <v>5.6</v>
      </c>
      <c r="N17" s="1174" t="s">
        <v>1475</v>
      </c>
    </row>
    <row r="18" spans="1:18">
      <c r="B18" s="1170"/>
      <c r="C18" s="1169"/>
      <c r="D18" s="1170"/>
      <c r="E18" s="1170"/>
      <c r="F18" s="1170"/>
      <c r="G18" s="1170"/>
      <c r="H18" s="1529"/>
      <c r="I18" s="1529"/>
      <c r="J18" s="1529"/>
      <c r="L18" s="1174" t="s">
        <v>1476</v>
      </c>
      <c r="M18" s="1176">
        <v>3.4</v>
      </c>
      <c r="N18" s="1174" t="s">
        <v>1477</v>
      </c>
    </row>
    <row r="19" spans="1:18">
      <c r="B19" s="1148" t="s">
        <v>1420</v>
      </c>
      <c r="C19" s="1169"/>
      <c r="D19" s="1170"/>
      <c r="E19" s="1170"/>
      <c r="F19" s="1170"/>
      <c r="G19" s="1170"/>
      <c r="H19" s="1144"/>
      <c r="I19" s="1144"/>
      <c r="J19" s="1144"/>
      <c r="L19" s="1174" t="s">
        <v>1478</v>
      </c>
      <c r="M19" s="1176">
        <v>3.4</v>
      </c>
      <c r="N19" s="1174" t="s">
        <v>1477</v>
      </c>
    </row>
    <row r="20" spans="1:18" ht="30" customHeight="1">
      <c r="A20" s="1525"/>
      <c r="B20" s="2673" t="s">
        <v>1479</v>
      </c>
      <c r="C20" s="2673"/>
      <c r="D20" s="2673"/>
      <c r="E20" s="2673"/>
      <c r="F20" s="2673"/>
      <c r="G20" s="2673"/>
      <c r="H20" s="2673"/>
      <c r="I20" s="2673"/>
      <c r="J20" s="2673"/>
      <c r="L20" s="1177" t="s">
        <v>1480</v>
      </c>
      <c r="M20" s="1175">
        <v>3.2</v>
      </c>
      <c r="N20" s="1174" t="s">
        <v>1477</v>
      </c>
    </row>
    <row r="21" spans="1:18" ht="55.5" customHeight="1">
      <c r="A21" s="1525"/>
      <c r="B21" s="2673" t="s">
        <v>1481</v>
      </c>
      <c r="C21" s="2673"/>
      <c r="D21" s="2673"/>
      <c r="E21" s="2673"/>
      <c r="F21" s="2673"/>
      <c r="G21" s="2673"/>
      <c r="H21" s="2673"/>
      <c r="I21" s="2673"/>
      <c r="J21" s="2673"/>
      <c r="L21" s="1177" t="s">
        <v>1482</v>
      </c>
      <c r="M21" s="1175" t="s">
        <v>1483</v>
      </c>
      <c r="N21" s="1174" t="s">
        <v>1477</v>
      </c>
    </row>
    <row r="22" spans="1:18" ht="39.75" customHeight="1">
      <c r="B22" s="2673" t="s">
        <v>1484</v>
      </c>
      <c r="C22" s="2673"/>
      <c r="D22" s="2673"/>
      <c r="E22" s="2673"/>
      <c r="F22" s="2673"/>
      <c r="G22" s="2673"/>
      <c r="H22" s="2673"/>
      <c r="I22" s="2673"/>
      <c r="J22" s="2673"/>
      <c r="L22" s="1177" t="s">
        <v>1485</v>
      </c>
      <c r="M22" s="1175">
        <v>3.2</v>
      </c>
      <c r="N22" s="1174" t="s">
        <v>1477</v>
      </c>
    </row>
    <row r="23" spans="1:18" ht="15.75" customHeight="1">
      <c r="B23" s="2743" t="s">
        <v>1486</v>
      </c>
      <c r="C23" s="2743"/>
      <c r="D23" s="2743"/>
      <c r="E23" s="2743"/>
      <c r="F23" s="2743"/>
      <c r="G23" s="2743"/>
      <c r="H23" s="1144"/>
      <c r="I23" s="1144"/>
      <c r="J23" s="1144"/>
      <c r="K23" s="1552"/>
      <c r="L23" s="1174" t="s">
        <v>1487</v>
      </c>
      <c r="M23" s="1176">
        <v>6.5</v>
      </c>
      <c r="N23" s="1174" t="s">
        <v>1488</v>
      </c>
      <c r="O23" s="1528"/>
      <c r="P23" s="1528"/>
      <c r="Q23" s="1528"/>
      <c r="R23" s="1528"/>
    </row>
    <row r="24" spans="1:18" s="1578" customFormat="1" ht="63" customHeight="1">
      <c r="A24" s="1582"/>
      <c r="B24" s="2716" t="s">
        <v>1489</v>
      </c>
      <c r="C24" s="2744"/>
      <c r="D24" s="2744"/>
      <c r="E24" s="2744"/>
      <c r="F24" s="2744"/>
      <c r="G24" s="2744"/>
      <c r="H24" s="1581"/>
      <c r="I24" s="1581"/>
      <c r="J24" s="1581"/>
      <c r="K24" s="1580"/>
      <c r="L24" s="1174" t="s">
        <v>1490</v>
      </c>
      <c r="M24" s="1175">
        <v>4</v>
      </c>
      <c r="N24" s="1174" t="s">
        <v>1491</v>
      </c>
      <c r="O24" s="1579"/>
      <c r="P24" s="1579"/>
      <c r="Q24" s="1579"/>
      <c r="R24" s="1579"/>
    </row>
    <row r="25" spans="1:18">
      <c r="A25" s="795"/>
      <c r="B25" s="2740"/>
      <c r="C25" s="2740"/>
      <c r="D25" s="2740"/>
      <c r="E25" s="1577"/>
      <c r="F25" s="1546"/>
      <c r="G25" s="1576"/>
      <c r="H25" s="1545"/>
      <c r="I25" s="1545"/>
      <c r="J25" s="1544"/>
      <c r="K25" s="1552"/>
      <c r="L25" s="1528"/>
      <c r="M25" s="1528"/>
      <c r="N25" s="1528"/>
      <c r="O25" s="1528"/>
      <c r="P25" s="1528"/>
      <c r="Q25" s="1575"/>
      <c r="R25" s="1528"/>
    </row>
    <row r="26" spans="1:18" ht="80.099999999999994" customHeight="1">
      <c r="B26" s="1391" t="s">
        <v>1425</v>
      </c>
      <c r="C26" s="1342"/>
      <c r="D26" s="1342"/>
      <c r="E26" s="1342"/>
      <c r="F26" s="1342" t="s">
        <v>1433</v>
      </c>
      <c r="G26" s="1342" t="s">
        <v>1434</v>
      </c>
      <c r="H26" s="1155" t="s">
        <v>1435</v>
      </c>
      <c r="I26" s="1552"/>
      <c r="J26" s="1559"/>
      <c r="K26" s="1558"/>
      <c r="L26" s="1528"/>
      <c r="M26" s="1528"/>
      <c r="N26" s="1528"/>
      <c r="O26" s="1528"/>
      <c r="P26" s="1528"/>
    </row>
    <row r="27" spans="1:18" ht="252.75" customHeight="1">
      <c r="A27" s="1324"/>
      <c r="B27" s="2680" t="s">
        <v>2135</v>
      </c>
      <c r="C27" s="2694"/>
      <c r="D27" s="2694"/>
      <c r="E27" s="2733"/>
      <c r="F27" s="1366"/>
      <c r="G27" s="1368"/>
      <c r="H27" s="899"/>
      <c r="K27" s="1324"/>
    </row>
    <row r="28" spans="1:18" ht="110.1" customHeight="1">
      <c r="A28" s="795"/>
      <c r="B28" s="2741" t="s">
        <v>1492</v>
      </c>
      <c r="C28" s="2741"/>
      <c r="D28" s="2741"/>
      <c r="E28" s="2741"/>
      <c r="F28" s="1342" t="s">
        <v>2134</v>
      </c>
      <c r="G28" s="1342" t="s">
        <v>1493</v>
      </c>
      <c r="H28" s="1155" t="s">
        <v>1435</v>
      </c>
      <c r="I28" s="1155" t="s">
        <v>1436</v>
      </c>
      <c r="J28" s="1342" t="s">
        <v>1494</v>
      </c>
      <c r="K28" s="1552"/>
      <c r="O28" s="1559"/>
      <c r="P28" s="1559"/>
      <c r="Q28" s="1559"/>
      <c r="R28" s="1528"/>
    </row>
    <row r="29" spans="1:18" s="1561" customFormat="1">
      <c r="A29" s="1574"/>
      <c r="B29" s="1178" t="s">
        <v>1495</v>
      </c>
      <c r="C29" s="1568"/>
      <c r="D29" s="1568"/>
      <c r="E29" s="1179" t="s">
        <v>1496</v>
      </c>
      <c r="F29" s="896"/>
      <c r="G29" s="2735"/>
      <c r="H29" s="896"/>
      <c r="I29" s="901"/>
      <c r="J29" s="1390"/>
      <c r="K29" s="1562"/>
      <c r="O29" s="1559"/>
      <c r="P29" s="1559"/>
      <c r="Q29" s="1558"/>
      <c r="R29" s="1559"/>
    </row>
    <row r="30" spans="1:18" s="1561" customFormat="1">
      <c r="A30" s="1565"/>
      <c r="B30" s="1567" t="s">
        <v>1520</v>
      </c>
      <c r="C30" s="1376"/>
      <c r="D30" s="1566"/>
      <c r="E30" s="1181" t="s">
        <v>1497</v>
      </c>
      <c r="F30" s="1376"/>
      <c r="G30" s="2736"/>
      <c r="H30" s="896"/>
      <c r="I30" s="901"/>
      <c r="J30" s="1390"/>
      <c r="K30" s="1562"/>
      <c r="O30" s="1559"/>
      <c r="P30" s="1559"/>
      <c r="Q30" s="1558"/>
      <c r="R30" s="1559"/>
    </row>
    <row r="31" spans="1:18" s="1561" customFormat="1">
      <c r="A31" s="1565"/>
      <c r="B31" s="1567" t="s">
        <v>1521</v>
      </c>
      <c r="C31" s="1376"/>
      <c r="D31" s="1566"/>
      <c r="E31" s="1181" t="s">
        <v>1498</v>
      </c>
      <c r="F31" s="1376"/>
      <c r="G31" s="2736"/>
      <c r="H31" s="896"/>
      <c r="I31" s="901"/>
      <c r="J31" s="1390"/>
      <c r="K31" s="1562"/>
      <c r="O31" s="1559"/>
      <c r="P31" s="1559"/>
      <c r="Q31" s="1558"/>
      <c r="R31" s="1559"/>
    </row>
    <row r="32" spans="1:18" s="1561" customFormat="1">
      <c r="A32" s="1565"/>
      <c r="B32" s="1185" t="s">
        <v>2133</v>
      </c>
      <c r="C32" s="1376"/>
      <c r="D32" s="1566"/>
      <c r="E32" s="1181" t="s">
        <v>1499</v>
      </c>
      <c r="F32" s="902"/>
      <c r="G32" s="2736"/>
      <c r="H32" s="896"/>
      <c r="I32" s="901"/>
      <c r="J32" s="1390"/>
      <c r="K32" s="1562"/>
      <c r="O32" s="1559"/>
      <c r="P32" s="1559"/>
      <c r="Q32" s="1558"/>
      <c r="R32" s="1559"/>
    </row>
    <row r="33" spans="1:18" s="1561" customFormat="1" ht="25.5">
      <c r="A33" s="1565"/>
      <c r="B33" s="1192" t="s">
        <v>2132</v>
      </c>
      <c r="C33" s="1376"/>
      <c r="D33" s="1566"/>
      <c r="E33" s="1181" t="s">
        <v>1500</v>
      </c>
      <c r="F33" s="896"/>
      <c r="G33" s="2736"/>
      <c r="H33" s="896"/>
      <c r="I33" s="901"/>
      <c r="J33" s="903"/>
      <c r="K33" s="1562"/>
      <c r="O33" s="1559"/>
      <c r="P33" s="1559"/>
      <c r="Q33" s="1558"/>
      <c r="R33" s="1559"/>
    </row>
    <row r="34" spans="1:18" s="1561" customFormat="1">
      <c r="A34" s="1574"/>
      <c r="B34" s="1182"/>
      <c r="C34" s="1564"/>
      <c r="D34" s="1564"/>
      <c r="E34" s="1563"/>
      <c r="F34" s="1376"/>
      <c r="G34" s="2736"/>
      <c r="H34" s="896"/>
      <c r="I34" s="901"/>
      <c r="J34" s="1390"/>
      <c r="K34" s="1562"/>
      <c r="O34" s="1559"/>
      <c r="P34" s="1559"/>
      <c r="Q34" s="1558"/>
      <c r="R34" s="1559"/>
    </row>
    <row r="35" spans="1:18" s="1561" customFormat="1">
      <c r="A35" s="1565"/>
      <c r="B35" s="1183" t="s">
        <v>1501</v>
      </c>
      <c r="C35" s="1560"/>
      <c r="D35" s="1560"/>
      <c r="E35" s="1184" t="s">
        <v>1502</v>
      </c>
      <c r="F35" s="1376"/>
      <c r="G35" s="2737"/>
      <c r="H35" s="896"/>
      <c r="I35" s="901"/>
      <c r="J35" s="1390"/>
      <c r="K35" s="1562"/>
      <c r="O35" s="1559"/>
      <c r="P35" s="1559"/>
      <c r="Q35" s="1558"/>
      <c r="R35" s="1559"/>
    </row>
    <row r="36" spans="1:18" s="1561" customFormat="1">
      <c r="A36" s="1565"/>
      <c r="B36" s="1573"/>
      <c r="C36" s="1571"/>
      <c r="D36" s="1571"/>
      <c r="E36" s="1572"/>
      <c r="F36" s="1570"/>
      <c r="G36" s="1571"/>
      <c r="H36" s="1570"/>
      <c r="I36" s="1570"/>
      <c r="J36" s="1569"/>
      <c r="K36" s="1562"/>
      <c r="O36" s="1559"/>
      <c r="P36" s="1559"/>
      <c r="Q36" s="1558"/>
      <c r="R36" s="1559"/>
    </row>
    <row r="37" spans="1:18" s="1561" customFormat="1" ht="12.75" customHeight="1">
      <c r="A37" s="1565"/>
      <c r="B37" s="1178" t="s">
        <v>1503</v>
      </c>
      <c r="C37" s="1568"/>
      <c r="D37" s="1568"/>
      <c r="E37" s="1179" t="s">
        <v>1496</v>
      </c>
      <c r="F37" s="896"/>
      <c r="G37" s="2735"/>
      <c r="H37" s="896"/>
      <c r="I37" s="901"/>
      <c r="J37" s="1390"/>
      <c r="K37" s="1562"/>
      <c r="O37" s="1559"/>
      <c r="P37" s="1559"/>
      <c r="Q37" s="1558"/>
      <c r="R37" s="1559"/>
    </row>
    <row r="38" spans="1:18" s="1561" customFormat="1">
      <c r="A38" s="1565"/>
      <c r="B38" s="1567" t="s">
        <v>1520</v>
      </c>
      <c r="C38" s="1376"/>
      <c r="D38" s="1566"/>
      <c r="E38" s="1181" t="s">
        <v>1497</v>
      </c>
      <c r="F38" s="1376"/>
      <c r="G38" s="2736"/>
      <c r="H38" s="896"/>
      <c r="I38" s="901"/>
      <c r="J38" s="1390"/>
      <c r="K38" s="1562"/>
      <c r="O38" s="1559"/>
      <c r="P38" s="1559"/>
      <c r="Q38" s="1558"/>
      <c r="R38" s="1559"/>
    </row>
    <row r="39" spans="1:18" s="1561" customFormat="1" ht="18.75" customHeight="1">
      <c r="A39" s="1565"/>
      <c r="B39" s="1567" t="s">
        <v>1521</v>
      </c>
      <c r="C39" s="1376"/>
      <c r="D39" s="1566"/>
      <c r="E39" s="1181" t="s">
        <v>1498</v>
      </c>
      <c r="F39" s="1376"/>
      <c r="G39" s="2736"/>
      <c r="H39" s="896"/>
      <c r="I39" s="901"/>
      <c r="J39" s="1390"/>
      <c r="K39" s="1562"/>
      <c r="O39" s="1559"/>
      <c r="P39" s="1559"/>
      <c r="Q39" s="1559"/>
      <c r="R39" s="1559"/>
    </row>
    <row r="40" spans="1:18" s="1561" customFormat="1" ht="15.75" customHeight="1">
      <c r="A40" s="1565"/>
      <c r="B40" s="1185" t="s">
        <v>2133</v>
      </c>
      <c r="C40" s="1376"/>
      <c r="D40" s="1566"/>
      <c r="E40" s="1181" t="s">
        <v>1499</v>
      </c>
      <c r="F40" s="902"/>
      <c r="G40" s="2736"/>
      <c r="H40" s="896"/>
      <c r="I40" s="901"/>
      <c r="J40" s="1390"/>
      <c r="K40" s="1562"/>
      <c r="O40" s="1559"/>
      <c r="P40" s="1559"/>
      <c r="Q40" s="1559"/>
      <c r="R40" s="1559"/>
    </row>
    <row r="41" spans="1:18" s="1561" customFormat="1" ht="25.5">
      <c r="A41" s="1565"/>
      <c r="B41" s="1192" t="s">
        <v>2132</v>
      </c>
      <c r="C41" s="1376"/>
      <c r="D41" s="1566"/>
      <c r="E41" s="1181" t="s">
        <v>1500</v>
      </c>
      <c r="F41" s="896"/>
      <c r="G41" s="2736"/>
      <c r="H41" s="896"/>
      <c r="I41" s="901"/>
      <c r="J41" s="903"/>
      <c r="K41" s="1562"/>
      <c r="O41" s="1559"/>
      <c r="P41" s="1559"/>
      <c r="Q41" s="1559"/>
      <c r="R41" s="1559"/>
    </row>
    <row r="42" spans="1:18" s="1561" customFormat="1">
      <c r="A42" s="1565"/>
      <c r="B42" s="1182"/>
      <c r="C42" s="1564"/>
      <c r="D42" s="1564"/>
      <c r="E42" s="1563"/>
      <c r="F42" s="1376"/>
      <c r="G42" s="2736"/>
      <c r="H42" s="896"/>
      <c r="I42" s="901"/>
      <c r="J42" s="1390"/>
      <c r="K42" s="1562"/>
      <c r="O42" s="1559"/>
      <c r="P42" s="1559"/>
      <c r="Q42" s="1559"/>
      <c r="R42" s="1559"/>
    </row>
    <row r="43" spans="1:18" ht="20.25" customHeight="1">
      <c r="B43" s="1183" t="s">
        <v>2131</v>
      </c>
      <c r="C43" s="1560"/>
      <c r="D43" s="1560"/>
      <c r="E43" s="1184" t="s">
        <v>1502</v>
      </c>
      <c r="F43" s="1376"/>
      <c r="G43" s="2737"/>
      <c r="H43" s="896"/>
      <c r="I43" s="901"/>
      <c r="J43" s="1390"/>
      <c r="K43" s="1552"/>
      <c r="L43" s="1559"/>
      <c r="M43" s="1559"/>
      <c r="N43" s="1559"/>
      <c r="O43" s="1559"/>
      <c r="P43" s="1559"/>
      <c r="Q43" s="1558"/>
      <c r="R43" s="1528"/>
    </row>
    <row r="44" spans="1:18" ht="80.099999999999994" customHeight="1">
      <c r="B44" s="2742" t="s">
        <v>1426</v>
      </c>
      <c r="C44" s="2742"/>
      <c r="D44" s="2741" t="s">
        <v>1504</v>
      </c>
      <c r="E44" s="2741"/>
      <c r="F44" s="1342" t="s">
        <v>1505</v>
      </c>
      <c r="G44" s="1342" t="s">
        <v>1493</v>
      </c>
      <c r="H44" s="1155" t="s">
        <v>1435</v>
      </c>
      <c r="I44" s="1155" t="s">
        <v>1436</v>
      </c>
      <c r="J44" s="1187"/>
      <c r="K44" s="1552"/>
      <c r="L44" s="1528"/>
      <c r="M44" s="1528"/>
      <c r="N44" s="1528"/>
      <c r="O44" s="1528"/>
      <c r="P44" s="1528"/>
      <c r="Q44" s="1528"/>
      <c r="R44" s="1528"/>
    </row>
    <row r="45" spans="1:18" ht="108" customHeight="1">
      <c r="A45" s="1553"/>
      <c r="B45" s="2676" t="str">
        <f>IF('Project Info'!$C$4='Project Info'!$P$32,'Prescriptive Path Checklist'!C27,IF('Project Info'!C4='Project Info'!P33,#REF!,"&lt;Select compliance path on the 'Project Info' tab&gt;"))</f>
        <v>Assembly U-value determinations must follow ASHRAE 90.1-2010, Appendix A.
See Tables 2 and 3 for climate specific envelope requirements for the following components: roof insulation; above grade and below grade wall insulation; floor and slab insulation; exterior doors; and vertical glazing.</v>
      </c>
      <c r="C45" s="2676"/>
      <c r="D45" s="2700">
        <f>ERMs!B23</f>
        <v>0</v>
      </c>
      <c r="E45" s="2702"/>
      <c r="F45" s="1388"/>
      <c r="G45" s="904"/>
      <c r="H45" s="1343"/>
      <c r="I45" s="905"/>
      <c r="J45" s="1341"/>
      <c r="K45" s="1552"/>
      <c r="L45" s="1557"/>
      <c r="M45" s="1557"/>
      <c r="N45" s="1557"/>
      <c r="O45" s="1557"/>
      <c r="P45" s="1557"/>
      <c r="Q45" s="1528"/>
      <c r="R45" s="1528"/>
    </row>
    <row r="46" spans="1:18">
      <c r="B46" s="1554"/>
      <c r="C46" s="1554"/>
      <c r="D46" s="1554"/>
      <c r="E46" s="1554"/>
      <c r="F46" s="1555"/>
      <c r="G46" s="1555"/>
      <c r="H46" s="1531"/>
      <c r="I46" s="1531"/>
      <c r="J46" s="1554"/>
      <c r="K46" s="1556"/>
      <c r="L46" s="1528"/>
      <c r="M46" s="1528"/>
      <c r="N46" s="1528"/>
      <c r="O46" s="1528"/>
      <c r="P46" s="1528"/>
      <c r="Q46" s="1528"/>
      <c r="R46" s="1528"/>
    </row>
    <row r="47" spans="1:18">
      <c r="A47" s="1553"/>
      <c r="B47" s="1554"/>
      <c r="C47" s="1554"/>
      <c r="D47" s="1554"/>
      <c r="E47" s="1554"/>
      <c r="F47" s="1555"/>
      <c r="G47" s="1555"/>
      <c r="H47" s="1531"/>
      <c r="I47" s="1531"/>
      <c r="J47" s="1554"/>
      <c r="K47" s="1552"/>
      <c r="L47" s="1528"/>
      <c r="M47" s="1528"/>
      <c r="N47" s="1528"/>
      <c r="O47" s="1528"/>
      <c r="P47" s="1528"/>
      <c r="Q47" s="1528"/>
      <c r="R47" s="1528"/>
    </row>
    <row r="48" spans="1:18" ht="80.099999999999994" customHeight="1">
      <c r="A48" s="1553"/>
      <c r="B48" s="1342" t="s">
        <v>1439</v>
      </c>
      <c r="C48" s="1342"/>
      <c r="D48" s="2710" t="s">
        <v>1426</v>
      </c>
      <c r="E48" s="2710"/>
      <c r="F48" s="1342" t="s">
        <v>1433</v>
      </c>
      <c r="G48" s="1342" t="s">
        <v>1434</v>
      </c>
      <c r="H48" s="1155" t="s">
        <v>1435</v>
      </c>
      <c r="I48" s="1155" t="s">
        <v>1436</v>
      </c>
      <c r="J48" s="1338" t="s">
        <v>1506</v>
      </c>
      <c r="K48" s="1552"/>
      <c r="L48" s="1528"/>
      <c r="M48" s="1528"/>
      <c r="N48" s="1528"/>
      <c r="O48" s="1528"/>
      <c r="P48" s="1528"/>
      <c r="Q48" s="1528"/>
      <c r="R48" s="1528"/>
    </row>
    <row r="49" spans="1:18" ht="73.5" customHeight="1">
      <c r="B49" s="2703" t="s">
        <v>2130</v>
      </c>
      <c r="C49" s="2739"/>
      <c r="D49" s="2739"/>
      <c r="E49" s="2739"/>
      <c r="F49" s="1388"/>
      <c r="G49" s="1388"/>
      <c r="H49" s="899"/>
      <c r="I49" s="1383"/>
      <c r="J49" s="1386"/>
    </row>
    <row r="50" spans="1:18" ht="140.25" customHeight="1">
      <c r="B50" s="2734" t="s">
        <v>1507</v>
      </c>
      <c r="C50" s="2734"/>
      <c r="D50" s="2700" t="str">
        <f>IF('Project Info'!C4='Project Info'!P32,'Prescriptive Path Checklist'!C37,IF('Project Info'!C4='Project Info'!P33,#REF!,"&lt;Select compliance path on the 'Project Info' tab&gt;"))</f>
        <v>The envelope components must comply with ASHRAE 90.1-2010 Sections 5.4.
All roof, wall, floor and slab insulation shall achieve RESNET-defined Grade I installation or, alternatively, Grade II for surfaces that contain a layer of continuous, air impermeable insulation (≥R-3 in CZ1-4 and ≥R-5 in CZ 5-8).</v>
      </c>
      <c r="E50" s="2702"/>
      <c r="F50" s="906"/>
      <c r="G50" s="906"/>
      <c r="H50" s="907"/>
      <c r="I50" s="908"/>
      <c r="J50" s="908"/>
    </row>
    <row r="51" spans="1:18" ht="54.75" customHeight="1">
      <c r="A51" s="1525"/>
      <c r="B51" s="2680" t="s">
        <v>2129</v>
      </c>
      <c r="C51" s="2681"/>
      <c r="D51" s="2681"/>
      <c r="E51" s="2738"/>
      <c r="F51" s="1388"/>
      <c r="G51" s="1388"/>
      <c r="H51" s="1343"/>
      <c r="I51" s="1383"/>
      <c r="J51" s="1383"/>
      <c r="K51" s="1552"/>
      <c r="O51" s="1528"/>
      <c r="P51" s="1528"/>
      <c r="Q51" s="1528"/>
    </row>
    <row r="52" spans="1:18" ht="29.25" customHeight="1">
      <c r="A52" s="1324"/>
      <c r="B52" s="2680" t="s">
        <v>1508</v>
      </c>
      <c r="C52" s="2681"/>
      <c r="D52" s="2681"/>
      <c r="E52" s="2681"/>
      <c r="F52" s="2683"/>
      <c r="G52" s="2683"/>
      <c r="H52" s="2683"/>
      <c r="I52" s="1383"/>
      <c r="J52" s="1383"/>
      <c r="K52" s="1324"/>
    </row>
    <row r="53" spans="1:18" ht="33" customHeight="1">
      <c r="A53" s="1324"/>
      <c r="B53" s="2673" t="s">
        <v>1509</v>
      </c>
      <c r="C53" s="2673"/>
      <c r="D53" s="2673"/>
      <c r="E53" s="2673"/>
      <c r="F53" s="2673"/>
      <c r="G53" s="2673"/>
      <c r="H53" s="2673"/>
      <c r="I53" s="2673"/>
      <c r="J53" s="2673"/>
      <c r="K53" s="1324"/>
      <c r="R53" s="1426" t="s">
        <v>362</v>
      </c>
    </row>
    <row r="54" spans="1:18">
      <c r="A54" s="1324"/>
      <c r="K54" s="1324"/>
      <c r="R54" s="1426" t="s">
        <v>364</v>
      </c>
    </row>
    <row r="55" spans="1:18">
      <c r="R55" s="1426" t="s">
        <v>363</v>
      </c>
    </row>
    <row r="57" spans="1:18" ht="25.5">
      <c r="C57" s="1524"/>
      <c r="J57" s="1426"/>
    </row>
    <row r="58" spans="1:18" ht="25.5">
      <c r="C58" s="1524"/>
    </row>
    <row r="59" spans="1:18" ht="25.5">
      <c r="C59" s="1524"/>
    </row>
    <row r="190" spans="2:2" ht="18">
      <c r="B190" s="794"/>
    </row>
  </sheetData>
  <sheetProtection formatCells="0" formatColumns="0" formatRows="0" insertColumns="0" insertRows="0"/>
  <mergeCells count="28">
    <mergeCell ref="D45:E45"/>
    <mergeCell ref="H5:I5"/>
    <mergeCell ref="B11:G11"/>
    <mergeCell ref="B9:G9"/>
    <mergeCell ref="B23:G23"/>
    <mergeCell ref="B24:G24"/>
    <mergeCell ref="H8:I8"/>
    <mergeCell ref="B10:G10"/>
    <mergeCell ref="H6:I6"/>
    <mergeCell ref="H7:I7"/>
    <mergeCell ref="B22:J22"/>
    <mergeCell ref="B21:J21"/>
    <mergeCell ref="B53:J53"/>
    <mergeCell ref="B52:H52"/>
    <mergeCell ref="B27:E27"/>
    <mergeCell ref="B20:J20"/>
    <mergeCell ref="D48:E48"/>
    <mergeCell ref="B50:C50"/>
    <mergeCell ref="G29:G35"/>
    <mergeCell ref="G37:G43"/>
    <mergeCell ref="D50:E50"/>
    <mergeCell ref="B51:E51"/>
    <mergeCell ref="B49:E49"/>
    <mergeCell ref="B25:D25"/>
    <mergeCell ref="B28:E28"/>
    <mergeCell ref="B44:C44"/>
    <mergeCell ref="B45:C45"/>
    <mergeCell ref="D44:E44"/>
  </mergeCells>
  <dataValidations count="2">
    <dataValidation type="list" allowBlank="1" showInputMessage="1" showErrorMessage="1" sqref="H27 JD27 SZ27 ACV27 AMR27 AWN27 BGJ27 BQF27 CAB27 CJX27 CTT27 DDP27 DNL27 DXH27 EHD27 EQZ27 FAV27 FKR27 FUN27 GEJ27 GOF27 GYB27 HHX27 HRT27 IBP27 ILL27 IVH27 JFD27 JOZ27 JYV27 KIR27 KSN27 LCJ27 LMF27 LWB27 MFX27 MPT27 MZP27 NJL27 NTH27 ODD27 OMZ27 OWV27 PGR27 PQN27 QAJ27 QKF27 QUB27 RDX27 RNT27 RXP27 SHL27 SRH27 TBD27 TKZ27 TUV27 UER27 UON27 UYJ27 VIF27 VSB27 WBX27 WLT27 WVP27 H65563 JD65563 SZ65563 ACV65563 AMR65563 AWN65563 BGJ65563 BQF65563 CAB65563 CJX65563 CTT65563 DDP65563 DNL65563 DXH65563 EHD65563 EQZ65563 FAV65563 FKR65563 FUN65563 GEJ65563 GOF65563 GYB65563 HHX65563 HRT65563 IBP65563 ILL65563 IVH65563 JFD65563 JOZ65563 JYV65563 KIR65563 KSN65563 LCJ65563 LMF65563 LWB65563 MFX65563 MPT65563 MZP65563 NJL65563 NTH65563 ODD65563 OMZ65563 OWV65563 PGR65563 PQN65563 QAJ65563 QKF65563 QUB65563 RDX65563 RNT65563 RXP65563 SHL65563 SRH65563 TBD65563 TKZ65563 TUV65563 UER65563 UON65563 UYJ65563 VIF65563 VSB65563 WBX65563 WLT65563 WVP65563 H131099 JD131099 SZ131099 ACV131099 AMR131099 AWN131099 BGJ131099 BQF131099 CAB131099 CJX131099 CTT131099 DDP131099 DNL131099 DXH131099 EHD131099 EQZ131099 FAV131099 FKR131099 FUN131099 GEJ131099 GOF131099 GYB131099 HHX131099 HRT131099 IBP131099 ILL131099 IVH131099 JFD131099 JOZ131099 JYV131099 KIR131099 KSN131099 LCJ131099 LMF131099 LWB131099 MFX131099 MPT131099 MZP131099 NJL131099 NTH131099 ODD131099 OMZ131099 OWV131099 PGR131099 PQN131099 QAJ131099 QKF131099 QUB131099 RDX131099 RNT131099 RXP131099 SHL131099 SRH131099 TBD131099 TKZ131099 TUV131099 UER131099 UON131099 UYJ131099 VIF131099 VSB131099 WBX131099 WLT131099 WVP131099 H196635 JD196635 SZ196635 ACV196635 AMR196635 AWN196635 BGJ196635 BQF196635 CAB196635 CJX196635 CTT196635 DDP196635 DNL196635 DXH196635 EHD196635 EQZ196635 FAV196635 FKR196635 FUN196635 GEJ196635 GOF196635 GYB196635 HHX196635 HRT196635 IBP196635 ILL196635 IVH196635 JFD196635 JOZ196635 JYV196635 KIR196635 KSN196635 LCJ196635 LMF196635 LWB196635 MFX196635 MPT196635 MZP196635 NJL196635 NTH196635 ODD196635 OMZ196635 OWV196635 PGR196635 PQN196635 QAJ196635 QKF196635 QUB196635 RDX196635 RNT196635 RXP196635 SHL196635 SRH196635 TBD196635 TKZ196635 TUV196635 UER196635 UON196635 UYJ196635 VIF196635 VSB196635 WBX196635 WLT196635 WVP196635 H262171 JD262171 SZ262171 ACV262171 AMR262171 AWN262171 BGJ262171 BQF262171 CAB262171 CJX262171 CTT262171 DDP262171 DNL262171 DXH262171 EHD262171 EQZ262171 FAV262171 FKR262171 FUN262171 GEJ262171 GOF262171 GYB262171 HHX262171 HRT262171 IBP262171 ILL262171 IVH262171 JFD262171 JOZ262171 JYV262171 KIR262171 KSN262171 LCJ262171 LMF262171 LWB262171 MFX262171 MPT262171 MZP262171 NJL262171 NTH262171 ODD262171 OMZ262171 OWV262171 PGR262171 PQN262171 QAJ262171 QKF262171 QUB262171 RDX262171 RNT262171 RXP262171 SHL262171 SRH262171 TBD262171 TKZ262171 TUV262171 UER262171 UON262171 UYJ262171 VIF262171 VSB262171 WBX262171 WLT262171 WVP262171 H327707 JD327707 SZ327707 ACV327707 AMR327707 AWN327707 BGJ327707 BQF327707 CAB327707 CJX327707 CTT327707 DDP327707 DNL327707 DXH327707 EHD327707 EQZ327707 FAV327707 FKR327707 FUN327707 GEJ327707 GOF327707 GYB327707 HHX327707 HRT327707 IBP327707 ILL327707 IVH327707 JFD327707 JOZ327707 JYV327707 KIR327707 KSN327707 LCJ327707 LMF327707 LWB327707 MFX327707 MPT327707 MZP327707 NJL327707 NTH327707 ODD327707 OMZ327707 OWV327707 PGR327707 PQN327707 QAJ327707 QKF327707 QUB327707 RDX327707 RNT327707 RXP327707 SHL327707 SRH327707 TBD327707 TKZ327707 TUV327707 UER327707 UON327707 UYJ327707 VIF327707 VSB327707 WBX327707 WLT327707 WVP327707 H393243 JD393243 SZ393243 ACV393243 AMR393243 AWN393243 BGJ393243 BQF393243 CAB393243 CJX393243 CTT393243 DDP393243 DNL393243 DXH393243 EHD393243 EQZ393243 FAV393243 FKR393243 FUN393243 GEJ393243 GOF393243 GYB393243 HHX393243 HRT393243 IBP393243 ILL393243 IVH393243 JFD393243 JOZ393243 JYV393243 KIR393243 KSN393243 LCJ393243 LMF393243 LWB393243 MFX393243 MPT393243 MZP393243 NJL393243 NTH393243 ODD393243 OMZ393243 OWV393243 PGR393243 PQN393243 QAJ393243 QKF393243 QUB393243 RDX393243 RNT393243 RXP393243 SHL393243 SRH393243 TBD393243 TKZ393243 TUV393243 UER393243 UON393243 UYJ393243 VIF393243 VSB393243 WBX393243 WLT393243 WVP393243 H458779 JD458779 SZ458779 ACV458779 AMR458779 AWN458779 BGJ458779 BQF458779 CAB458779 CJX458779 CTT458779 DDP458779 DNL458779 DXH458779 EHD458779 EQZ458779 FAV458779 FKR458779 FUN458779 GEJ458779 GOF458779 GYB458779 HHX458779 HRT458779 IBP458779 ILL458779 IVH458779 JFD458779 JOZ458779 JYV458779 KIR458779 KSN458779 LCJ458779 LMF458779 LWB458779 MFX458779 MPT458779 MZP458779 NJL458779 NTH458779 ODD458779 OMZ458779 OWV458779 PGR458779 PQN458779 QAJ458779 QKF458779 QUB458779 RDX458779 RNT458779 RXP458779 SHL458779 SRH458779 TBD458779 TKZ458779 TUV458779 UER458779 UON458779 UYJ458779 VIF458779 VSB458779 WBX458779 WLT458779 WVP458779 H524315 JD524315 SZ524315 ACV524315 AMR524315 AWN524315 BGJ524315 BQF524315 CAB524315 CJX524315 CTT524315 DDP524315 DNL524315 DXH524315 EHD524315 EQZ524315 FAV524315 FKR524315 FUN524315 GEJ524315 GOF524315 GYB524315 HHX524315 HRT524315 IBP524315 ILL524315 IVH524315 JFD524315 JOZ524315 JYV524315 KIR524315 KSN524315 LCJ524315 LMF524315 LWB524315 MFX524315 MPT524315 MZP524315 NJL524315 NTH524315 ODD524315 OMZ524315 OWV524315 PGR524315 PQN524315 QAJ524315 QKF524315 QUB524315 RDX524315 RNT524315 RXP524315 SHL524315 SRH524315 TBD524315 TKZ524315 TUV524315 UER524315 UON524315 UYJ524315 VIF524315 VSB524315 WBX524315 WLT524315 WVP524315 H589851 JD589851 SZ589851 ACV589851 AMR589851 AWN589851 BGJ589851 BQF589851 CAB589851 CJX589851 CTT589851 DDP589851 DNL589851 DXH589851 EHD589851 EQZ589851 FAV589851 FKR589851 FUN589851 GEJ589851 GOF589851 GYB589851 HHX589851 HRT589851 IBP589851 ILL589851 IVH589851 JFD589851 JOZ589851 JYV589851 KIR589851 KSN589851 LCJ589851 LMF589851 LWB589851 MFX589851 MPT589851 MZP589851 NJL589851 NTH589851 ODD589851 OMZ589851 OWV589851 PGR589851 PQN589851 QAJ589851 QKF589851 QUB589851 RDX589851 RNT589851 RXP589851 SHL589851 SRH589851 TBD589851 TKZ589851 TUV589851 UER589851 UON589851 UYJ589851 VIF589851 VSB589851 WBX589851 WLT589851 WVP589851 H655387 JD655387 SZ655387 ACV655387 AMR655387 AWN655387 BGJ655387 BQF655387 CAB655387 CJX655387 CTT655387 DDP655387 DNL655387 DXH655387 EHD655387 EQZ655387 FAV655387 FKR655387 FUN655387 GEJ655387 GOF655387 GYB655387 HHX655387 HRT655387 IBP655387 ILL655387 IVH655387 JFD655387 JOZ655387 JYV655387 KIR655387 KSN655387 LCJ655387 LMF655387 LWB655387 MFX655387 MPT655387 MZP655387 NJL655387 NTH655387 ODD655387 OMZ655387 OWV655387 PGR655387 PQN655387 QAJ655387 QKF655387 QUB655387 RDX655387 RNT655387 RXP655387 SHL655387 SRH655387 TBD655387 TKZ655387 TUV655387 UER655387 UON655387 UYJ655387 VIF655387 VSB655387 WBX655387 WLT655387 WVP655387 H720923 JD720923 SZ720923 ACV720923 AMR720923 AWN720923 BGJ720923 BQF720923 CAB720923 CJX720923 CTT720923 DDP720923 DNL720923 DXH720923 EHD720923 EQZ720923 FAV720923 FKR720923 FUN720923 GEJ720923 GOF720923 GYB720923 HHX720923 HRT720923 IBP720923 ILL720923 IVH720923 JFD720923 JOZ720923 JYV720923 KIR720923 KSN720923 LCJ720923 LMF720923 LWB720923 MFX720923 MPT720923 MZP720923 NJL720923 NTH720923 ODD720923 OMZ720923 OWV720923 PGR720923 PQN720923 QAJ720923 QKF720923 QUB720923 RDX720923 RNT720923 RXP720923 SHL720923 SRH720923 TBD720923 TKZ720923 TUV720923 UER720923 UON720923 UYJ720923 VIF720923 VSB720923 WBX720923 WLT720923 WVP720923 H786459 JD786459 SZ786459 ACV786459 AMR786459 AWN786459 BGJ786459 BQF786459 CAB786459 CJX786459 CTT786459 DDP786459 DNL786459 DXH786459 EHD786459 EQZ786459 FAV786459 FKR786459 FUN786459 GEJ786459 GOF786459 GYB786459 HHX786459 HRT786459 IBP786459 ILL786459 IVH786459 JFD786459 JOZ786459 JYV786459 KIR786459 KSN786459 LCJ786459 LMF786459 LWB786459 MFX786459 MPT786459 MZP786459 NJL786459 NTH786459 ODD786459 OMZ786459 OWV786459 PGR786459 PQN786459 QAJ786459 QKF786459 QUB786459 RDX786459 RNT786459 RXP786459 SHL786459 SRH786459 TBD786459 TKZ786459 TUV786459 UER786459 UON786459 UYJ786459 VIF786459 VSB786459 WBX786459 WLT786459 WVP786459 H851995 JD851995 SZ851995 ACV851995 AMR851995 AWN851995 BGJ851995 BQF851995 CAB851995 CJX851995 CTT851995 DDP851995 DNL851995 DXH851995 EHD851995 EQZ851995 FAV851995 FKR851995 FUN851995 GEJ851995 GOF851995 GYB851995 HHX851995 HRT851995 IBP851995 ILL851995 IVH851995 JFD851995 JOZ851995 JYV851995 KIR851995 KSN851995 LCJ851995 LMF851995 LWB851995 MFX851995 MPT851995 MZP851995 NJL851995 NTH851995 ODD851995 OMZ851995 OWV851995 PGR851995 PQN851995 QAJ851995 QKF851995 QUB851995 RDX851995 RNT851995 RXP851995 SHL851995 SRH851995 TBD851995 TKZ851995 TUV851995 UER851995 UON851995 UYJ851995 VIF851995 VSB851995 WBX851995 WLT851995 WVP851995 H917531 JD917531 SZ917531 ACV917531 AMR917531 AWN917531 BGJ917531 BQF917531 CAB917531 CJX917531 CTT917531 DDP917531 DNL917531 DXH917531 EHD917531 EQZ917531 FAV917531 FKR917531 FUN917531 GEJ917531 GOF917531 GYB917531 HHX917531 HRT917531 IBP917531 ILL917531 IVH917531 JFD917531 JOZ917531 JYV917531 KIR917531 KSN917531 LCJ917531 LMF917531 LWB917531 MFX917531 MPT917531 MZP917531 NJL917531 NTH917531 ODD917531 OMZ917531 OWV917531 PGR917531 PQN917531 QAJ917531 QKF917531 QUB917531 RDX917531 RNT917531 RXP917531 SHL917531 SRH917531 TBD917531 TKZ917531 TUV917531 UER917531 UON917531 UYJ917531 VIF917531 VSB917531 WBX917531 WLT917531 WVP917531 H983067 JD983067 SZ983067 ACV983067 AMR983067 AWN983067 BGJ983067 BQF983067 CAB983067 CJX983067 CTT983067 DDP983067 DNL983067 DXH983067 EHD983067 EQZ983067 FAV983067 FKR983067 FUN983067 GEJ983067 GOF983067 GYB983067 HHX983067 HRT983067 IBP983067 ILL983067 IVH983067 JFD983067 JOZ983067 JYV983067 KIR983067 KSN983067 LCJ983067 LMF983067 LWB983067 MFX983067 MPT983067 MZP983067 NJL983067 NTH983067 ODD983067 OMZ983067 OWV983067 PGR983067 PQN983067 QAJ983067 QKF983067 QUB983067 RDX983067 RNT983067 RXP983067 SHL983067 SRH983067 TBD983067 TKZ983067 TUV983067 UER983067 UON983067 UYJ983067 VIF983067 VSB983067 WBX983067 WLT983067 WVP983067 H29:I35 JD29:JE35 SZ29:TA35 ACV29:ACW35 AMR29:AMS35 AWN29:AWO35 BGJ29:BGK35 BQF29:BQG35 CAB29:CAC35 CJX29:CJY35 CTT29:CTU35 DDP29:DDQ35 DNL29:DNM35 DXH29:DXI35 EHD29:EHE35 EQZ29:ERA35 FAV29:FAW35 FKR29:FKS35 FUN29:FUO35 GEJ29:GEK35 GOF29:GOG35 GYB29:GYC35 HHX29:HHY35 HRT29:HRU35 IBP29:IBQ35 ILL29:ILM35 IVH29:IVI35 JFD29:JFE35 JOZ29:JPA35 JYV29:JYW35 KIR29:KIS35 KSN29:KSO35 LCJ29:LCK35 LMF29:LMG35 LWB29:LWC35 MFX29:MFY35 MPT29:MPU35 MZP29:MZQ35 NJL29:NJM35 NTH29:NTI35 ODD29:ODE35 OMZ29:ONA35 OWV29:OWW35 PGR29:PGS35 PQN29:PQO35 QAJ29:QAK35 QKF29:QKG35 QUB29:QUC35 RDX29:RDY35 RNT29:RNU35 RXP29:RXQ35 SHL29:SHM35 SRH29:SRI35 TBD29:TBE35 TKZ29:TLA35 TUV29:TUW35 UER29:UES35 UON29:UOO35 UYJ29:UYK35 VIF29:VIG35 VSB29:VSC35 WBX29:WBY35 WLT29:WLU35 WVP29:WVQ35 H65565:I65571 JD65565:JE65571 SZ65565:TA65571 ACV65565:ACW65571 AMR65565:AMS65571 AWN65565:AWO65571 BGJ65565:BGK65571 BQF65565:BQG65571 CAB65565:CAC65571 CJX65565:CJY65571 CTT65565:CTU65571 DDP65565:DDQ65571 DNL65565:DNM65571 DXH65565:DXI65571 EHD65565:EHE65571 EQZ65565:ERA65571 FAV65565:FAW65571 FKR65565:FKS65571 FUN65565:FUO65571 GEJ65565:GEK65571 GOF65565:GOG65571 GYB65565:GYC65571 HHX65565:HHY65571 HRT65565:HRU65571 IBP65565:IBQ65571 ILL65565:ILM65571 IVH65565:IVI65571 JFD65565:JFE65571 JOZ65565:JPA65571 JYV65565:JYW65571 KIR65565:KIS65571 KSN65565:KSO65571 LCJ65565:LCK65571 LMF65565:LMG65571 LWB65565:LWC65571 MFX65565:MFY65571 MPT65565:MPU65571 MZP65565:MZQ65571 NJL65565:NJM65571 NTH65565:NTI65571 ODD65565:ODE65571 OMZ65565:ONA65571 OWV65565:OWW65571 PGR65565:PGS65571 PQN65565:PQO65571 QAJ65565:QAK65571 QKF65565:QKG65571 QUB65565:QUC65571 RDX65565:RDY65571 RNT65565:RNU65571 RXP65565:RXQ65571 SHL65565:SHM65571 SRH65565:SRI65571 TBD65565:TBE65571 TKZ65565:TLA65571 TUV65565:TUW65571 UER65565:UES65571 UON65565:UOO65571 UYJ65565:UYK65571 VIF65565:VIG65571 VSB65565:VSC65571 WBX65565:WBY65571 WLT65565:WLU65571 WVP65565:WVQ65571 H131101:I131107 JD131101:JE131107 SZ131101:TA131107 ACV131101:ACW131107 AMR131101:AMS131107 AWN131101:AWO131107 BGJ131101:BGK131107 BQF131101:BQG131107 CAB131101:CAC131107 CJX131101:CJY131107 CTT131101:CTU131107 DDP131101:DDQ131107 DNL131101:DNM131107 DXH131101:DXI131107 EHD131101:EHE131107 EQZ131101:ERA131107 FAV131101:FAW131107 FKR131101:FKS131107 FUN131101:FUO131107 GEJ131101:GEK131107 GOF131101:GOG131107 GYB131101:GYC131107 HHX131101:HHY131107 HRT131101:HRU131107 IBP131101:IBQ131107 ILL131101:ILM131107 IVH131101:IVI131107 JFD131101:JFE131107 JOZ131101:JPA131107 JYV131101:JYW131107 KIR131101:KIS131107 KSN131101:KSO131107 LCJ131101:LCK131107 LMF131101:LMG131107 LWB131101:LWC131107 MFX131101:MFY131107 MPT131101:MPU131107 MZP131101:MZQ131107 NJL131101:NJM131107 NTH131101:NTI131107 ODD131101:ODE131107 OMZ131101:ONA131107 OWV131101:OWW131107 PGR131101:PGS131107 PQN131101:PQO131107 QAJ131101:QAK131107 QKF131101:QKG131107 QUB131101:QUC131107 RDX131101:RDY131107 RNT131101:RNU131107 RXP131101:RXQ131107 SHL131101:SHM131107 SRH131101:SRI131107 TBD131101:TBE131107 TKZ131101:TLA131107 TUV131101:TUW131107 UER131101:UES131107 UON131101:UOO131107 UYJ131101:UYK131107 VIF131101:VIG131107 VSB131101:VSC131107 WBX131101:WBY131107 WLT131101:WLU131107 WVP131101:WVQ131107 H196637:I196643 JD196637:JE196643 SZ196637:TA196643 ACV196637:ACW196643 AMR196637:AMS196643 AWN196637:AWO196643 BGJ196637:BGK196643 BQF196637:BQG196643 CAB196637:CAC196643 CJX196637:CJY196643 CTT196637:CTU196643 DDP196637:DDQ196643 DNL196637:DNM196643 DXH196637:DXI196643 EHD196637:EHE196643 EQZ196637:ERA196643 FAV196637:FAW196643 FKR196637:FKS196643 FUN196637:FUO196643 GEJ196637:GEK196643 GOF196637:GOG196643 GYB196637:GYC196643 HHX196637:HHY196643 HRT196637:HRU196643 IBP196637:IBQ196643 ILL196637:ILM196643 IVH196637:IVI196643 JFD196637:JFE196643 JOZ196637:JPA196643 JYV196637:JYW196643 KIR196637:KIS196643 KSN196637:KSO196643 LCJ196637:LCK196643 LMF196637:LMG196643 LWB196637:LWC196643 MFX196637:MFY196643 MPT196637:MPU196643 MZP196637:MZQ196643 NJL196637:NJM196643 NTH196637:NTI196643 ODD196637:ODE196643 OMZ196637:ONA196643 OWV196637:OWW196643 PGR196637:PGS196643 PQN196637:PQO196643 QAJ196637:QAK196643 QKF196637:QKG196643 QUB196637:QUC196643 RDX196637:RDY196643 RNT196637:RNU196643 RXP196637:RXQ196643 SHL196637:SHM196643 SRH196637:SRI196643 TBD196637:TBE196643 TKZ196637:TLA196643 TUV196637:TUW196643 UER196637:UES196643 UON196637:UOO196643 UYJ196637:UYK196643 VIF196637:VIG196643 VSB196637:VSC196643 WBX196637:WBY196643 WLT196637:WLU196643 WVP196637:WVQ196643 H262173:I262179 JD262173:JE262179 SZ262173:TA262179 ACV262173:ACW262179 AMR262173:AMS262179 AWN262173:AWO262179 BGJ262173:BGK262179 BQF262173:BQG262179 CAB262173:CAC262179 CJX262173:CJY262179 CTT262173:CTU262179 DDP262173:DDQ262179 DNL262173:DNM262179 DXH262173:DXI262179 EHD262173:EHE262179 EQZ262173:ERA262179 FAV262173:FAW262179 FKR262173:FKS262179 FUN262173:FUO262179 GEJ262173:GEK262179 GOF262173:GOG262179 GYB262173:GYC262179 HHX262173:HHY262179 HRT262173:HRU262179 IBP262173:IBQ262179 ILL262173:ILM262179 IVH262173:IVI262179 JFD262173:JFE262179 JOZ262173:JPA262179 JYV262173:JYW262179 KIR262173:KIS262179 KSN262173:KSO262179 LCJ262173:LCK262179 LMF262173:LMG262179 LWB262173:LWC262179 MFX262173:MFY262179 MPT262173:MPU262179 MZP262173:MZQ262179 NJL262173:NJM262179 NTH262173:NTI262179 ODD262173:ODE262179 OMZ262173:ONA262179 OWV262173:OWW262179 PGR262173:PGS262179 PQN262173:PQO262179 QAJ262173:QAK262179 QKF262173:QKG262179 QUB262173:QUC262179 RDX262173:RDY262179 RNT262173:RNU262179 RXP262173:RXQ262179 SHL262173:SHM262179 SRH262173:SRI262179 TBD262173:TBE262179 TKZ262173:TLA262179 TUV262173:TUW262179 UER262173:UES262179 UON262173:UOO262179 UYJ262173:UYK262179 VIF262173:VIG262179 VSB262173:VSC262179 WBX262173:WBY262179 WLT262173:WLU262179 WVP262173:WVQ262179 H327709:I327715 JD327709:JE327715 SZ327709:TA327715 ACV327709:ACW327715 AMR327709:AMS327715 AWN327709:AWO327715 BGJ327709:BGK327715 BQF327709:BQG327715 CAB327709:CAC327715 CJX327709:CJY327715 CTT327709:CTU327715 DDP327709:DDQ327715 DNL327709:DNM327715 DXH327709:DXI327715 EHD327709:EHE327715 EQZ327709:ERA327715 FAV327709:FAW327715 FKR327709:FKS327715 FUN327709:FUO327715 GEJ327709:GEK327715 GOF327709:GOG327715 GYB327709:GYC327715 HHX327709:HHY327715 HRT327709:HRU327715 IBP327709:IBQ327715 ILL327709:ILM327715 IVH327709:IVI327715 JFD327709:JFE327715 JOZ327709:JPA327715 JYV327709:JYW327715 KIR327709:KIS327715 KSN327709:KSO327715 LCJ327709:LCK327715 LMF327709:LMG327715 LWB327709:LWC327715 MFX327709:MFY327715 MPT327709:MPU327715 MZP327709:MZQ327715 NJL327709:NJM327715 NTH327709:NTI327715 ODD327709:ODE327715 OMZ327709:ONA327715 OWV327709:OWW327715 PGR327709:PGS327715 PQN327709:PQO327715 QAJ327709:QAK327715 QKF327709:QKG327715 QUB327709:QUC327715 RDX327709:RDY327715 RNT327709:RNU327715 RXP327709:RXQ327715 SHL327709:SHM327715 SRH327709:SRI327715 TBD327709:TBE327715 TKZ327709:TLA327715 TUV327709:TUW327715 UER327709:UES327715 UON327709:UOO327715 UYJ327709:UYK327715 VIF327709:VIG327715 VSB327709:VSC327715 WBX327709:WBY327715 WLT327709:WLU327715 WVP327709:WVQ327715 H393245:I393251 JD393245:JE393251 SZ393245:TA393251 ACV393245:ACW393251 AMR393245:AMS393251 AWN393245:AWO393251 BGJ393245:BGK393251 BQF393245:BQG393251 CAB393245:CAC393251 CJX393245:CJY393251 CTT393245:CTU393251 DDP393245:DDQ393251 DNL393245:DNM393251 DXH393245:DXI393251 EHD393245:EHE393251 EQZ393245:ERA393251 FAV393245:FAW393251 FKR393245:FKS393251 FUN393245:FUO393251 GEJ393245:GEK393251 GOF393245:GOG393251 GYB393245:GYC393251 HHX393245:HHY393251 HRT393245:HRU393251 IBP393245:IBQ393251 ILL393245:ILM393251 IVH393245:IVI393251 JFD393245:JFE393251 JOZ393245:JPA393251 JYV393245:JYW393251 KIR393245:KIS393251 KSN393245:KSO393251 LCJ393245:LCK393251 LMF393245:LMG393251 LWB393245:LWC393251 MFX393245:MFY393251 MPT393245:MPU393251 MZP393245:MZQ393251 NJL393245:NJM393251 NTH393245:NTI393251 ODD393245:ODE393251 OMZ393245:ONA393251 OWV393245:OWW393251 PGR393245:PGS393251 PQN393245:PQO393251 QAJ393245:QAK393251 QKF393245:QKG393251 QUB393245:QUC393251 RDX393245:RDY393251 RNT393245:RNU393251 RXP393245:RXQ393251 SHL393245:SHM393251 SRH393245:SRI393251 TBD393245:TBE393251 TKZ393245:TLA393251 TUV393245:TUW393251 UER393245:UES393251 UON393245:UOO393251 UYJ393245:UYK393251 VIF393245:VIG393251 VSB393245:VSC393251 WBX393245:WBY393251 WLT393245:WLU393251 WVP393245:WVQ393251 H458781:I458787 JD458781:JE458787 SZ458781:TA458787 ACV458781:ACW458787 AMR458781:AMS458787 AWN458781:AWO458787 BGJ458781:BGK458787 BQF458781:BQG458787 CAB458781:CAC458787 CJX458781:CJY458787 CTT458781:CTU458787 DDP458781:DDQ458787 DNL458781:DNM458787 DXH458781:DXI458787 EHD458781:EHE458787 EQZ458781:ERA458787 FAV458781:FAW458787 FKR458781:FKS458787 FUN458781:FUO458787 GEJ458781:GEK458787 GOF458781:GOG458787 GYB458781:GYC458787 HHX458781:HHY458787 HRT458781:HRU458787 IBP458781:IBQ458787 ILL458781:ILM458787 IVH458781:IVI458787 JFD458781:JFE458787 JOZ458781:JPA458787 JYV458781:JYW458787 KIR458781:KIS458787 KSN458781:KSO458787 LCJ458781:LCK458787 LMF458781:LMG458787 LWB458781:LWC458787 MFX458781:MFY458787 MPT458781:MPU458787 MZP458781:MZQ458787 NJL458781:NJM458787 NTH458781:NTI458787 ODD458781:ODE458787 OMZ458781:ONA458787 OWV458781:OWW458787 PGR458781:PGS458787 PQN458781:PQO458787 QAJ458781:QAK458787 QKF458781:QKG458787 QUB458781:QUC458787 RDX458781:RDY458787 RNT458781:RNU458787 RXP458781:RXQ458787 SHL458781:SHM458787 SRH458781:SRI458787 TBD458781:TBE458787 TKZ458781:TLA458787 TUV458781:TUW458787 UER458781:UES458787 UON458781:UOO458787 UYJ458781:UYK458787 VIF458781:VIG458787 VSB458781:VSC458787 WBX458781:WBY458787 WLT458781:WLU458787 WVP458781:WVQ458787 H524317:I524323 JD524317:JE524323 SZ524317:TA524323 ACV524317:ACW524323 AMR524317:AMS524323 AWN524317:AWO524323 BGJ524317:BGK524323 BQF524317:BQG524323 CAB524317:CAC524323 CJX524317:CJY524323 CTT524317:CTU524323 DDP524317:DDQ524323 DNL524317:DNM524323 DXH524317:DXI524323 EHD524317:EHE524323 EQZ524317:ERA524323 FAV524317:FAW524323 FKR524317:FKS524323 FUN524317:FUO524323 GEJ524317:GEK524323 GOF524317:GOG524323 GYB524317:GYC524323 HHX524317:HHY524323 HRT524317:HRU524323 IBP524317:IBQ524323 ILL524317:ILM524323 IVH524317:IVI524323 JFD524317:JFE524323 JOZ524317:JPA524323 JYV524317:JYW524323 KIR524317:KIS524323 KSN524317:KSO524323 LCJ524317:LCK524323 LMF524317:LMG524323 LWB524317:LWC524323 MFX524317:MFY524323 MPT524317:MPU524323 MZP524317:MZQ524323 NJL524317:NJM524323 NTH524317:NTI524323 ODD524317:ODE524323 OMZ524317:ONA524323 OWV524317:OWW524323 PGR524317:PGS524323 PQN524317:PQO524323 QAJ524317:QAK524323 QKF524317:QKG524323 QUB524317:QUC524323 RDX524317:RDY524323 RNT524317:RNU524323 RXP524317:RXQ524323 SHL524317:SHM524323 SRH524317:SRI524323 TBD524317:TBE524323 TKZ524317:TLA524323 TUV524317:TUW524323 UER524317:UES524323 UON524317:UOO524323 UYJ524317:UYK524323 VIF524317:VIG524323 VSB524317:VSC524323 WBX524317:WBY524323 WLT524317:WLU524323 WVP524317:WVQ524323 H589853:I589859 JD589853:JE589859 SZ589853:TA589859 ACV589853:ACW589859 AMR589853:AMS589859 AWN589853:AWO589859 BGJ589853:BGK589859 BQF589853:BQG589859 CAB589853:CAC589859 CJX589853:CJY589859 CTT589853:CTU589859 DDP589853:DDQ589859 DNL589853:DNM589859 DXH589853:DXI589859 EHD589853:EHE589859 EQZ589853:ERA589859 FAV589853:FAW589859 FKR589853:FKS589859 FUN589853:FUO589859 GEJ589853:GEK589859 GOF589853:GOG589859 GYB589853:GYC589859 HHX589853:HHY589859 HRT589853:HRU589859 IBP589853:IBQ589859 ILL589853:ILM589859 IVH589853:IVI589859 JFD589853:JFE589859 JOZ589853:JPA589859 JYV589853:JYW589859 KIR589853:KIS589859 KSN589853:KSO589859 LCJ589853:LCK589859 LMF589853:LMG589859 LWB589853:LWC589859 MFX589853:MFY589859 MPT589853:MPU589859 MZP589853:MZQ589859 NJL589853:NJM589859 NTH589853:NTI589859 ODD589853:ODE589859 OMZ589853:ONA589859 OWV589853:OWW589859 PGR589853:PGS589859 PQN589853:PQO589859 QAJ589853:QAK589859 QKF589853:QKG589859 QUB589853:QUC589859 RDX589853:RDY589859 RNT589853:RNU589859 RXP589853:RXQ589859 SHL589853:SHM589859 SRH589853:SRI589859 TBD589853:TBE589859 TKZ589853:TLA589859 TUV589853:TUW589859 UER589853:UES589859 UON589853:UOO589859 UYJ589853:UYK589859 VIF589853:VIG589859 VSB589853:VSC589859 WBX589853:WBY589859 WLT589853:WLU589859 WVP589853:WVQ589859 H655389:I655395 JD655389:JE655395 SZ655389:TA655395 ACV655389:ACW655395 AMR655389:AMS655395 AWN655389:AWO655395 BGJ655389:BGK655395 BQF655389:BQG655395 CAB655389:CAC655395 CJX655389:CJY655395 CTT655389:CTU655395 DDP655389:DDQ655395 DNL655389:DNM655395 DXH655389:DXI655395 EHD655389:EHE655395 EQZ655389:ERA655395 FAV655389:FAW655395 FKR655389:FKS655395 FUN655389:FUO655395 GEJ655389:GEK655395 GOF655389:GOG655395 GYB655389:GYC655395 HHX655389:HHY655395 HRT655389:HRU655395 IBP655389:IBQ655395 ILL655389:ILM655395 IVH655389:IVI655395 JFD655389:JFE655395 JOZ655389:JPA655395 JYV655389:JYW655395 KIR655389:KIS655395 KSN655389:KSO655395 LCJ655389:LCK655395 LMF655389:LMG655395 LWB655389:LWC655395 MFX655389:MFY655395 MPT655389:MPU655395 MZP655389:MZQ655395 NJL655389:NJM655395 NTH655389:NTI655395 ODD655389:ODE655395 OMZ655389:ONA655395 OWV655389:OWW655395 PGR655389:PGS655395 PQN655389:PQO655395 QAJ655389:QAK655395 QKF655389:QKG655395 QUB655389:QUC655395 RDX655389:RDY655395 RNT655389:RNU655395 RXP655389:RXQ655395 SHL655389:SHM655395 SRH655389:SRI655395 TBD655389:TBE655395 TKZ655389:TLA655395 TUV655389:TUW655395 UER655389:UES655395 UON655389:UOO655395 UYJ655389:UYK655395 VIF655389:VIG655395 VSB655389:VSC655395 WBX655389:WBY655395 WLT655389:WLU655395 WVP655389:WVQ655395 H720925:I720931 JD720925:JE720931 SZ720925:TA720931 ACV720925:ACW720931 AMR720925:AMS720931 AWN720925:AWO720931 BGJ720925:BGK720931 BQF720925:BQG720931 CAB720925:CAC720931 CJX720925:CJY720931 CTT720925:CTU720931 DDP720925:DDQ720931 DNL720925:DNM720931 DXH720925:DXI720931 EHD720925:EHE720931 EQZ720925:ERA720931 FAV720925:FAW720931 FKR720925:FKS720931 FUN720925:FUO720931 GEJ720925:GEK720931 GOF720925:GOG720931 GYB720925:GYC720931 HHX720925:HHY720931 HRT720925:HRU720931 IBP720925:IBQ720931 ILL720925:ILM720931 IVH720925:IVI720931 JFD720925:JFE720931 JOZ720925:JPA720931 JYV720925:JYW720931 KIR720925:KIS720931 KSN720925:KSO720931 LCJ720925:LCK720931 LMF720925:LMG720931 LWB720925:LWC720931 MFX720925:MFY720931 MPT720925:MPU720931 MZP720925:MZQ720931 NJL720925:NJM720931 NTH720925:NTI720931 ODD720925:ODE720931 OMZ720925:ONA720931 OWV720925:OWW720931 PGR720925:PGS720931 PQN720925:PQO720931 QAJ720925:QAK720931 QKF720925:QKG720931 QUB720925:QUC720931 RDX720925:RDY720931 RNT720925:RNU720931 RXP720925:RXQ720931 SHL720925:SHM720931 SRH720925:SRI720931 TBD720925:TBE720931 TKZ720925:TLA720931 TUV720925:TUW720931 UER720925:UES720931 UON720925:UOO720931 UYJ720925:UYK720931 VIF720925:VIG720931 VSB720925:VSC720931 WBX720925:WBY720931 WLT720925:WLU720931 WVP720925:WVQ720931 H786461:I786467 JD786461:JE786467 SZ786461:TA786467 ACV786461:ACW786467 AMR786461:AMS786467 AWN786461:AWO786467 BGJ786461:BGK786467 BQF786461:BQG786467 CAB786461:CAC786467 CJX786461:CJY786467 CTT786461:CTU786467 DDP786461:DDQ786467 DNL786461:DNM786467 DXH786461:DXI786467 EHD786461:EHE786467 EQZ786461:ERA786467 FAV786461:FAW786467 FKR786461:FKS786467 FUN786461:FUO786467 GEJ786461:GEK786467 GOF786461:GOG786467 GYB786461:GYC786467 HHX786461:HHY786467 HRT786461:HRU786467 IBP786461:IBQ786467 ILL786461:ILM786467 IVH786461:IVI786467 JFD786461:JFE786467 JOZ786461:JPA786467 JYV786461:JYW786467 KIR786461:KIS786467 KSN786461:KSO786467 LCJ786461:LCK786467 LMF786461:LMG786467 LWB786461:LWC786467 MFX786461:MFY786467 MPT786461:MPU786467 MZP786461:MZQ786467 NJL786461:NJM786467 NTH786461:NTI786467 ODD786461:ODE786467 OMZ786461:ONA786467 OWV786461:OWW786467 PGR786461:PGS786467 PQN786461:PQO786467 QAJ786461:QAK786467 QKF786461:QKG786467 QUB786461:QUC786467 RDX786461:RDY786467 RNT786461:RNU786467 RXP786461:RXQ786467 SHL786461:SHM786467 SRH786461:SRI786467 TBD786461:TBE786467 TKZ786461:TLA786467 TUV786461:TUW786467 UER786461:UES786467 UON786461:UOO786467 UYJ786461:UYK786467 VIF786461:VIG786467 VSB786461:VSC786467 WBX786461:WBY786467 WLT786461:WLU786467 WVP786461:WVQ786467 H851997:I852003 JD851997:JE852003 SZ851997:TA852003 ACV851997:ACW852003 AMR851997:AMS852003 AWN851997:AWO852003 BGJ851997:BGK852003 BQF851997:BQG852003 CAB851997:CAC852003 CJX851997:CJY852003 CTT851997:CTU852003 DDP851997:DDQ852003 DNL851997:DNM852003 DXH851997:DXI852003 EHD851997:EHE852003 EQZ851997:ERA852003 FAV851997:FAW852003 FKR851997:FKS852003 FUN851997:FUO852003 GEJ851997:GEK852003 GOF851997:GOG852003 GYB851997:GYC852003 HHX851997:HHY852003 HRT851997:HRU852003 IBP851997:IBQ852003 ILL851997:ILM852003 IVH851997:IVI852003 JFD851997:JFE852003 JOZ851997:JPA852003 JYV851997:JYW852003 KIR851997:KIS852003 KSN851997:KSO852003 LCJ851997:LCK852003 LMF851997:LMG852003 LWB851997:LWC852003 MFX851997:MFY852003 MPT851997:MPU852003 MZP851997:MZQ852003 NJL851997:NJM852003 NTH851997:NTI852003 ODD851997:ODE852003 OMZ851997:ONA852003 OWV851997:OWW852003 PGR851997:PGS852003 PQN851997:PQO852003 QAJ851997:QAK852003 QKF851997:QKG852003 QUB851997:QUC852003 RDX851997:RDY852003 RNT851997:RNU852003 RXP851997:RXQ852003 SHL851997:SHM852003 SRH851997:SRI852003 TBD851997:TBE852003 TKZ851997:TLA852003 TUV851997:TUW852003 UER851997:UES852003 UON851997:UOO852003 UYJ851997:UYK852003 VIF851997:VIG852003 VSB851997:VSC852003 WBX851997:WBY852003 WLT851997:WLU852003 WVP851997:WVQ852003 H917533:I917539 JD917533:JE917539 SZ917533:TA917539 ACV917533:ACW917539 AMR917533:AMS917539 AWN917533:AWO917539 BGJ917533:BGK917539 BQF917533:BQG917539 CAB917533:CAC917539 CJX917533:CJY917539 CTT917533:CTU917539 DDP917533:DDQ917539 DNL917533:DNM917539 DXH917533:DXI917539 EHD917533:EHE917539 EQZ917533:ERA917539 FAV917533:FAW917539 FKR917533:FKS917539 FUN917533:FUO917539 GEJ917533:GEK917539 GOF917533:GOG917539 GYB917533:GYC917539 HHX917533:HHY917539 HRT917533:HRU917539 IBP917533:IBQ917539 ILL917533:ILM917539 IVH917533:IVI917539 JFD917533:JFE917539 JOZ917533:JPA917539 JYV917533:JYW917539 KIR917533:KIS917539 KSN917533:KSO917539 LCJ917533:LCK917539 LMF917533:LMG917539 LWB917533:LWC917539 MFX917533:MFY917539 MPT917533:MPU917539 MZP917533:MZQ917539 NJL917533:NJM917539 NTH917533:NTI917539 ODD917533:ODE917539 OMZ917533:ONA917539 OWV917533:OWW917539 PGR917533:PGS917539 PQN917533:PQO917539 QAJ917533:QAK917539 QKF917533:QKG917539 QUB917533:QUC917539 RDX917533:RDY917539 RNT917533:RNU917539 RXP917533:RXQ917539 SHL917533:SHM917539 SRH917533:SRI917539 TBD917533:TBE917539 TKZ917533:TLA917539 TUV917533:TUW917539 UER917533:UES917539 UON917533:UOO917539 UYJ917533:UYK917539 VIF917533:VIG917539 VSB917533:VSC917539 WBX917533:WBY917539 WLT917533:WLU917539 WVP917533:WVQ917539 H983069:I983075 JD983069:JE983075 SZ983069:TA983075 ACV983069:ACW983075 AMR983069:AMS983075 AWN983069:AWO983075 BGJ983069:BGK983075 BQF983069:BQG983075 CAB983069:CAC983075 CJX983069:CJY983075 CTT983069:CTU983075 DDP983069:DDQ983075 DNL983069:DNM983075 DXH983069:DXI983075 EHD983069:EHE983075 EQZ983069:ERA983075 FAV983069:FAW983075 FKR983069:FKS983075 FUN983069:FUO983075 GEJ983069:GEK983075 GOF983069:GOG983075 GYB983069:GYC983075 HHX983069:HHY983075 HRT983069:HRU983075 IBP983069:IBQ983075 ILL983069:ILM983075 IVH983069:IVI983075 JFD983069:JFE983075 JOZ983069:JPA983075 JYV983069:JYW983075 KIR983069:KIS983075 KSN983069:KSO983075 LCJ983069:LCK983075 LMF983069:LMG983075 LWB983069:LWC983075 MFX983069:MFY983075 MPT983069:MPU983075 MZP983069:MZQ983075 NJL983069:NJM983075 NTH983069:NTI983075 ODD983069:ODE983075 OMZ983069:ONA983075 OWV983069:OWW983075 PGR983069:PGS983075 PQN983069:PQO983075 QAJ983069:QAK983075 QKF983069:QKG983075 QUB983069:QUC983075 RDX983069:RDY983075 RNT983069:RNU983075 RXP983069:RXQ983075 SHL983069:SHM983075 SRH983069:SRI983075 TBD983069:TBE983075 TKZ983069:TLA983075 TUV983069:TUW983075 UER983069:UES983075 UON983069:UOO983075 UYJ983069:UYK983075 VIF983069:VIG983075 VSB983069:VSC983075 WBX983069:WBY983075 WLT983069:WLU983075 WVP983069:WVQ983075 H37:I43 JD37:JE43 SZ37:TA43 ACV37:ACW43 AMR37:AMS43 AWN37:AWO43 BGJ37:BGK43 BQF37:BQG43 CAB37:CAC43 CJX37:CJY43 CTT37:CTU43 DDP37:DDQ43 DNL37:DNM43 DXH37:DXI43 EHD37:EHE43 EQZ37:ERA43 FAV37:FAW43 FKR37:FKS43 FUN37:FUO43 GEJ37:GEK43 GOF37:GOG43 GYB37:GYC43 HHX37:HHY43 HRT37:HRU43 IBP37:IBQ43 ILL37:ILM43 IVH37:IVI43 JFD37:JFE43 JOZ37:JPA43 JYV37:JYW43 KIR37:KIS43 KSN37:KSO43 LCJ37:LCK43 LMF37:LMG43 LWB37:LWC43 MFX37:MFY43 MPT37:MPU43 MZP37:MZQ43 NJL37:NJM43 NTH37:NTI43 ODD37:ODE43 OMZ37:ONA43 OWV37:OWW43 PGR37:PGS43 PQN37:PQO43 QAJ37:QAK43 QKF37:QKG43 QUB37:QUC43 RDX37:RDY43 RNT37:RNU43 RXP37:RXQ43 SHL37:SHM43 SRH37:SRI43 TBD37:TBE43 TKZ37:TLA43 TUV37:TUW43 UER37:UES43 UON37:UOO43 UYJ37:UYK43 VIF37:VIG43 VSB37:VSC43 WBX37:WBY43 WLT37:WLU43 WVP37:WVQ43 H65573:I65579 JD65573:JE65579 SZ65573:TA65579 ACV65573:ACW65579 AMR65573:AMS65579 AWN65573:AWO65579 BGJ65573:BGK65579 BQF65573:BQG65579 CAB65573:CAC65579 CJX65573:CJY65579 CTT65573:CTU65579 DDP65573:DDQ65579 DNL65573:DNM65579 DXH65573:DXI65579 EHD65573:EHE65579 EQZ65573:ERA65579 FAV65573:FAW65579 FKR65573:FKS65579 FUN65573:FUO65579 GEJ65573:GEK65579 GOF65573:GOG65579 GYB65573:GYC65579 HHX65573:HHY65579 HRT65573:HRU65579 IBP65573:IBQ65579 ILL65573:ILM65579 IVH65573:IVI65579 JFD65573:JFE65579 JOZ65573:JPA65579 JYV65573:JYW65579 KIR65573:KIS65579 KSN65573:KSO65579 LCJ65573:LCK65579 LMF65573:LMG65579 LWB65573:LWC65579 MFX65573:MFY65579 MPT65573:MPU65579 MZP65573:MZQ65579 NJL65573:NJM65579 NTH65573:NTI65579 ODD65573:ODE65579 OMZ65573:ONA65579 OWV65573:OWW65579 PGR65573:PGS65579 PQN65573:PQO65579 QAJ65573:QAK65579 QKF65573:QKG65579 QUB65573:QUC65579 RDX65573:RDY65579 RNT65573:RNU65579 RXP65573:RXQ65579 SHL65573:SHM65579 SRH65573:SRI65579 TBD65573:TBE65579 TKZ65573:TLA65579 TUV65573:TUW65579 UER65573:UES65579 UON65573:UOO65579 UYJ65573:UYK65579 VIF65573:VIG65579 VSB65573:VSC65579 WBX65573:WBY65579 WLT65573:WLU65579 WVP65573:WVQ65579 H131109:I131115 JD131109:JE131115 SZ131109:TA131115 ACV131109:ACW131115 AMR131109:AMS131115 AWN131109:AWO131115 BGJ131109:BGK131115 BQF131109:BQG131115 CAB131109:CAC131115 CJX131109:CJY131115 CTT131109:CTU131115 DDP131109:DDQ131115 DNL131109:DNM131115 DXH131109:DXI131115 EHD131109:EHE131115 EQZ131109:ERA131115 FAV131109:FAW131115 FKR131109:FKS131115 FUN131109:FUO131115 GEJ131109:GEK131115 GOF131109:GOG131115 GYB131109:GYC131115 HHX131109:HHY131115 HRT131109:HRU131115 IBP131109:IBQ131115 ILL131109:ILM131115 IVH131109:IVI131115 JFD131109:JFE131115 JOZ131109:JPA131115 JYV131109:JYW131115 KIR131109:KIS131115 KSN131109:KSO131115 LCJ131109:LCK131115 LMF131109:LMG131115 LWB131109:LWC131115 MFX131109:MFY131115 MPT131109:MPU131115 MZP131109:MZQ131115 NJL131109:NJM131115 NTH131109:NTI131115 ODD131109:ODE131115 OMZ131109:ONA131115 OWV131109:OWW131115 PGR131109:PGS131115 PQN131109:PQO131115 QAJ131109:QAK131115 QKF131109:QKG131115 QUB131109:QUC131115 RDX131109:RDY131115 RNT131109:RNU131115 RXP131109:RXQ131115 SHL131109:SHM131115 SRH131109:SRI131115 TBD131109:TBE131115 TKZ131109:TLA131115 TUV131109:TUW131115 UER131109:UES131115 UON131109:UOO131115 UYJ131109:UYK131115 VIF131109:VIG131115 VSB131109:VSC131115 WBX131109:WBY131115 WLT131109:WLU131115 WVP131109:WVQ131115 H196645:I196651 JD196645:JE196651 SZ196645:TA196651 ACV196645:ACW196651 AMR196645:AMS196651 AWN196645:AWO196651 BGJ196645:BGK196651 BQF196645:BQG196651 CAB196645:CAC196651 CJX196645:CJY196651 CTT196645:CTU196651 DDP196645:DDQ196651 DNL196645:DNM196651 DXH196645:DXI196651 EHD196645:EHE196651 EQZ196645:ERA196651 FAV196645:FAW196651 FKR196645:FKS196651 FUN196645:FUO196651 GEJ196645:GEK196651 GOF196645:GOG196651 GYB196645:GYC196651 HHX196645:HHY196651 HRT196645:HRU196651 IBP196645:IBQ196651 ILL196645:ILM196651 IVH196645:IVI196651 JFD196645:JFE196651 JOZ196645:JPA196651 JYV196645:JYW196651 KIR196645:KIS196651 KSN196645:KSO196651 LCJ196645:LCK196651 LMF196645:LMG196651 LWB196645:LWC196651 MFX196645:MFY196651 MPT196645:MPU196651 MZP196645:MZQ196651 NJL196645:NJM196651 NTH196645:NTI196651 ODD196645:ODE196651 OMZ196645:ONA196651 OWV196645:OWW196651 PGR196645:PGS196651 PQN196645:PQO196651 QAJ196645:QAK196651 QKF196645:QKG196651 QUB196645:QUC196651 RDX196645:RDY196651 RNT196645:RNU196651 RXP196645:RXQ196651 SHL196645:SHM196651 SRH196645:SRI196651 TBD196645:TBE196651 TKZ196645:TLA196651 TUV196645:TUW196651 UER196645:UES196651 UON196645:UOO196651 UYJ196645:UYK196651 VIF196645:VIG196651 VSB196645:VSC196651 WBX196645:WBY196651 WLT196645:WLU196651 WVP196645:WVQ196651 H262181:I262187 JD262181:JE262187 SZ262181:TA262187 ACV262181:ACW262187 AMR262181:AMS262187 AWN262181:AWO262187 BGJ262181:BGK262187 BQF262181:BQG262187 CAB262181:CAC262187 CJX262181:CJY262187 CTT262181:CTU262187 DDP262181:DDQ262187 DNL262181:DNM262187 DXH262181:DXI262187 EHD262181:EHE262187 EQZ262181:ERA262187 FAV262181:FAW262187 FKR262181:FKS262187 FUN262181:FUO262187 GEJ262181:GEK262187 GOF262181:GOG262187 GYB262181:GYC262187 HHX262181:HHY262187 HRT262181:HRU262187 IBP262181:IBQ262187 ILL262181:ILM262187 IVH262181:IVI262187 JFD262181:JFE262187 JOZ262181:JPA262187 JYV262181:JYW262187 KIR262181:KIS262187 KSN262181:KSO262187 LCJ262181:LCK262187 LMF262181:LMG262187 LWB262181:LWC262187 MFX262181:MFY262187 MPT262181:MPU262187 MZP262181:MZQ262187 NJL262181:NJM262187 NTH262181:NTI262187 ODD262181:ODE262187 OMZ262181:ONA262187 OWV262181:OWW262187 PGR262181:PGS262187 PQN262181:PQO262187 QAJ262181:QAK262187 QKF262181:QKG262187 QUB262181:QUC262187 RDX262181:RDY262187 RNT262181:RNU262187 RXP262181:RXQ262187 SHL262181:SHM262187 SRH262181:SRI262187 TBD262181:TBE262187 TKZ262181:TLA262187 TUV262181:TUW262187 UER262181:UES262187 UON262181:UOO262187 UYJ262181:UYK262187 VIF262181:VIG262187 VSB262181:VSC262187 WBX262181:WBY262187 WLT262181:WLU262187 WVP262181:WVQ262187 H327717:I327723 JD327717:JE327723 SZ327717:TA327723 ACV327717:ACW327723 AMR327717:AMS327723 AWN327717:AWO327723 BGJ327717:BGK327723 BQF327717:BQG327723 CAB327717:CAC327723 CJX327717:CJY327723 CTT327717:CTU327723 DDP327717:DDQ327723 DNL327717:DNM327723 DXH327717:DXI327723 EHD327717:EHE327723 EQZ327717:ERA327723 FAV327717:FAW327723 FKR327717:FKS327723 FUN327717:FUO327723 GEJ327717:GEK327723 GOF327717:GOG327723 GYB327717:GYC327723 HHX327717:HHY327723 HRT327717:HRU327723 IBP327717:IBQ327723 ILL327717:ILM327723 IVH327717:IVI327723 JFD327717:JFE327723 JOZ327717:JPA327723 JYV327717:JYW327723 KIR327717:KIS327723 KSN327717:KSO327723 LCJ327717:LCK327723 LMF327717:LMG327723 LWB327717:LWC327723 MFX327717:MFY327723 MPT327717:MPU327723 MZP327717:MZQ327723 NJL327717:NJM327723 NTH327717:NTI327723 ODD327717:ODE327723 OMZ327717:ONA327723 OWV327717:OWW327723 PGR327717:PGS327723 PQN327717:PQO327723 QAJ327717:QAK327723 QKF327717:QKG327723 QUB327717:QUC327723 RDX327717:RDY327723 RNT327717:RNU327723 RXP327717:RXQ327723 SHL327717:SHM327723 SRH327717:SRI327723 TBD327717:TBE327723 TKZ327717:TLA327723 TUV327717:TUW327723 UER327717:UES327723 UON327717:UOO327723 UYJ327717:UYK327723 VIF327717:VIG327723 VSB327717:VSC327723 WBX327717:WBY327723 WLT327717:WLU327723 WVP327717:WVQ327723 H393253:I393259 JD393253:JE393259 SZ393253:TA393259 ACV393253:ACW393259 AMR393253:AMS393259 AWN393253:AWO393259 BGJ393253:BGK393259 BQF393253:BQG393259 CAB393253:CAC393259 CJX393253:CJY393259 CTT393253:CTU393259 DDP393253:DDQ393259 DNL393253:DNM393259 DXH393253:DXI393259 EHD393253:EHE393259 EQZ393253:ERA393259 FAV393253:FAW393259 FKR393253:FKS393259 FUN393253:FUO393259 GEJ393253:GEK393259 GOF393253:GOG393259 GYB393253:GYC393259 HHX393253:HHY393259 HRT393253:HRU393259 IBP393253:IBQ393259 ILL393253:ILM393259 IVH393253:IVI393259 JFD393253:JFE393259 JOZ393253:JPA393259 JYV393253:JYW393259 KIR393253:KIS393259 KSN393253:KSO393259 LCJ393253:LCK393259 LMF393253:LMG393259 LWB393253:LWC393259 MFX393253:MFY393259 MPT393253:MPU393259 MZP393253:MZQ393259 NJL393253:NJM393259 NTH393253:NTI393259 ODD393253:ODE393259 OMZ393253:ONA393259 OWV393253:OWW393259 PGR393253:PGS393259 PQN393253:PQO393259 QAJ393253:QAK393259 QKF393253:QKG393259 QUB393253:QUC393259 RDX393253:RDY393259 RNT393253:RNU393259 RXP393253:RXQ393259 SHL393253:SHM393259 SRH393253:SRI393259 TBD393253:TBE393259 TKZ393253:TLA393259 TUV393253:TUW393259 UER393253:UES393259 UON393253:UOO393259 UYJ393253:UYK393259 VIF393253:VIG393259 VSB393253:VSC393259 WBX393253:WBY393259 WLT393253:WLU393259 WVP393253:WVQ393259 H458789:I458795 JD458789:JE458795 SZ458789:TA458795 ACV458789:ACW458795 AMR458789:AMS458795 AWN458789:AWO458795 BGJ458789:BGK458795 BQF458789:BQG458795 CAB458789:CAC458795 CJX458789:CJY458795 CTT458789:CTU458795 DDP458789:DDQ458795 DNL458789:DNM458795 DXH458789:DXI458795 EHD458789:EHE458795 EQZ458789:ERA458795 FAV458789:FAW458795 FKR458789:FKS458795 FUN458789:FUO458795 GEJ458789:GEK458795 GOF458789:GOG458795 GYB458789:GYC458795 HHX458789:HHY458795 HRT458789:HRU458795 IBP458789:IBQ458795 ILL458789:ILM458795 IVH458789:IVI458795 JFD458789:JFE458795 JOZ458789:JPA458795 JYV458789:JYW458795 KIR458789:KIS458795 KSN458789:KSO458795 LCJ458789:LCK458795 LMF458789:LMG458795 LWB458789:LWC458795 MFX458789:MFY458795 MPT458789:MPU458795 MZP458789:MZQ458795 NJL458789:NJM458795 NTH458789:NTI458795 ODD458789:ODE458795 OMZ458789:ONA458795 OWV458789:OWW458795 PGR458789:PGS458795 PQN458789:PQO458795 QAJ458789:QAK458795 QKF458789:QKG458795 QUB458789:QUC458795 RDX458789:RDY458795 RNT458789:RNU458795 RXP458789:RXQ458795 SHL458789:SHM458795 SRH458789:SRI458795 TBD458789:TBE458795 TKZ458789:TLA458795 TUV458789:TUW458795 UER458789:UES458795 UON458789:UOO458795 UYJ458789:UYK458795 VIF458789:VIG458795 VSB458789:VSC458795 WBX458789:WBY458795 WLT458789:WLU458795 WVP458789:WVQ458795 H524325:I524331 JD524325:JE524331 SZ524325:TA524331 ACV524325:ACW524331 AMR524325:AMS524331 AWN524325:AWO524331 BGJ524325:BGK524331 BQF524325:BQG524331 CAB524325:CAC524331 CJX524325:CJY524331 CTT524325:CTU524331 DDP524325:DDQ524331 DNL524325:DNM524331 DXH524325:DXI524331 EHD524325:EHE524331 EQZ524325:ERA524331 FAV524325:FAW524331 FKR524325:FKS524331 FUN524325:FUO524331 GEJ524325:GEK524331 GOF524325:GOG524331 GYB524325:GYC524331 HHX524325:HHY524331 HRT524325:HRU524331 IBP524325:IBQ524331 ILL524325:ILM524331 IVH524325:IVI524331 JFD524325:JFE524331 JOZ524325:JPA524331 JYV524325:JYW524331 KIR524325:KIS524331 KSN524325:KSO524331 LCJ524325:LCK524331 LMF524325:LMG524331 LWB524325:LWC524331 MFX524325:MFY524331 MPT524325:MPU524331 MZP524325:MZQ524331 NJL524325:NJM524331 NTH524325:NTI524331 ODD524325:ODE524331 OMZ524325:ONA524331 OWV524325:OWW524331 PGR524325:PGS524331 PQN524325:PQO524331 QAJ524325:QAK524331 QKF524325:QKG524331 QUB524325:QUC524331 RDX524325:RDY524331 RNT524325:RNU524331 RXP524325:RXQ524331 SHL524325:SHM524331 SRH524325:SRI524331 TBD524325:TBE524331 TKZ524325:TLA524331 TUV524325:TUW524331 UER524325:UES524331 UON524325:UOO524331 UYJ524325:UYK524331 VIF524325:VIG524331 VSB524325:VSC524331 WBX524325:WBY524331 WLT524325:WLU524331 WVP524325:WVQ524331 H589861:I589867 JD589861:JE589867 SZ589861:TA589867 ACV589861:ACW589867 AMR589861:AMS589867 AWN589861:AWO589867 BGJ589861:BGK589867 BQF589861:BQG589867 CAB589861:CAC589867 CJX589861:CJY589867 CTT589861:CTU589867 DDP589861:DDQ589867 DNL589861:DNM589867 DXH589861:DXI589867 EHD589861:EHE589867 EQZ589861:ERA589867 FAV589861:FAW589867 FKR589861:FKS589867 FUN589861:FUO589867 GEJ589861:GEK589867 GOF589861:GOG589867 GYB589861:GYC589867 HHX589861:HHY589867 HRT589861:HRU589867 IBP589861:IBQ589867 ILL589861:ILM589867 IVH589861:IVI589867 JFD589861:JFE589867 JOZ589861:JPA589867 JYV589861:JYW589867 KIR589861:KIS589867 KSN589861:KSO589867 LCJ589861:LCK589867 LMF589861:LMG589867 LWB589861:LWC589867 MFX589861:MFY589867 MPT589861:MPU589867 MZP589861:MZQ589867 NJL589861:NJM589867 NTH589861:NTI589867 ODD589861:ODE589867 OMZ589861:ONA589867 OWV589861:OWW589867 PGR589861:PGS589867 PQN589861:PQO589867 QAJ589861:QAK589867 QKF589861:QKG589867 QUB589861:QUC589867 RDX589861:RDY589867 RNT589861:RNU589867 RXP589861:RXQ589867 SHL589861:SHM589867 SRH589861:SRI589867 TBD589861:TBE589867 TKZ589861:TLA589867 TUV589861:TUW589867 UER589861:UES589867 UON589861:UOO589867 UYJ589861:UYK589867 VIF589861:VIG589867 VSB589861:VSC589867 WBX589861:WBY589867 WLT589861:WLU589867 WVP589861:WVQ589867 H655397:I655403 JD655397:JE655403 SZ655397:TA655403 ACV655397:ACW655403 AMR655397:AMS655403 AWN655397:AWO655403 BGJ655397:BGK655403 BQF655397:BQG655403 CAB655397:CAC655403 CJX655397:CJY655403 CTT655397:CTU655403 DDP655397:DDQ655403 DNL655397:DNM655403 DXH655397:DXI655403 EHD655397:EHE655403 EQZ655397:ERA655403 FAV655397:FAW655403 FKR655397:FKS655403 FUN655397:FUO655403 GEJ655397:GEK655403 GOF655397:GOG655403 GYB655397:GYC655403 HHX655397:HHY655403 HRT655397:HRU655403 IBP655397:IBQ655403 ILL655397:ILM655403 IVH655397:IVI655403 JFD655397:JFE655403 JOZ655397:JPA655403 JYV655397:JYW655403 KIR655397:KIS655403 KSN655397:KSO655403 LCJ655397:LCK655403 LMF655397:LMG655403 LWB655397:LWC655403 MFX655397:MFY655403 MPT655397:MPU655403 MZP655397:MZQ655403 NJL655397:NJM655403 NTH655397:NTI655403 ODD655397:ODE655403 OMZ655397:ONA655403 OWV655397:OWW655403 PGR655397:PGS655403 PQN655397:PQO655403 QAJ655397:QAK655403 QKF655397:QKG655403 QUB655397:QUC655403 RDX655397:RDY655403 RNT655397:RNU655403 RXP655397:RXQ655403 SHL655397:SHM655403 SRH655397:SRI655403 TBD655397:TBE655403 TKZ655397:TLA655403 TUV655397:TUW655403 UER655397:UES655403 UON655397:UOO655403 UYJ655397:UYK655403 VIF655397:VIG655403 VSB655397:VSC655403 WBX655397:WBY655403 WLT655397:WLU655403 WVP655397:WVQ655403 H720933:I720939 JD720933:JE720939 SZ720933:TA720939 ACV720933:ACW720939 AMR720933:AMS720939 AWN720933:AWO720939 BGJ720933:BGK720939 BQF720933:BQG720939 CAB720933:CAC720939 CJX720933:CJY720939 CTT720933:CTU720939 DDP720933:DDQ720939 DNL720933:DNM720939 DXH720933:DXI720939 EHD720933:EHE720939 EQZ720933:ERA720939 FAV720933:FAW720939 FKR720933:FKS720939 FUN720933:FUO720939 GEJ720933:GEK720939 GOF720933:GOG720939 GYB720933:GYC720939 HHX720933:HHY720939 HRT720933:HRU720939 IBP720933:IBQ720939 ILL720933:ILM720939 IVH720933:IVI720939 JFD720933:JFE720939 JOZ720933:JPA720939 JYV720933:JYW720939 KIR720933:KIS720939 KSN720933:KSO720939 LCJ720933:LCK720939 LMF720933:LMG720939 LWB720933:LWC720939 MFX720933:MFY720939 MPT720933:MPU720939 MZP720933:MZQ720939 NJL720933:NJM720939 NTH720933:NTI720939 ODD720933:ODE720939 OMZ720933:ONA720939 OWV720933:OWW720939 PGR720933:PGS720939 PQN720933:PQO720939 QAJ720933:QAK720939 QKF720933:QKG720939 QUB720933:QUC720939 RDX720933:RDY720939 RNT720933:RNU720939 RXP720933:RXQ720939 SHL720933:SHM720939 SRH720933:SRI720939 TBD720933:TBE720939 TKZ720933:TLA720939 TUV720933:TUW720939 UER720933:UES720939 UON720933:UOO720939 UYJ720933:UYK720939 VIF720933:VIG720939 VSB720933:VSC720939 WBX720933:WBY720939 WLT720933:WLU720939 WVP720933:WVQ720939 H786469:I786475 JD786469:JE786475 SZ786469:TA786475 ACV786469:ACW786475 AMR786469:AMS786475 AWN786469:AWO786475 BGJ786469:BGK786475 BQF786469:BQG786475 CAB786469:CAC786475 CJX786469:CJY786475 CTT786469:CTU786475 DDP786469:DDQ786475 DNL786469:DNM786475 DXH786469:DXI786475 EHD786469:EHE786475 EQZ786469:ERA786475 FAV786469:FAW786475 FKR786469:FKS786475 FUN786469:FUO786475 GEJ786469:GEK786475 GOF786469:GOG786475 GYB786469:GYC786475 HHX786469:HHY786475 HRT786469:HRU786475 IBP786469:IBQ786475 ILL786469:ILM786475 IVH786469:IVI786475 JFD786469:JFE786475 JOZ786469:JPA786475 JYV786469:JYW786475 KIR786469:KIS786475 KSN786469:KSO786475 LCJ786469:LCK786475 LMF786469:LMG786475 LWB786469:LWC786475 MFX786469:MFY786475 MPT786469:MPU786475 MZP786469:MZQ786475 NJL786469:NJM786475 NTH786469:NTI786475 ODD786469:ODE786475 OMZ786469:ONA786475 OWV786469:OWW786475 PGR786469:PGS786475 PQN786469:PQO786475 QAJ786469:QAK786475 QKF786469:QKG786475 QUB786469:QUC786475 RDX786469:RDY786475 RNT786469:RNU786475 RXP786469:RXQ786475 SHL786469:SHM786475 SRH786469:SRI786475 TBD786469:TBE786475 TKZ786469:TLA786475 TUV786469:TUW786475 UER786469:UES786475 UON786469:UOO786475 UYJ786469:UYK786475 VIF786469:VIG786475 VSB786469:VSC786475 WBX786469:WBY786475 WLT786469:WLU786475 WVP786469:WVQ786475 H852005:I852011 JD852005:JE852011 SZ852005:TA852011 ACV852005:ACW852011 AMR852005:AMS852011 AWN852005:AWO852011 BGJ852005:BGK852011 BQF852005:BQG852011 CAB852005:CAC852011 CJX852005:CJY852011 CTT852005:CTU852011 DDP852005:DDQ852011 DNL852005:DNM852011 DXH852005:DXI852011 EHD852005:EHE852011 EQZ852005:ERA852011 FAV852005:FAW852011 FKR852005:FKS852011 FUN852005:FUO852011 GEJ852005:GEK852011 GOF852005:GOG852011 GYB852005:GYC852011 HHX852005:HHY852011 HRT852005:HRU852011 IBP852005:IBQ852011 ILL852005:ILM852011 IVH852005:IVI852011 JFD852005:JFE852011 JOZ852005:JPA852011 JYV852005:JYW852011 KIR852005:KIS852011 KSN852005:KSO852011 LCJ852005:LCK852011 LMF852005:LMG852011 LWB852005:LWC852011 MFX852005:MFY852011 MPT852005:MPU852011 MZP852005:MZQ852011 NJL852005:NJM852011 NTH852005:NTI852011 ODD852005:ODE852011 OMZ852005:ONA852011 OWV852005:OWW852011 PGR852005:PGS852011 PQN852005:PQO852011 QAJ852005:QAK852011 QKF852005:QKG852011 QUB852005:QUC852011 RDX852005:RDY852011 RNT852005:RNU852011 RXP852005:RXQ852011 SHL852005:SHM852011 SRH852005:SRI852011 TBD852005:TBE852011 TKZ852005:TLA852011 TUV852005:TUW852011 UER852005:UES852011 UON852005:UOO852011 UYJ852005:UYK852011 VIF852005:VIG852011 VSB852005:VSC852011 WBX852005:WBY852011 WLT852005:WLU852011 WVP852005:WVQ852011 H917541:I917547 JD917541:JE917547 SZ917541:TA917547 ACV917541:ACW917547 AMR917541:AMS917547 AWN917541:AWO917547 BGJ917541:BGK917547 BQF917541:BQG917547 CAB917541:CAC917547 CJX917541:CJY917547 CTT917541:CTU917547 DDP917541:DDQ917547 DNL917541:DNM917547 DXH917541:DXI917547 EHD917541:EHE917547 EQZ917541:ERA917547 FAV917541:FAW917547 FKR917541:FKS917547 FUN917541:FUO917547 GEJ917541:GEK917547 GOF917541:GOG917547 GYB917541:GYC917547 HHX917541:HHY917547 HRT917541:HRU917547 IBP917541:IBQ917547 ILL917541:ILM917547 IVH917541:IVI917547 JFD917541:JFE917547 JOZ917541:JPA917547 JYV917541:JYW917547 KIR917541:KIS917547 KSN917541:KSO917547 LCJ917541:LCK917547 LMF917541:LMG917547 LWB917541:LWC917547 MFX917541:MFY917547 MPT917541:MPU917547 MZP917541:MZQ917547 NJL917541:NJM917547 NTH917541:NTI917547 ODD917541:ODE917547 OMZ917541:ONA917547 OWV917541:OWW917547 PGR917541:PGS917547 PQN917541:PQO917547 QAJ917541:QAK917547 QKF917541:QKG917547 QUB917541:QUC917547 RDX917541:RDY917547 RNT917541:RNU917547 RXP917541:RXQ917547 SHL917541:SHM917547 SRH917541:SRI917547 TBD917541:TBE917547 TKZ917541:TLA917547 TUV917541:TUW917547 UER917541:UES917547 UON917541:UOO917547 UYJ917541:UYK917547 VIF917541:VIG917547 VSB917541:VSC917547 WBX917541:WBY917547 WLT917541:WLU917547 WVP917541:WVQ917547 H983077:I983083 JD983077:JE983083 SZ983077:TA983083 ACV983077:ACW983083 AMR983077:AMS983083 AWN983077:AWO983083 BGJ983077:BGK983083 BQF983077:BQG983083 CAB983077:CAC983083 CJX983077:CJY983083 CTT983077:CTU983083 DDP983077:DDQ983083 DNL983077:DNM983083 DXH983077:DXI983083 EHD983077:EHE983083 EQZ983077:ERA983083 FAV983077:FAW983083 FKR983077:FKS983083 FUN983077:FUO983083 GEJ983077:GEK983083 GOF983077:GOG983083 GYB983077:GYC983083 HHX983077:HHY983083 HRT983077:HRU983083 IBP983077:IBQ983083 ILL983077:ILM983083 IVH983077:IVI983083 JFD983077:JFE983083 JOZ983077:JPA983083 JYV983077:JYW983083 KIR983077:KIS983083 KSN983077:KSO983083 LCJ983077:LCK983083 LMF983077:LMG983083 LWB983077:LWC983083 MFX983077:MFY983083 MPT983077:MPU983083 MZP983077:MZQ983083 NJL983077:NJM983083 NTH983077:NTI983083 ODD983077:ODE983083 OMZ983077:ONA983083 OWV983077:OWW983083 PGR983077:PGS983083 PQN983077:PQO983083 QAJ983077:QAK983083 QKF983077:QKG983083 QUB983077:QUC983083 RDX983077:RDY983083 RNT983077:RNU983083 RXP983077:RXQ983083 SHL983077:SHM983083 SRH983077:SRI983083 TBD983077:TBE983083 TKZ983077:TLA983083 TUV983077:TUW983083 UER983077:UES983083 UON983077:UOO983083 UYJ983077:UYK983083 VIF983077:VIG983083 VSB983077:VSC983083 WBX983077:WBY983083 WLT983077:WLU983083 WVP983077:WVQ983083 H45:I45 JD45:JE45 SZ45:TA45 ACV45:ACW45 AMR45:AMS45 AWN45:AWO45 BGJ45:BGK45 BQF45:BQG45 CAB45:CAC45 CJX45:CJY45 CTT45:CTU45 DDP45:DDQ45 DNL45:DNM45 DXH45:DXI45 EHD45:EHE45 EQZ45:ERA45 FAV45:FAW45 FKR45:FKS45 FUN45:FUO45 GEJ45:GEK45 GOF45:GOG45 GYB45:GYC45 HHX45:HHY45 HRT45:HRU45 IBP45:IBQ45 ILL45:ILM45 IVH45:IVI45 JFD45:JFE45 JOZ45:JPA45 JYV45:JYW45 KIR45:KIS45 KSN45:KSO45 LCJ45:LCK45 LMF45:LMG45 LWB45:LWC45 MFX45:MFY45 MPT45:MPU45 MZP45:MZQ45 NJL45:NJM45 NTH45:NTI45 ODD45:ODE45 OMZ45:ONA45 OWV45:OWW45 PGR45:PGS45 PQN45:PQO45 QAJ45:QAK45 QKF45:QKG45 QUB45:QUC45 RDX45:RDY45 RNT45:RNU45 RXP45:RXQ45 SHL45:SHM45 SRH45:SRI45 TBD45:TBE45 TKZ45:TLA45 TUV45:TUW45 UER45:UES45 UON45:UOO45 UYJ45:UYK45 VIF45:VIG45 VSB45:VSC45 WBX45:WBY45 WLT45:WLU45 WVP45:WVQ45 H65581:I65581 JD65581:JE65581 SZ65581:TA65581 ACV65581:ACW65581 AMR65581:AMS65581 AWN65581:AWO65581 BGJ65581:BGK65581 BQF65581:BQG65581 CAB65581:CAC65581 CJX65581:CJY65581 CTT65581:CTU65581 DDP65581:DDQ65581 DNL65581:DNM65581 DXH65581:DXI65581 EHD65581:EHE65581 EQZ65581:ERA65581 FAV65581:FAW65581 FKR65581:FKS65581 FUN65581:FUO65581 GEJ65581:GEK65581 GOF65581:GOG65581 GYB65581:GYC65581 HHX65581:HHY65581 HRT65581:HRU65581 IBP65581:IBQ65581 ILL65581:ILM65581 IVH65581:IVI65581 JFD65581:JFE65581 JOZ65581:JPA65581 JYV65581:JYW65581 KIR65581:KIS65581 KSN65581:KSO65581 LCJ65581:LCK65581 LMF65581:LMG65581 LWB65581:LWC65581 MFX65581:MFY65581 MPT65581:MPU65581 MZP65581:MZQ65581 NJL65581:NJM65581 NTH65581:NTI65581 ODD65581:ODE65581 OMZ65581:ONA65581 OWV65581:OWW65581 PGR65581:PGS65581 PQN65581:PQO65581 QAJ65581:QAK65581 QKF65581:QKG65581 QUB65581:QUC65581 RDX65581:RDY65581 RNT65581:RNU65581 RXP65581:RXQ65581 SHL65581:SHM65581 SRH65581:SRI65581 TBD65581:TBE65581 TKZ65581:TLA65581 TUV65581:TUW65581 UER65581:UES65581 UON65581:UOO65581 UYJ65581:UYK65581 VIF65581:VIG65581 VSB65581:VSC65581 WBX65581:WBY65581 WLT65581:WLU65581 WVP65581:WVQ65581 H131117:I131117 JD131117:JE131117 SZ131117:TA131117 ACV131117:ACW131117 AMR131117:AMS131117 AWN131117:AWO131117 BGJ131117:BGK131117 BQF131117:BQG131117 CAB131117:CAC131117 CJX131117:CJY131117 CTT131117:CTU131117 DDP131117:DDQ131117 DNL131117:DNM131117 DXH131117:DXI131117 EHD131117:EHE131117 EQZ131117:ERA131117 FAV131117:FAW131117 FKR131117:FKS131117 FUN131117:FUO131117 GEJ131117:GEK131117 GOF131117:GOG131117 GYB131117:GYC131117 HHX131117:HHY131117 HRT131117:HRU131117 IBP131117:IBQ131117 ILL131117:ILM131117 IVH131117:IVI131117 JFD131117:JFE131117 JOZ131117:JPA131117 JYV131117:JYW131117 KIR131117:KIS131117 KSN131117:KSO131117 LCJ131117:LCK131117 LMF131117:LMG131117 LWB131117:LWC131117 MFX131117:MFY131117 MPT131117:MPU131117 MZP131117:MZQ131117 NJL131117:NJM131117 NTH131117:NTI131117 ODD131117:ODE131117 OMZ131117:ONA131117 OWV131117:OWW131117 PGR131117:PGS131117 PQN131117:PQO131117 QAJ131117:QAK131117 QKF131117:QKG131117 QUB131117:QUC131117 RDX131117:RDY131117 RNT131117:RNU131117 RXP131117:RXQ131117 SHL131117:SHM131117 SRH131117:SRI131117 TBD131117:TBE131117 TKZ131117:TLA131117 TUV131117:TUW131117 UER131117:UES131117 UON131117:UOO131117 UYJ131117:UYK131117 VIF131117:VIG131117 VSB131117:VSC131117 WBX131117:WBY131117 WLT131117:WLU131117 WVP131117:WVQ131117 H196653:I196653 JD196653:JE196653 SZ196653:TA196653 ACV196653:ACW196653 AMR196653:AMS196653 AWN196653:AWO196653 BGJ196653:BGK196653 BQF196653:BQG196653 CAB196653:CAC196653 CJX196653:CJY196653 CTT196653:CTU196653 DDP196653:DDQ196653 DNL196653:DNM196653 DXH196653:DXI196653 EHD196653:EHE196653 EQZ196653:ERA196653 FAV196653:FAW196653 FKR196653:FKS196653 FUN196653:FUO196653 GEJ196653:GEK196653 GOF196653:GOG196653 GYB196653:GYC196653 HHX196653:HHY196653 HRT196653:HRU196653 IBP196653:IBQ196653 ILL196653:ILM196653 IVH196653:IVI196653 JFD196653:JFE196653 JOZ196653:JPA196653 JYV196653:JYW196653 KIR196653:KIS196653 KSN196653:KSO196653 LCJ196653:LCK196653 LMF196653:LMG196653 LWB196653:LWC196653 MFX196653:MFY196653 MPT196653:MPU196653 MZP196653:MZQ196653 NJL196653:NJM196653 NTH196653:NTI196653 ODD196653:ODE196653 OMZ196653:ONA196653 OWV196653:OWW196653 PGR196653:PGS196653 PQN196653:PQO196653 QAJ196653:QAK196653 QKF196653:QKG196653 QUB196653:QUC196653 RDX196653:RDY196653 RNT196653:RNU196653 RXP196653:RXQ196653 SHL196653:SHM196653 SRH196653:SRI196653 TBD196653:TBE196653 TKZ196653:TLA196653 TUV196653:TUW196653 UER196653:UES196653 UON196653:UOO196653 UYJ196653:UYK196653 VIF196653:VIG196653 VSB196653:VSC196653 WBX196653:WBY196653 WLT196653:WLU196653 WVP196653:WVQ196653 H262189:I262189 JD262189:JE262189 SZ262189:TA262189 ACV262189:ACW262189 AMR262189:AMS262189 AWN262189:AWO262189 BGJ262189:BGK262189 BQF262189:BQG262189 CAB262189:CAC262189 CJX262189:CJY262189 CTT262189:CTU262189 DDP262189:DDQ262189 DNL262189:DNM262189 DXH262189:DXI262189 EHD262189:EHE262189 EQZ262189:ERA262189 FAV262189:FAW262189 FKR262189:FKS262189 FUN262189:FUO262189 GEJ262189:GEK262189 GOF262189:GOG262189 GYB262189:GYC262189 HHX262189:HHY262189 HRT262189:HRU262189 IBP262189:IBQ262189 ILL262189:ILM262189 IVH262189:IVI262189 JFD262189:JFE262189 JOZ262189:JPA262189 JYV262189:JYW262189 KIR262189:KIS262189 KSN262189:KSO262189 LCJ262189:LCK262189 LMF262189:LMG262189 LWB262189:LWC262189 MFX262189:MFY262189 MPT262189:MPU262189 MZP262189:MZQ262189 NJL262189:NJM262189 NTH262189:NTI262189 ODD262189:ODE262189 OMZ262189:ONA262189 OWV262189:OWW262189 PGR262189:PGS262189 PQN262189:PQO262189 QAJ262189:QAK262189 QKF262189:QKG262189 QUB262189:QUC262189 RDX262189:RDY262189 RNT262189:RNU262189 RXP262189:RXQ262189 SHL262189:SHM262189 SRH262189:SRI262189 TBD262189:TBE262189 TKZ262189:TLA262189 TUV262189:TUW262189 UER262189:UES262189 UON262189:UOO262189 UYJ262189:UYK262189 VIF262189:VIG262189 VSB262189:VSC262189 WBX262189:WBY262189 WLT262189:WLU262189 WVP262189:WVQ262189 H327725:I327725 JD327725:JE327725 SZ327725:TA327725 ACV327725:ACW327725 AMR327725:AMS327725 AWN327725:AWO327725 BGJ327725:BGK327725 BQF327725:BQG327725 CAB327725:CAC327725 CJX327725:CJY327725 CTT327725:CTU327725 DDP327725:DDQ327725 DNL327725:DNM327725 DXH327725:DXI327725 EHD327725:EHE327725 EQZ327725:ERA327725 FAV327725:FAW327725 FKR327725:FKS327725 FUN327725:FUO327725 GEJ327725:GEK327725 GOF327725:GOG327725 GYB327725:GYC327725 HHX327725:HHY327725 HRT327725:HRU327725 IBP327725:IBQ327725 ILL327725:ILM327725 IVH327725:IVI327725 JFD327725:JFE327725 JOZ327725:JPA327725 JYV327725:JYW327725 KIR327725:KIS327725 KSN327725:KSO327725 LCJ327725:LCK327725 LMF327725:LMG327725 LWB327725:LWC327725 MFX327725:MFY327725 MPT327725:MPU327725 MZP327725:MZQ327725 NJL327725:NJM327725 NTH327725:NTI327725 ODD327725:ODE327725 OMZ327725:ONA327725 OWV327725:OWW327725 PGR327725:PGS327725 PQN327725:PQO327725 QAJ327725:QAK327725 QKF327725:QKG327725 QUB327725:QUC327725 RDX327725:RDY327725 RNT327725:RNU327725 RXP327725:RXQ327725 SHL327725:SHM327725 SRH327725:SRI327725 TBD327725:TBE327725 TKZ327725:TLA327725 TUV327725:TUW327725 UER327725:UES327725 UON327725:UOO327725 UYJ327725:UYK327725 VIF327725:VIG327725 VSB327725:VSC327725 WBX327725:WBY327725 WLT327725:WLU327725 WVP327725:WVQ327725 H393261:I393261 JD393261:JE393261 SZ393261:TA393261 ACV393261:ACW393261 AMR393261:AMS393261 AWN393261:AWO393261 BGJ393261:BGK393261 BQF393261:BQG393261 CAB393261:CAC393261 CJX393261:CJY393261 CTT393261:CTU393261 DDP393261:DDQ393261 DNL393261:DNM393261 DXH393261:DXI393261 EHD393261:EHE393261 EQZ393261:ERA393261 FAV393261:FAW393261 FKR393261:FKS393261 FUN393261:FUO393261 GEJ393261:GEK393261 GOF393261:GOG393261 GYB393261:GYC393261 HHX393261:HHY393261 HRT393261:HRU393261 IBP393261:IBQ393261 ILL393261:ILM393261 IVH393261:IVI393261 JFD393261:JFE393261 JOZ393261:JPA393261 JYV393261:JYW393261 KIR393261:KIS393261 KSN393261:KSO393261 LCJ393261:LCK393261 LMF393261:LMG393261 LWB393261:LWC393261 MFX393261:MFY393261 MPT393261:MPU393261 MZP393261:MZQ393261 NJL393261:NJM393261 NTH393261:NTI393261 ODD393261:ODE393261 OMZ393261:ONA393261 OWV393261:OWW393261 PGR393261:PGS393261 PQN393261:PQO393261 QAJ393261:QAK393261 QKF393261:QKG393261 QUB393261:QUC393261 RDX393261:RDY393261 RNT393261:RNU393261 RXP393261:RXQ393261 SHL393261:SHM393261 SRH393261:SRI393261 TBD393261:TBE393261 TKZ393261:TLA393261 TUV393261:TUW393261 UER393261:UES393261 UON393261:UOO393261 UYJ393261:UYK393261 VIF393261:VIG393261 VSB393261:VSC393261 WBX393261:WBY393261 WLT393261:WLU393261 WVP393261:WVQ393261 H458797:I458797 JD458797:JE458797 SZ458797:TA458797 ACV458797:ACW458797 AMR458797:AMS458797 AWN458797:AWO458797 BGJ458797:BGK458797 BQF458797:BQG458797 CAB458797:CAC458797 CJX458797:CJY458797 CTT458797:CTU458797 DDP458797:DDQ458797 DNL458797:DNM458797 DXH458797:DXI458797 EHD458797:EHE458797 EQZ458797:ERA458797 FAV458797:FAW458797 FKR458797:FKS458797 FUN458797:FUO458797 GEJ458797:GEK458797 GOF458797:GOG458797 GYB458797:GYC458797 HHX458797:HHY458797 HRT458797:HRU458797 IBP458797:IBQ458797 ILL458797:ILM458797 IVH458797:IVI458797 JFD458797:JFE458797 JOZ458797:JPA458797 JYV458797:JYW458797 KIR458797:KIS458797 KSN458797:KSO458797 LCJ458797:LCK458797 LMF458797:LMG458797 LWB458797:LWC458797 MFX458797:MFY458797 MPT458797:MPU458797 MZP458797:MZQ458797 NJL458797:NJM458797 NTH458797:NTI458797 ODD458797:ODE458797 OMZ458797:ONA458797 OWV458797:OWW458797 PGR458797:PGS458797 PQN458797:PQO458797 QAJ458797:QAK458797 QKF458797:QKG458797 QUB458797:QUC458797 RDX458797:RDY458797 RNT458797:RNU458797 RXP458797:RXQ458797 SHL458797:SHM458797 SRH458797:SRI458797 TBD458797:TBE458797 TKZ458797:TLA458797 TUV458797:TUW458797 UER458797:UES458797 UON458797:UOO458797 UYJ458797:UYK458797 VIF458797:VIG458797 VSB458797:VSC458797 WBX458797:WBY458797 WLT458797:WLU458797 WVP458797:WVQ458797 H524333:I524333 JD524333:JE524333 SZ524333:TA524333 ACV524333:ACW524333 AMR524333:AMS524333 AWN524333:AWO524333 BGJ524333:BGK524333 BQF524333:BQG524333 CAB524333:CAC524333 CJX524333:CJY524333 CTT524333:CTU524333 DDP524333:DDQ524333 DNL524333:DNM524333 DXH524333:DXI524333 EHD524333:EHE524333 EQZ524333:ERA524333 FAV524333:FAW524333 FKR524333:FKS524333 FUN524333:FUO524333 GEJ524333:GEK524333 GOF524333:GOG524333 GYB524333:GYC524333 HHX524333:HHY524333 HRT524333:HRU524333 IBP524333:IBQ524333 ILL524333:ILM524333 IVH524333:IVI524333 JFD524333:JFE524333 JOZ524333:JPA524333 JYV524333:JYW524333 KIR524333:KIS524333 KSN524333:KSO524333 LCJ524333:LCK524333 LMF524333:LMG524333 LWB524333:LWC524333 MFX524333:MFY524333 MPT524333:MPU524333 MZP524333:MZQ524333 NJL524333:NJM524333 NTH524333:NTI524333 ODD524333:ODE524333 OMZ524333:ONA524333 OWV524333:OWW524333 PGR524333:PGS524333 PQN524333:PQO524333 QAJ524333:QAK524333 QKF524333:QKG524333 QUB524333:QUC524333 RDX524333:RDY524333 RNT524333:RNU524333 RXP524333:RXQ524333 SHL524333:SHM524333 SRH524333:SRI524333 TBD524333:TBE524333 TKZ524333:TLA524333 TUV524333:TUW524333 UER524333:UES524333 UON524333:UOO524333 UYJ524333:UYK524333 VIF524333:VIG524333 VSB524333:VSC524333 WBX524333:WBY524333 WLT524333:WLU524333 WVP524333:WVQ524333 H589869:I589869 JD589869:JE589869 SZ589869:TA589869 ACV589869:ACW589869 AMR589869:AMS589869 AWN589869:AWO589869 BGJ589869:BGK589869 BQF589869:BQG589869 CAB589869:CAC589869 CJX589869:CJY589869 CTT589869:CTU589869 DDP589869:DDQ589869 DNL589869:DNM589869 DXH589869:DXI589869 EHD589869:EHE589869 EQZ589869:ERA589869 FAV589869:FAW589869 FKR589869:FKS589869 FUN589869:FUO589869 GEJ589869:GEK589869 GOF589869:GOG589869 GYB589869:GYC589869 HHX589869:HHY589869 HRT589869:HRU589869 IBP589869:IBQ589869 ILL589869:ILM589869 IVH589869:IVI589869 JFD589869:JFE589869 JOZ589869:JPA589869 JYV589869:JYW589869 KIR589869:KIS589869 KSN589869:KSO589869 LCJ589869:LCK589869 LMF589869:LMG589869 LWB589869:LWC589869 MFX589869:MFY589869 MPT589869:MPU589869 MZP589869:MZQ589869 NJL589869:NJM589869 NTH589869:NTI589869 ODD589869:ODE589869 OMZ589869:ONA589869 OWV589869:OWW589869 PGR589869:PGS589869 PQN589869:PQO589869 QAJ589869:QAK589869 QKF589869:QKG589869 QUB589869:QUC589869 RDX589869:RDY589869 RNT589869:RNU589869 RXP589869:RXQ589869 SHL589869:SHM589869 SRH589869:SRI589869 TBD589869:TBE589869 TKZ589869:TLA589869 TUV589869:TUW589869 UER589869:UES589869 UON589869:UOO589869 UYJ589869:UYK589869 VIF589869:VIG589869 VSB589869:VSC589869 WBX589869:WBY589869 WLT589869:WLU589869 WVP589869:WVQ589869 H655405:I655405 JD655405:JE655405 SZ655405:TA655405 ACV655405:ACW655405 AMR655405:AMS655405 AWN655405:AWO655405 BGJ655405:BGK655405 BQF655405:BQG655405 CAB655405:CAC655405 CJX655405:CJY655405 CTT655405:CTU655405 DDP655405:DDQ655405 DNL655405:DNM655405 DXH655405:DXI655405 EHD655405:EHE655405 EQZ655405:ERA655405 FAV655405:FAW655405 FKR655405:FKS655405 FUN655405:FUO655405 GEJ655405:GEK655405 GOF655405:GOG655405 GYB655405:GYC655405 HHX655405:HHY655405 HRT655405:HRU655405 IBP655405:IBQ655405 ILL655405:ILM655405 IVH655405:IVI655405 JFD655405:JFE655405 JOZ655405:JPA655405 JYV655405:JYW655405 KIR655405:KIS655405 KSN655405:KSO655405 LCJ655405:LCK655405 LMF655405:LMG655405 LWB655405:LWC655405 MFX655405:MFY655405 MPT655405:MPU655405 MZP655405:MZQ655405 NJL655405:NJM655405 NTH655405:NTI655405 ODD655405:ODE655405 OMZ655405:ONA655405 OWV655405:OWW655405 PGR655405:PGS655405 PQN655405:PQO655405 QAJ655405:QAK655405 QKF655405:QKG655405 QUB655405:QUC655405 RDX655405:RDY655405 RNT655405:RNU655405 RXP655405:RXQ655405 SHL655405:SHM655405 SRH655405:SRI655405 TBD655405:TBE655405 TKZ655405:TLA655405 TUV655405:TUW655405 UER655405:UES655405 UON655405:UOO655405 UYJ655405:UYK655405 VIF655405:VIG655405 VSB655405:VSC655405 WBX655405:WBY655405 WLT655405:WLU655405 WVP655405:WVQ655405 H720941:I720941 JD720941:JE720941 SZ720941:TA720941 ACV720941:ACW720941 AMR720941:AMS720941 AWN720941:AWO720941 BGJ720941:BGK720941 BQF720941:BQG720941 CAB720941:CAC720941 CJX720941:CJY720941 CTT720941:CTU720941 DDP720941:DDQ720941 DNL720941:DNM720941 DXH720941:DXI720941 EHD720941:EHE720941 EQZ720941:ERA720941 FAV720941:FAW720941 FKR720941:FKS720941 FUN720941:FUO720941 GEJ720941:GEK720941 GOF720941:GOG720941 GYB720941:GYC720941 HHX720941:HHY720941 HRT720941:HRU720941 IBP720941:IBQ720941 ILL720941:ILM720941 IVH720941:IVI720941 JFD720941:JFE720941 JOZ720941:JPA720941 JYV720941:JYW720941 KIR720941:KIS720941 KSN720941:KSO720941 LCJ720941:LCK720941 LMF720941:LMG720941 LWB720941:LWC720941 MFX720941:MFY720941 MPT720941:MPU720941 MZP720941:MZQ720941 NJL720941:NJM720941 NTH720941:NTI720941 ODD720941:ODE720941 OMZ720941:ONA720941 OWV720941:OWW720941 PGR720941:PGS720941 PQN720941:PQO720941 QAJ720941:QAK720941 QKF720941:QKG720941 QUB720941:QUC720941 RDX720941:RDY720941 RNT720941:RNU720941 RXP720941:RXQ720941 SHL720941:SHM720941 SRH720941:SRI720941 TBD720941:TBE720941 TKZ720941:TLA720941 TUV720941:TUW720941 UER720941:UES720941 UON720941:UOO720941 UYJ720941:UYK720941 VIF720941:VIG720941 VSB720941:VSC720941 WBX720941:WBY720941 WLT720941:WLU720941 WVP720941:WVQ720941 H786477:I786477 JD786477:JE786477 SZ786477:TA786477 ACV786477:ACW786477 AMR786477:AMS786477 AWN786477:AWO786477 BGJ786477:BGK786477 BQF786477:BQG786477 CAB786477:CAC786477 CJX786477:CJY786477 CTT786477:CTU786477 DDP786477:DDQ786477 DNL786477:DNM786477 DXH786477:DXI786477 EHD786477:EHE786477 EQZ786477:ERA786477 FAV786477:FAW786477 FKR786477:FKS786477 FUN786477:FUO786477 GEJ786477:GEK786477 GOF786477:GOG786477 GYB786477:GYC786477 HHX786477:HHY786477 HRT786477:HRU786477 IBP786477:IBQ786477 ILL786477:ILM786477 IVH786477:IVI786477 JFD786477:JFE786477 JOZ786477:JPA786477 JYV786477:JYW786477 KIR786477:KIS786477 KSN786477:KSO786477 LCJ786477:LCK786477 LMF786477:LMG786477 LWB786477:LWC786477 MFX786477:MFY786477 MPT786477:MPU786477 MZP786477:MZQ786477 NJL786477:NJM786477 NTH786477:NTI786477 ODD786477:ODE786477 OMZ786477:ONA786477 OWV786477:OWW786477 PGR786477:PGS786477 PQN786477:PQO786477 QAJ786477:QAK786477 QKF786477:QKG786477 QUB786477:QUC786477 RDX786477:RDY786477 RNT786477:RNU786477 RXP786477:RXQ786477 SHL786477:SHM786477 SRH786477:SRI786477 TBD786477:TBE786477 TKZ786477:TLA786477 TUV786477:TUW786477 UER786477:UES786477 UON786477:UOO786477 UYJ786477:UYK786477 VIF786477:VIG786477 VSB786477:VSC786477 WBX786477:WBY786477 WLT786477:WLU786477 WVP786477:WVQ786477 H852013:I852013 JD852013:JE852013 SZ852013:TA852013 ACV852013:ACW852013 AMR852013:AMS852013 AWN852013:AWO852013 BGJ852013:BGK852013 BQF852013:BQG852013 CAB852013:CAC852013 CJX852013:CJY852013 CTT852013:CTU852013 DDP852013:DDQ852013 DNL852013:DNM852013 DXH852013:DXI852013 EHD852013:EHE852013 EQZ852013:ERA852013 FAV852013:FAW852013 FKR852013:FKS852013 FUN852013:FUO852013 GEJ852013:GEK852013 GOF852013:GOG852013 GYB852013:GYC852013 HHX852013:HHY852013 HRT852013:HRU852013 IBP852013:IBQ852013 ILL852013:ILM852013 IVH852013:IVI852013 JFD852013:JFE852013 JOZ852013:JPA852013 JYV852013:JYW852013 KIR852013:KIS852013 KSN852013:KSO852013 LCJ852013:LCK852013 LMF852013:LMG852013 LWB852013:LWC852013 MFX852013:MFY852013 MPT852013:MPU852013 MZP852013:MZQ852013 NJL852013:NJM852013 NTH852013:NTI852013 ODD852013:ODE852013 OMZ852013:ONA852013 OWV852013:OWW852013 PGR852013:PGS852013 PQN852013:PQO852013 QAJ852013:QAK852013 QKF852013:QKG852013 QUB852013:QUC852013 RDX852013:RDY852013 RNT852013:RNU852013 RXP852013:RXQ852013 SHL852013:SHM852013 SRH852013:SRI852013 TBD852013:TBE852013 TKZ852013:TLA852013 TUV852013:TUW852013 UER852013:UES852013 UON852013:UOO852013 UYJ852013:UYK852013 VIF852013:VIG852013 VSB852013:VSC852013 WBX852013:WBY852013 WLT852013:WLU852013 WVP852013:WVQ852013 H917549:I917549 JD917549:JE917549 SZ917549:TA917549 ACV917549:ACW917549 AMR917549:AMS917549 AWN917549:AWO917549 BGJ917549:BGK917549 BQF917549:BQG917549 CAB917549:CAC917549 CJX917549:CJY917549 CTT917549:CTU917549 DDP917549:DDQ917549 DNL917549:DNM917549 DXH917549:DXI917549 EHD917549:EHE917549 EQZ917549:ERA917549 FAV917549:FAW917549 FKR917549:FKS917549 FUN917549:FUO917549 GEJ917549:GEK917549 GOF917549:GOG917549 GYB917549:GYC917549 HHX917549:HHY917549 HRT917549:HRU917549 IBP917549:IBQ917549 ILL917549:ILM917549 IVH917549:IVI917549 JFD917549:JFE917549 JOZ917549:JPA917549 JYV917549:JYW917549 KIR917549:KIS917549 KSN917549:KSO917549 LCJ917549:LCK917549 LMF917549:LMG917549 LWB917549:LWC917549 MFX917549:MFY917549 MPT917549:MPU917549 MZP917549:MZQ917549 NJL917549:NJM917549 NTH917549:NTI917549 ODD917549:ODE917549 OMZ917549:ONA917549 OWV917549:OWW917549 PGR917549:PGS917549 PQN917549:PQO917549 QAJ917549:QAK917549 QKF917549:QKG917549 QUB917549:QUC917549 RDX917549:RDY917549 RNT917549:RNU917549 RXP917549:RXQ917549 SHL917549:SHM917549 SRH917549:SRI917549 TBD917549:TBE917549 TKZ917549:TLA917549 TUV917549:TUW917549 UER917549:UES917549 UON917549:UOO917549 UYJ917549:UYK917549 VIF917549:VIG917549 VSB917549:VSC917549 WBX917549:WBY917549 WLT917549:WLU917549 WVP917549:WVQ917549 H983085:I983085 JD983085:JE983085 SZ983085:TA983085 ACV983085:ACW983085 AMR983085:AMS983085 AWN983085:AWO983085 BGJ983085:BGK983085 BQF983085:BQG983085 CAB983085:CAC983085 CJX983085:CJY983085 CTT983085:CTU983085 DDP983085:DDQ983085 DNL983085:DNM983085 DXH983085:DXI983085 EHD983085:EHE983085 EQZ983085:ERA983085 FAV983085:FAW983085 FKR983085:FKS983085 FUN983085:FUO983085 GEJ983085:GEK983085 GOF983085:GOG983085 GYB983085:GYC983085 HHX983085:HHY983085 HRT983085:HRU983085 IBP983085:IBQ983085 ILL983085:ILM983085 IVH983085:IVI983085 JFD983085:JFE983085 JOZ983085:JPA983085 JYV983085:JYW983085 KIR983085:KIS983085 KSN983085:KSO983085 LCJ983085:LCK983085 LMF983085:LMG983085 LWB983085:LWC983085 MFX983085:MFY983085 MPT983085:MPU983085 MZP983085:MZQ983085 NJL983085:NJM983085 NTH983085:NTI983085 ODD983085:ODE983085 OMZ983085:ONA983085 OWV983085:OWW983085 PGR983085:PGS983085 PQN983085:PQO983085 QAJ983085:QAK983085 QKF983085:QKG983085 QUB983085:QUC983085 RDX983085:RDY983085 RNT983085:RNU983085 RXP983085:RXQ983085 SHL983085:SHM983085 SRH983085:SRI983085 TBD983085:TBE983085 TKZ983085:TLA983085 TUV983085:TUW983085 UER983085:UES983085 UON983085:UOO983085 UYJ983085:UYK983085 VIF983085:VIG983085 VSB983085:VSC983085 WBX983085:WBY983085 WLT983085:WLU983085 WVP983085:WVQ983085 H49:I51 JD49:JE51 SZ49:TA51 ACV49:ACW51 AMR49:AMS51 AWN49:AWO51 BGJ49:BGK51 BQF49:BQG51 CAB49:CAC51 CJX49:CJY51 CTT49:CTU51 DDP49:DDQ51 DNL49:DNM51 DXH49:DXI51 EHD49:EHE51 EQZ49:ERA51 FAV49:FAW51 FKR49:FKS51 FUN49:FUO51 GEJ49:GEK51 GOF49:GOG51 GYB49:GYC51 HHX49:HHY51 HRT49:HRU51 IBP49:IBQ51 ILL49:ILM51 IVH49:IVI51 JFD49:JFE51 JOZ49:JPA51 JYV49:JYW51 KIR49:KIS51 KSN49:KSO51 LCJ49:LCK51 LMF49:LMG51 LWB49:LWC51 MFX49:MFY51 MPT49:MPU51 MZP49:MZQ51 NJL49:NJM51 NTH49:NTI51 ODD49:ODE51 OMZ49:ONA51 OWV49:OWW51 PGR49:PGS51 PQN49:PQO51 QAJ49:QAK51 QKF49:QKG51 QUB49:QUC51 RDX49:RDY51 RNT49:RNU51 RXP49:RXQ51 SHL49:SHM51 SRH49:SRI51 TBD49:TBE51 TKZ49:TLA51 TUV49:TUW51 UER49:UES51 UON49:UOO51 UYJ49:UYK51 VIF49:VIG51 VSB49:VSC51 WBX49:WBY51 WLT49:WLU51 WVP49:WVQ51 H65585:I65587 JD65585:JE65587 SZ65585:TA65587 ACV65585:ACW65587 AMR65585:AMS65587 AWN65585:AWO65587 BGJ65585:BGK65587 BQF65585:BQG65587 CAB65585:CAC65587 CJX65585:CJY65587 CTT65585:CTU65587 DDP65585:DDQ65587 DNL65585:DNM65587 DXH65585:DXI65587 EHD65585:EHE65587 EQZ65585:ERA65587 FAV65585:FAW65587 FKR65585:FKS65587 FUN65585:FUO65587 GEJ65585:GEK65587 GOF65585:GOG65587 GYB65585:GYC65587 HHX65585:HHY65587 HRT65585:HRU65587 IBP65585:IBQ65587 ILL65585:ILM65587 IVH65585:IVI65587 JFD65585:JFE65587 JOZ65585:JPA65587 JYV65585:JYW65587 KIR65585:KIS65587 KSN65585:KSO65587 LCJ65585:LCK65587 LMF65585:LMG65587 LWB65585:LWC65587 MFX65585:MFY65587 MPT65585:MPU65587 MZP65585:MZQ65587 NJL65585:NJM65587 NTH65585:NTI65587 ODD65585:ODE65587 OMZ65585:ONA65587 OWV65585:OWW65587 PGR65585:PGS65587 PQN65585:PQO65587 QAJ65585:QAK65587 QKF65585:QKG65587 QUB65585:QUC65587 RDX65585:RDY65587 RNT65585:RNU65587 RXP65585:RXQ65587 SHL65585:SHM65587 SRH65585:SRI65587 TBD65585:TBE65587 TKZ65585:TLA65587 TUV65585:TUW65587 UER65585:UES65587 UON65585:UOO65587 UYJ65585:UYK65587 VIF65585:VIG65587 VSB65585:VSC65587 WBX65585:WBY65587 WLT65585:WLU65587 WVP65585:WVQ65587 H131121:I131123 JD131121:JE131123 SZ131121:TA131123 ACV131121:ACW131123 AMR131121:AMS131123 AWN131121:AWO131123 BGJ131121:BGK131123 BQF131121:BQG131123 CAB131121:CAC131123 CJX131121:CJY131123 CTT131121:CTU131123 DDP131121:DDQ131123 DNL131121:DNM131123 DXH131121:DXI131123 EHD131121:EHE131123 EQZ131121:ERA131123 FAV131121:FAW131123 FKR131121:FKS131123 FUN131121:FUO131123 GEJ131121:GEK131123 GOF131121:GOG131123 GYB131121:GYC131123 HHX131121:HHY131123 HRT131121:HRU131123 IBP131121:IBQ131123 ILL131121:ILM131123 IVH131121:IVI131123 JFD131121:JFE131123 JOZ131121:JPA131123 JYV131121:JYW131123 KIR131121:KIS131123 KSN131121:KSO131123 LCJ131121:LCK131123 LMF131121:LMG131123 LWB131121:LWC131123 MFX131121:MFY131123 MPT131121:MPU131123 MZP131121:MZQ131123 NJL131121:NJM131123 NTH131121:NTI131123 ODD131121:ODE131123 OMZ131121:ONA131123 OWV131121:OWW131123 PGR131121:PGS131123 PQN131121:PQO131123 QAJ131121:QAK131123 QKF131121:QKG131123 QUB131121:QUC131123 RDX131121:RDY131123 RNT131121:RNU131123 RXP131121:RXQ131123 SHL131121:SHM131123 SRH131121:SRI131123 TBD131121:TBE131123 TKZ131121:TLA131123 TUV131121:TUW131123 UER131121:UES131123 UON131121:UOO131123 UYJ131121:UYK131123 VIF131121:VIG131123 VSB131121:VSC131123 WBX131121:WBY131123 WLT131121:WLU131123 WVP131121:WVQ131123 H196657:I196659 JD196657:JE196659 SZ196657:TA196659 ACV196657:ACW196659 AMR196657:AMS196659 AWN196657:AWO196659 BGJ196657:BGK196659 BQF196657:BQG196659 CAB196657:CAC196659 CJX196657:CJY196659 CTT196657:CTU196659 DDP196657:DDQ196659 DNL196657:DNM196659 DXH196657:DXI196659 EHD196657:EHE196659 EQZ196657:ERA196659 FAV196657:FAW196659 FKR196657:FKS196659 FUN196657:FUO196659 GEJ196657:GEK196659 GOF196657:GOG196659 GYB196657:GYC196659 HHX196657:HHY196659 HRT196657:HRU196659 IBP196657:IBQ196659 ILL196657:ILM196659 IVH196657:IVI196659 JFD196657:JFE196659 JOZ196657:JPA196659 JYV196657:JYW196659 KIR196657:KIS196659 KSN196657:KSO196659 LCJ196657:LCK196659 LMF196657:LMG196659 LWB196657:LWC196659 MFX196657:MFY196659 MPT196657:MPU196659 MZP196657:MZQ196659 NJL196657:NJM196659 NTH196657:NTI196659 ODD196657:ODE196659 OMZ196657:ONA196659 OWV196657:OWW196659 PGR196657:PGS196659 PQN196657:PQO196659 QAJ196657:QAK196659 QKF196657:QKG196659 QUB196657:QUC196659 RDX196657:RDY196659 RNT196657:RNU196659 RXP196657:RXQ196659 SHL196657:SHM196659 SRH196657:SRI196659 TBD196657:TBE196659 TKZ196657:TLA196659 TUV196657:TUW196659 UER196657:UES196659 UON196657:UOO196659 UYJ196657:UYK196659 VIF196657:VIG196659 VSB196657:VSC196659 WBX196657:WBY196659 WLT196657:WLU196659 WVP196657:WVQ196659 H262193:I262195 JD262193:JE262195 SZ262193:TA262195 ACV262193:ACW262195 AMR262193:AMS262195 AWN262193:AWO262195 BGJ262193:BGK262195 BQF262193:BQG262195 CAB262193:CAC262195 CJX262193:CJY262195 CTT262193:CTU262195 DDP262193:DDQ262195 DNL262193:DNM262195 DXH262193:DXI262195 EHD262193:EHE262195 EQZ262193:ERA262195 FAV262193:FAW262195 FKR262193:FKS262195 FUN262193:FUO262195 GEJ262193:GEK262195 GOF262193:GOG262195 GYB262193:GYC262195 HHX262193:HHY262195 HRT262193:HRU262195 IBP262193:IBQ262195 ILL262193:ILM262195 IVH262193:IVI262195 JFD262193:JFE262195 JOZ262193:JPA262195 JYV262193:JYW262195 KIR262193:KIS262195 KSN262193:KSO262195 LCJ262193:LCK262195 LMF262193:LMG262195 LWB262193:LWC262195 MFX262193:MFY262195 MPT262193:MPU262195 MZP262193:MZQ262195 NJL262193:NJM262195 NTH262193:NTI262195 ODD262193:ODE262195 OMZ262193:ONA262195 OWV262193:OWW262195 PGR262193:PGS262195 PQN262193:PQO262195 QAJ262193:QAK262195 QKF262193:QKG262195 QUB262193:QUC262195 RDX262193:RDY262195 RNT262193:RNU262195 RXP262193:RXQ262195 SHL262193:SHM262195 SRH262193:SRI262195 TBD262193:TBE262195 TKZ262193:TLA262195 TUV262193:TUW262195 UER262193:UES262195 UON262193:UOO262195 UYJ262193:UYK262195 VIF262193:VIG262195 VSB262193:VSC262195 WBX262193:WBY262195 WLT262193:WLU262195 WVP262193:WVQ262195 H327729:I327731 JD327729:JE327731 SZ327729:TA327731 ACV327729:ACW327731 AMR327729:AMS327731 AWN327729:AWO327731 BGJ327729:BGK327731 BQF327729:BQG327731 CAB327729:CAC327731 CJX327729:CJY327731 CTT327729:CTU327731 DDP327729:DDQ327731 DNL327729:DNM327731 DXH327729:DXI327731 EHD327729:EHE327731 EQZ327729:ERA327731 FAV327729:FAW327731 FKR327729:FKS327731 FUN327729:FUO327731 GEJ327729:GEK327731 GOF327729:GOG327731 GYB327729:GYC327731 HHX327729:HHY327731 HRT327729:HRU327731 IBP327729:IBQ327731 ILL327729:ILM327731 IVH327729:IVI327731 JFD327729:JFE327731 JOZ327729:JPA327731 JYV327729:JYW327731 KIR327729:KIS327731 KSN327729:KSO327731 LCJ327729:LCK327731 LMF327729:LMG327731 LWB327729:LWC327731 MFX327729:MFY327731 MPT327729:MPU327731 MZP327729:MZQ327731 NJL327729:NJM327731 NTH327729:NTI327731 ODD327729:ODE327731 OMZ327729:ONA327731 OWV327729:OWW327731 PGR327729:PGS327731 PQN327729:PQO327731 QAJ327729:QAK327731 QKF327729:QKG327731 QUB327729:QUC327731 RDX327729:RDY327731 RNT327729:RNU327731 RXP327729:RXQ327731 SHL327729:SHM327731 SRH327729:SRI327731 TBD327729:TBE327731 TKZ327729:TLA327731 TUV327729:TUW327731 UER327729:UES327731 UON327729:UOO327731 UYJ327729:UYK327731 VIF327729:VIG327731 VSB327729:VSC327731 WBX327729:WBY327731 WLT327729:WLU327731 WVP327729:WVQ327731 H393265:I393267 JD393265:JE393267 SZ393265:TA393267 ACV393265:ACW393267 AMR393265:AMS393267 AWN393265:AWO393267 BGJ393265:BGK393267 BQF393265:BQG393267 CAB393265:CAC393267 CJX393265:CJY393267 CTT393265:CTU393267 DDP393265:DDQ393267 DNL393265:DNM393267 DXH393265:DXI393267 EHD393265:EHE393267 EQZ393265:ERA393267 FAV393265:FAW393267 FKR393265:FKS393267 FUN393265:FUO393267 GEJ393265:GEK393267 GOF393265:GOG393267 GYB393265:GYC393267 HHX393265:HHY393267 HRT393265:HRU393267 IBP393265:IBQ393267 ILL393265:ILM393267 IVH393265:IVI393267 JFD393265:JFE393267 JOZ393265:JPA393267 JYV393265:JYW393267 KIR393265:KIS393267 KSN393265:KSO393267 LCJ393265:LCK393267 LMF393265:LMG393267 LWB393265:LWC393267 MFX393265:MFY393267 MPT393265:MPU393267 MZP393265:MZQ393267 NJL393265:NJM393267 NTH393265:NTI393267 ODD393265:ODE393267 OMZ393265:ONA393267 OWV393265:OWW393267 PGR393265:PGS393267 PQN393265:PQO393267 QAJ393265:QAK393267 QKF393265:QKG393267 QUB393265:QUC393267 RDX393265:RDY393267 RNT393265:RNU393267 RXP393265:RXQ393267 SHL393265:SHM393267 SRH393265:SRI393267 TBD393265:TBE393267 TKZ393265:TLA393267 TUV393265:TUW393267 UER393265:UES393267 UON393265:UOO393267 UYJ393265:UYK393267 VIF393265:VIG393267 VSB393265:VSC393267 WBX393265:WBY393267 WLT393265:WLU393267 WVP393265:WVQ393267 H458801:I458803 JD458801:JE458803 SZ458801:TA458803 ACV458801:ACW458803 AMR458801:AMS458803 AWN458801:AWO458803 BGJ458801:BGK458803 BQF458801:BQG458803 CAB458801:CAC458803 CJX458801:CJY458803 CTT458801:CTU458803 DDP458801:DDQ458803 DNL458801:DNM458803 DXH458801:DXI458803 EHD458801:EHE458803 EQZ458801:ERA458803 FAV458801:FAW458803 FKR458801:FKS458803 FUN458801:FUO458803 GEJ458801:GEK458803 GOF458801:GOG458803 GYB458801:GYC458803 HHX458801:HHY458803 HRT458801:HRU458803 IBP458801:IBQ458803 ILL458801:ILM458803 IVH458801:IVI458803 JFD458801:JFE458803 JOZ458801:JPA458803 JYV458801:JYW458803 KIR458801:KIS458803 KSN458801:KSO458803 LCJ458801:LCK458803 LMF458801:LMG458803 LWB458801:LWC458803 MFX458801:MFY458803 MPT458801:MPU458803 MZP458801:MZQ458803 NJL458801:NJM458803 NTH458801:NTI458803 ODD458801:ODE458803 OMZ458801:ONA458803 OWV458801:OWW458803 PGR458801:PGS458803 PQN458801:PQO458803 QAJ458801:QAK458803 QKF458801:QKG458803 QUB458801:QUC458803 RDX458801:RDY458803 RNT458801:RNU458803 RXP458801:RXQ458803 SHL458801:SHM458803 SRH458801:SRI458803 TBD458801:TBE458803 TKZ458801:TLA458803 TUV458801:TUW458803 UER458801:UES458803 UON458801:UOO458803 UYJ458801:UYK458803 VIF458801:VIG458803 VSB458801:VSC458803 WBX458801:WBY458803 WLT458801:WLU458803 WVP458801:WVQ458803 H524337:I524339 JD524337:JE524339 SZ524337:TA524339 ACV524337:ACW524339 AMR524337:AMS524339 AWN524337:AWO524339 BGJ524337:BGK524339 BQF524337:BQG524339 CAB524337:CAC524339 CJX524337:CJY524339 CTT524337:CTU524339 DDP524337:DDQ524339 DNL524337:DNM524339 DXH524337:DXI524339 EHD524337:EHE524339 EQZ524337:ERA524339 FAV524337:FAW524339 FKR524337:FKS524339 FUN524337:FUO524339 GEJ524337:GEK524339 GOF524337:GOG524339 GYB524337:GYC524339 HHX524337:HHY524339 HRT524337:HRU524339 IBP524337:IBQ524339 ILL524337:ILM524339 IVH524337:IVI524339 JFD524337:JFE524339 JOZ524337:JPA524339 JYV524337:JYW524339 KIR524337:KIS524339 KSN524337:KSO524339 LCJ524337:LCK524339 LMF524337:LMG524339 LWB524337:LWC524339 MFX524337:MFY524339 MPT524337:MPU524339 MZP524337:MZQ524339 NJL524337:NJM524339 NTH524337:NTI524339 ODD524337:ODE524339 OMZ524337:ONA524339 OWV524337:OWW524339 PGR524337:PGS524339 PQN524337:PQO524339 QAJ524337:QAK524339 QKF524337:QKG524339 QUB524337:QUC524339 RDX524337:RDY524339 RNT524337:RNU524339 RXP524337:RXQ524339 SHL524337:SHM524339 SRH524337:SRI524339 TBD524337:TBE524339 TKZ524337:TLA524339 TUV524337:TUW524339 UER524337:UES524339 UON524337:UOO524339 UYJ524337:UYK524339 VIF524337:VIG524339 VSB524337:VSC524339 WBX524337:WBY524339 WLT524337:WLU524339 WVP524337:WVQ524339 H589873:I589875 JD589873:JE589875 SZ589873:TA589875 ACV589873:ACW589875 AMR589873:AMS589875 AWN589873:AWO589875 BGJ589873:BGK589875 BQF589873:BQG589875 CAB589873:CAC589875 CJX589873:CJY589875 CTT589873:CTU589875 DDP589873:DDQ589875 DNL589873:DNM589875 DXH589873:DXI589875 EHD589873:EHE589875 EQZ589873:ERA589875 FAV589873:FAW589875 FKR589873:FKS589875 FUN589873:FUO589875 GEJ589873:GEK589875 GOF589873:GOG589875 GYB589873:GYC589875 HHX589873:HHY589875 HRT589873:HRU589875 IBP589873:IBQ589875 ILL589873:ILM589875 IVH589873:IVI589875 JFD589873:JFE589875 JOZ589873:JPA589875 JYV589873:JYW589875 KIR589873:KIS589875 KSN589873:KSO589875 LCJ589873:LCK589875 LMF589873:LMG589875 LWB589873:LWC589875 MFX589873:MFY589875 MPT589873:MPU589875 MZP589873:MZQ589875 NJL589873:NJM589875 NTH589873:NTI589875 ODD589873:ODE589875 OMZ589873:ONA589875 OWV589873:OWW589875 PGR589873:PGS589875 PQN589873:PQO589875 QAJ589873:QAK589875 QKF589873:QKG589875 QUB589873:QUC589875 RDX589873:RDY589875 RNT589873:RNU589875 RXP589873:RXQ589875 SHL589873:SHM589875 SRH589873:SRI589875 TBD589873:TBE589875 TKZ589873:TLA589875 TUV589873:TUW589875 UER589873:UES589875 UON589873:UOO589875 UYJ589873:UYK589875 VIF589873:VIG589875 VSB589873:VSC589875 WBX589873:WBY589875 WLT589873:WLU589875 WVP589873:WVQ589875 H655409:I655411 JD655409:JE655411 SZ655409:TA655411 ACV655409:ACW655411 AMR655409:AMS655411 AWN655409:AWO655411 BGJ655409:BGK655411 BQF655409:BQG655411 CAB655409:CAC655411 CJX655409:CJY655411 CTT655409:CTU655411 DDP655409:DDQ655411 DNL655409:DNM655411 DXH655409:DXI655411 EHD655409:EHE655411 EQZ655409:ERA655411 FAV655409:FAW655411 FKR655409:FKS655411 FUN655409:FUO655411 GEJ655409:GEK655411 GOF655409:GOG655411 GYB655409:GYC655411 HHX655409:HHY655411 HRT655409:HRU655411 IBP655409:IBQ655411 ILL655409:ILM655411 IVH655409:IVI655411 JFD655409:JFE655411 JOZ655409:JPA655411 JYV655409:JYW655411 KIR655409:KIS655411 KSN655409:KSO655411 LCJ655409:LCK655411 LMF655409:LMG655411 LWB655409:LWC655411 MFX655409:MFY655411 MPT655409:MPU655411 MZP655409:MZQ655411 NJL655409:NJM655411 NTH655409:NTI655411 ODD655409:ODE655411 OMZ655409:ONA655411 OWV655409:OWW655411 PGR655409:PGS655411 PQN655409:PQO655411 QAJ655409:QAK655411 QKF655409:QKG655411 QUB655409:QUC655411 RDX655409:RDY655411 RNT655409:RNU655411 RXP655409:RXQ655411 SHL655409:SHM655411 SRH655409:SRI655411 TBD655409:TBE655411 TKZ655409:TLA655411 TUV655409:TUW655411 UER655409:UES655411 UON655409:UOO655411 UYJ655409:UYK655411 VIF655409:VIG655411 VSB655409:VSC655411 WBX655409:WBY655411 WLT655409:WLU655411 WVP655409:WVQ655411 H720945:I720947 JD720945:JE720947 SZ720945:TA720947 ACV720945:ACW720947 AMR720945:AMS720947 AWN720945:AWO720947 BGJ720945:BGK720947 BQF720945:BQG720947 CAB720945:CAC720947 CJX720945:CJY720947 CTT720945:CTU720947 DDP720945:DDQ720947 DNL720945:DNM720947 DXH720945:DXI720947 EHD720945:EHE720947 EQZ720945:ERA720947 FAV720945:FAW720947 FKR720945:FKS720947 FUN720945:FUO720947 GEJ720945:GEK720947 GOF720945:GOG720947 GYB720945:GYC720947 HHX720945:HHY720947 HRT720945:HRU720947 IBP720945:IBQ720947 ILL720945:ILM720947 IVH720945:IVI720947 JFD720945:JFE720947 JOZ720945:JPA720947 JYV720945:JYW720947 KIR720945:KIS720947 KSN720945:KSO720947 LCJ720945:LCK720947 LMF720945:LMG720947 LWB720945:LWC720947 MFX720945:MFY720947 MPT720945:MPU720947 MZP720945:MZQ720947 NJL720945:NJM720947 NTH720945:NTI720947 ODD720945:ODE720947 OMZ720945:ONA720947 OWV720945:OWW720947 PGR720945:PGS720947 PQN720945:PQO720947 QAJ720945:QAK720947 QKF720945:QKG720947 QUB720945:QUC720947 RDX720945:RDY720947 RNT720945:RNU720947 RXP720945:RXQ720947 SHL720945:SHM720947 SRH720945:SRI720947 TBD720945:TBE720947 TKZ720945:TLA720947 TUV720945:TUW720947 UER720945:UES720947 UON720945:UOO720947 UYJ720945:UYK720947 VIF720945:VIG720947 VSB720945:VSC720947 WBX720945:WBY720947 WLT720945:WLU720947 WVP720945:WVQ720947 H786481:I786483 JD786481:JE786483 SZ786481:TA786483 ACV786481:ACW786483 AMR786481:AMS786483 AWN786481:AWO786483 BGJ786481:BGK786483 BQF786481:BQG786483 CAB786481:CAC786483 CJX786481:CJY786483 CTT786481:CTU786483 DDP786481:DDQ786483 DNL786481:DNM786483 DXH786481:DXI786483 EHD786481:EHE786483 EQZ786481:ERA786483 FAV786481:FAW786483 FKR786481:FKS786483 FUN786481:FUO786483 GEJ786481:GEK786483 GOF786481:GOG786483 GYB786481:GYC786483 HHX786481:HHY786483 HRT786481:HRU786483 IBP786481:IBQ786483 ILL786481:ILM786483 IVH786481:IVI786483 JFD786481:JFE786483 JOZ786481:JPA786483 JYV786481:JYW786483 KIR786481:KIS786483 KSN786481:KSO786483 LCJ786481:LCK786483 LMF786481:LMG786483 LWB786481:LWC786483 MFX786481:MFY786483 MPT786481:MPU786483 MZP786481:MZQ786483 NJL786481:NJM786483 NTH786481:NTI786483 ODD786481:ODE786483 OMZ786481:ONA786483 OWV786481:OWW786483 PGR786481:PGS786483 PQN786481:PQO786483 QAJ786481:QAK786483 QKF786481:QKG786483 QUB786481:QUC786483 RDX786481:RDY786483 RNT786481:RNU786483 RXP786481:RXQ786483 SHL786481:SHM786483 SRH786481:SRI786483 TBD786481:TBE786483 TKZ786481:TLA786483 TUV786481:TUW786483 UER786481:UES786483 UON786481:UOO786483 UYJ786481:UYK786483 VIF786481:VIG786483 VSB786481:VSC786483 WBX786481:WBY786483 WLT786481:WLU786483 WVP786481:WVQ786483 H852017:I852019 JD852017:JE852019 SZ852017:TA852019 ACV852017:ACW852019 AMR852017:AMS852019 AWN852017:AWO852019 BGJ852017:BGK852019 BQF852017:BQG852019 CAB852017:CAC852019 CJX852017:CJY852019 CTT852017:CTU852019 DDP852017:DDQ852019 DNL852017:DNM852019 DXH852017:DXI852019 EHD852017:EHE852019 EQZ852017:ERA852019 FAV852017:FAW852019 FKR852017:FKS852019 FUN852017:FUO852019 GEJ852017:GEK852019 GOF852017:GOG852019 GYB852017:GYC852019 HHX852017:HHY852019 HRT852017:HRU852019 IBP852017:IBQ852019 ILL852017:ILM852019 IVH852017:IVI852019 JFD852017:JFE852019 JOZ852017:JPA852019 JYV852017:JYW852019 KIR852017:KIS852019 KSN852017:KSO852019 LCJ852017:LCK852019 LMF852017:LMG852019 LWB852017:LWC852019 MFX852017:MFY852019 MPT852017:MPU852019 MZP852017:MZQ852019 NJL852017:NJM852019 NTH852017:NTI852019 ODD852017:ODE852019 OMZ852017:ONA852019 OWV852017:OWW852019 PGR852017:PGS852019 PQN852017:PQO852019 QAJ852017:QAK852019 QKF852017:QKG852019 QUB852017:QUC852019 RDX852017:RDY852019 RNT852017:RNU852019 RXP852017:RXQ852019 SHL852017:SHM852019 SRH852017:SRI852019 TBD852017:TBE852019 TKZ852017:TLA852019 TUV852017:TUW852019 UER852017:UES852019 UON852017:UOO852019 UYJ852017:UYK852019 VIF852017:VIG852019 VSB852017:VSC852019 WBX852017:WBY852019 WLT852017:WLU852019 WVP852017:WVQ852019 H917553:I917555 JD917553:JE917555 SZ917553:TA917555 ACV917553:ACW917555 AMR917553:AMS917555 AWN917553:AWO917555 BGJ917553:BGK917555 BQF917553:BQG917555 CAB917553:CAC917555 CJX917553:CJY917555 CTT917553:CTU917555 DDP917553:DDQ917555 DNL917553:DNM917555 DXH917553:DXI917555 EHD917553:EHE917555 EQZ917553:ERA917555 FAV917553:FAW917555 FKR917553:FKS917555 FUN917553:FUO917555 GEJ917553:GEK917555 GOF917553:GOG917555 GYB917553:GYC917555 HHX917553:HHY917555 HRT917553:HRU917555 IBP917553:IBQ917555 ILL917553:ILM917555 IVH917553:IVI917555 JFD917553:JFE917555 JOZ917553:JPA917555 JYV917553:JYW917555 KIR917553:KIS917555 KSN917553:KSO917555 LCJ917553:LCK917555 LMF917553:LMG917555 LWB917553:LWC917555 MFX917553:MFY917555 MPT917553:MPU917555 MZP917553:MZQ917555 NJL917553:NJM917555 NTH917553:NTI917555 ODD917553:ODE917555 OMZ917553:ONA917555 OWV917553:OWW917555 PGR917553:PGS917555 PQN917553:PQO917555 QAJ917553:QAK917555 QKF917553:QKG917555 QUB917553:QUC917555 RDX917553:RDY917555 RNT917553:RNU917555 RXP917553:RXQ917555 SHL917553:SHM917555 SRH917553:SRI917555 TBD917553:TBE917555 TKZ917553:TLA917555 TUV917553:TUW917555 UER917553:UES917555 UON917553:UOO917555 UYJ917553:UYK917555 VIF917553:VIG917555 VSB917553:VSC917555 WBX917553:WBY917555 WLT917553:WLU917555 WVP917553:WVQ917555 H983089:I983091 JD983089:JE983091 SZ983089:TA983091 ACV983089:ACW983091 AMR983089:AMS983091 AWN983089:AWO983091 BGJ983089:BGK983091 BQF983089:BQG983091 CAB983089:CAC983091 CJX983089:CJY983091 CTT983089:CTU983091 DDP983089:DDQ983091 DNL983089:DNM983091 DXH983089:DXI983091 EHD983089:EHE983091 EQZ983089:ERA983091 FAV983089:FAW983091 FKR983089:FKS983091 FUN983089:FUO983091 GEJ983089:GEK983091 GOF983089:GOG983091 GYB983089:GYC983091 HHX983089:HHY983091 HRT983089:HRU983091 IBP983089:IBQ983091 ILL983089:ILM983091 IVH983089:IVI983091 JFD983089:JFE983091 JOZ983089:JPA983091 JYV983089:JYW983091 KIR983089:KIS983091 KSN983089:KSO983091 LCJ983089:LCK983091 LMF983089:LMG983091 LWB983089:LWC983091 MFX983089:MFY983091 MPT983089:MPU983091 MZP983089:MZQ983091 NJL983089:NJM983091 NTH983089:NTI983091 ODD983089:ODE983091 OMZ983089:ONA983091 OWV983089:OWW983091 PGR983089:PGS983091 PQN983089:PQO983091 QAJ983089:QAK983091 QKF983089:QKG983091 QUB983089:QUC983091 RDX983089:RDY983091 RNT983089:RNU983091 RXP983089:RXQ983091 SHL983089:SHM983091 SRH983089:SRI983091 TBD983089:TBE983091 TKZ983089:TLA983091 TUV983089:TUW983091 UER983089:UES983091 UON983089:UOO983091 UYJ983089:UYK983091 VIF983089:VIG983091 VSB983089:VSC983091 WBX983089:WBY983091 WLT983089:WLU983091 WVP983089:WVQ983091 I52 JE52 TA52 ACW52 AMS52 AWO52 BGK52 BQG52 CAC52 CJY52 CTU52 DDQ52 DNM52 DXI52 EHE52 ERA52 FAW52 FKS52 FUO52 GEK52 GOG52 GYC52 HHY52 HRU52 IBQ52 ILM52 IVI52 JFE52 JPA52 JYW52 KIS52 KSO52 LCK52 LMG52 LWC52 MFY52 MPU52 MZQ52 NJM52 NTI52 ODE52 ONA52 OWW52 PGS52 PQO52 QAK52 QKG52 QUC52 RDY52 RNU52 RXQ52 SHM52 SRI52 TBE52 TLA52 TUW52 UES52 UOO52 UYK52 VIG52 VSC52 WBY52 WLU52 WVQ52 I65588 JE65588 TA65588 ACW65588 AMS65588 AWO65588 BGK65588 BQG65588 CAC65588 CJY65588 CTU65588 DDQ65588 DNM65588 DXI65588 EHE65588 ERA65588 FAW65588 FKS65588 FUO65588 GEK65588 GOG65588 GYC65588 HHY65588 HRU65588 IBQ65588 ILM65588 IVI65588 JFE65588 JPA65588 JYW65588 KIS65588 KSO65588 LCK65588 LMG65588 LWC65588 MFY65588 MPU65588 MZQ65588 NJM65588 NTI65588 ODE65588 ONA65588 OWW65588 PGS65588 PQO65588 QAK65588 QKG65588 QUC65588 RDY65588 RNU65588 RXQ65588 SHM65588 SRI65588 TBE65588 TLA65588 TUW65588 UES65588 UOO65588 UYK65588 VIG65588 VSC65588 WBY65588 WLU65588 WVQ65588 I131124 JE131124 TA131124 ACW131124 AMS131124 AWO131124 BGK131124 BQG131124 CAC131124 CJY131124 CTU131124 DDQ131124 DNM131124 DXI131124 EHE131124 ERA131124 FAW131124 FKS131124 FUO131124 GEK131124 GOG131124 GYC131124 HHY131124 HRU131124 IBQ131124 ILM131124 IVI131124 JFE131124 JPA131124 JYW131124 KIS131124 KSO131124 LCK131124 LMG131124 LWC131124 MFY131124 MPU131124 MZQ131124 NJM131124 NTI131124 ODE131124 ONA131124 OWW131124 PGS131124 PQO131124 QAK131124 QKG131124 QUC131124 RDY131124 RNU131124 RXQ131124 SHM131124 SRI131124 TBE131124 TLA131124 TUW131124 UES131124 UOO131124 UYK131124 VIG131124 VSC131124 WBY131124 WLU131124 WVQ131124 I196660 JE196660 TA196660 ACW196660 AMS196660 AWO196660 BGK196660 BQG196660 CAC196660 CJY196660 CTU196660 DDQ196660 DNM196660 DXI196660 EHE196660 ERA196660 FAW196660 FKS196660 FUO196660 GEK196660 GOG196660 GYC196660 HHY196660 HRU196660 IBQ196660 ILM196660 IVI196660 JFE196660 JPA196660 JYW196660 KIS196660 KSO196660 LCK196660 LMG196660 LWC196660 MFY196660 MPU196660 MZQ196660 NJM196660 NTI196660 ODE196660 ONA196660 OWW196660 PGS196660 PQO196660 QAK196660 QKG196660 QUC196660 RDY196660 RNU196660 RXQ196660 SHM196660 SRI196660 TBE196660 TLA196660 TUW196660 UES196660 UOO196660 UYK196660 VIG196660 VSC196660 WBY196660 WLU196660 WVQ196660 I262196 JE262196 TA262196 ACW262196 AMS262196 AWO262196 BGK262196 BQG262196 CAC262196 CJY262196 CTU262196 DDQ262196 DNM262196 DXI262196 EHE262196 ERA262196 FAW262196 FKS262196 FUO262196 GEK262196 GOG262196 GYC262196 HHY262196 HRU262196 IBQ262196 ILM262196 IVI262196 JFE262196 JPA262196 JYW262196 KIS262196 KSO262196 LCK262196 LMG262196 LWC262196 MFY262196 MPU262196 MZQ262196 NJM262196 NTI262196 ODE262196 ONA262196 OWW262196 PGS262196 PQO262196 QAK262196 QKG262196 QUC262196 RDY262196 RNU262196 RXQ262196 SHM262196 SRI262196 TBE262196 TLA262196 TUW262196 UES262196 UOO262196 UYK262196 VIG262196 VSC262196 WBY262196 WLU262196 WVQ262196 I327732 JE327732 TA327732 ACW327732 AMS327732 AWO327732 BGK327732 BQG327732 CAC327732 CJY327732 CTU327732 DDQ327732 DNM327732 DXI327732 EHE327732 ERA327732 FAW327732 FKS327732 FUO327732 GEK327732 GOG327732 GYC327732 HHY327732 HRU327732 IBQ327732 ILM327732 IVI327732 JFE327732 JPA327732 JYW327732 KIS327732 KSO327732 LCK327732 LMG327732 LWC327732 MFY327732 MPU327732 MZQ327732 NJM327732 NTI327732 ODE327732 ONA327732 OWW327732 PGS327732 PQO327732 QAK327732 QKG327732 QUC327732 RDY327732 RNU327732 RXQ327732 SHM327732 SRI327732 TBE327732 TLA327732 TUW327732 UES327732 UOO327732 UYK327732 VIG327732 VSC327732 WBY327732 WLU327732 WVQ327732 I393268 JE393268 TA393268 ACW393268 AMS393268 AWO393268 BGK393268 BQG393268 CAC393268 CJY393268 CTU393268 DDQ393268 DNM393268 DXI393268 EHE393268 ERA393268 FAW393268 FKS393268 FUO393268 GEK393268 GOG393268 GYC393268 HHY393268 HRU393268 IBQ393268 ILM393268 IVI393268 JFE393268 JPA393268 JYW393268 KIS393268 KSO393268 LCK393268 LMG393268 LWC393268 MFY393268 MPU393268 MZQ393268 NJM393268 NTI393268 ODE393268 ONA393268 OWW393268 PGS393268 PQO393268 QAK393268 QKG393268 QUC393268 RDY393268 RNU393268 RXQ393268 SHM393268 SRI393268 TBE393268 TLA393268 TUW393268 UES393268 UOO393268 UYK393268 VIG393268 VSC393268 WBY393268 WLU393268 WVQ393268 I458804 JE458804 TA458804 ACW458804 AMS458804 AWO458804 BGK458804 BQG458804 CAC458804 CJY458804 CTU458804 DDQ458804 DNM458804 DXI458804 EHE458804 ERA458804 FAW458804 FKS458804 FUO458804 GEK458804 GOG458804 GYC458804 HHY458804 HRU458804 IBQ458804 ILM458804 IVI458804 JFE458804 JPA458804 JYW458804 KIS458804 KSO458804 LCK458804 LMG458804 LWC458804 MFY458804 MPU458804 MZQ458804 NJM458804 NTI458804 ODE458804 ONA458804 OWW458804 PGS458804 PQO458804 QAK458804 QKG458804 QUC458804 RDY458804 RNU458804 RXQ458804 SHM458804 SRI458804 TBE458804 TLA458804 TUW458804 UES458804 UOO458804 UYK458804 VIG458804 VSC458804 WBY458804 WLU458804 WVQ458804 I524340 JE524340 TA524340 ACW524340 AMS524340 AWO524340 BGK524340 BQG524340 CAC524340 CJY524340 CTU524340 DDQ524340 DNM524340 DXI524340 EHE524340 ERA524340 FAW524340 FKS524340 FUO524340 GEK524340 GOG524340 GYC524340 HHY524340 HRU524340 IBQ524340 ILM524340 IVI524340 JFE524340 JPA524340 JYW524340 KIS524340 KSO524340 LCK524340 LMG524340 LWC524340 MFY524340 MPU524340 MZQ524340 NJM524340 NTI524340 ODE524340 ONA524340 OWW524340 PGS524340 PQO524340 QAK524340 QKG524340 QUC524340 RDY524340 RNU524340 RXQ524340 SHM524340 SRI524340 TBE524340 TLA524340 TUW524340 UES524340 UOO524340 UYK524340 VIG524340 VSC524340 WBY524340 WLU524340 WVQ524340 I589876 JE589876 TA589876 ACW589876 AMS589876 AWO589876 BGK589876 BQG589876 CAC589876 CJY589876 CTU589876 DDQ589876 DNM589876 DXI589876 EHE589876 ERA589876 FAW589876 FKS589876 FUO589876 GEK589876 GOG589876 GYC589876 HHY589876 HRU589876 IBQ589876 ILM589876 IVI589876 JFE589876 JPA589876 JYW589876 KIS589876 KSO589876 LCK589876 LMG589876 LWC589876 MFY589876 MPU589876 MZQ589876 NJM589876 NTI589876 ODE589876 ONA589876 OWW589876 PGS589876 PQO589876 QAK589876 QKG589876 QUC589876 RDY589876 RNU589876 RXQ589876 SHM589876 SRI589876 TBE589876 TLA589876 TUW589876 UES589876 UOO589876 UYK589876 VIG589876 VSC589876 WBY589876 WLU589876 WVQ589876 I655412 JE655412 TA655412 ACW655412 AMS655412 AWO655412 BGK655412 BQG655412 CAC655412 CJY655412 CTU655412 DDQ655412 DNM655412 DXI655412 EHE655412 ERA655412 FAW655412 FKS655412 FUO655412 GEK655412 GOG655412 GYC655412 HHY655412 HRU655412 IBQ655412 ILM655412 IVI655412 JFE655412 JPA655412 JYW655412 KIS655412 KSO655412 LCK655412 LMG655412 LWC655412 MFY655412 MPU655412 MZQ655412 NJM655412 NTI655412 ODE655412 ONA655412 OWW655412 PGS655412 PQO655412 QAK655412 QKG655412 QUC655412 RDY655412 RNU655412 RXQ655412 SHM655412 SRI655412 TBE655412 TLA655412 TUW655412 UES655412 UOO655412 UYK655412 VIG655412 VSC655412 WBY655412 WLU655412 WVQ655412 I720948 JE720948 TA720948 ACW720948 AMS720948 AWO720948 BGK720948 BQG720948 CAC720948 CJY720948 CTU720948 DDQ720948 DNM720948 DXI720948 EHE720948 ERA720948 FAW720948 FKS720948 FUO720948 GEK720948 GOG720948 GYC720948 HHY720948 HRU720948 IBQ720948 ILM720948 IVI720948 JFE720948 JPA720948 JYW720948 KIS720948 KSO720948 LCK720948 LMG720948 LWC720948 MFY720948 MPU720948 MZQ720948 NJM720948 NTI720948 ODE720948 ONA720948 OWW720948 PGS720948 PQO720948 QAK720948 QKG720948 QUC720948 RDY720948 RNU720948 RXQ720948 SHM720948 SRI720948 TBE720948 TLA720948 TUW720948 UES720948 UOO720948 UYK720948 VIG720948 VSC720948 WBY720948 WLU720948 WVQ720948 I786484 JE786484 TA786484 ACW786484 AMS786484 AWO786484 BGK786484 BQG786484 CAC786484 CJY786484 CTU786484 DDQ786484 DNM786484 DXI786484 EHE786484 ERA786484 FAW786484 FKS786484 FUO786484 GEK786484 GOG786484 GYC786484 HHY786484 HRU786484 IBQ786484 ILM786484 IVI786484 JFE786484 JPA786484 JYW786484 KIS786484 KSO786484 LCK786484 LMG786484 LWC786484 MFY786484 MPU786484 MZQ786484 NJM786484 NTI786484 ODE786484 ONA786484 OWW786484 PGS786484 PQO786484 QAK786484 QKG786484 QUC786484 RDY786484 RNU786484 RXQ786484 SHM786484 SRI786484 TBE786484 TLA786484 TUW786484 UES786484 UOO786484 UYK786484 VIG786484 VSC786484 WBY786484 WLU786484 WVQ786484 I852020 JE852020 TA852020 ACW852020 AMS852020 AWO852020 BGK852020 BQG852020 CAC852020 CJY852020 CTU852020 DDQ852020 DNM852020 DXI852020 EHE852020 ERA852020 FAW852020 FKS852020 FUO852020 GEK852020 GOG852020 GYC852020 HHY852020 HRU852020 IBQ852020 ILM852020 IVI852020 JFE852020 JPA852020 JYW852020 KIS852020 KSO852020 LCK852020 LMG852020 LWC852020 MFY852020 MPU852020 MZQ852020 NJM852020 NTI852020 ODE852020 ONA852020 OWW852020 PGS852020 PQO852020 QAK852020 QKG852020 QUC852020 RDY852020 RNU852020 RXQ852020 SHM852020 SRI852020 TBE852020 TLA852020 TUW852020 UES852020 UOO852020 UYK852020 VIG852020 VSC852020 WBY852020 WLU852020 WVQ852020 I917556 JE917556 TA917556 ACW917556 AMS917556 AWO917556 BGK917556 BQG917556 CAC917556 CJY917556 CTU917556 DDQ917556 DNM917556 DXI917556 EHE917556 ERA917556 FAW917556 FKS917556 FUO917556 GEK917556 GOG917556 GYC917556 HHY917556 HRU917556 IBQ917556 ILM917556 IVI917556 JFE917556 JPA917556 JYW917556 KIS917556 KSO917556 LCK917556 LMG917556 LWC917556 MFY917556 MPU917556 MZQ917556 NJM917556 NTI917556 ODE917556 ONA917556 OWW917556 PGS917556 PQO917556 QAK917556 QKG917556 QUC917556 RDY917556 RNU917556 RXQ917556 SHM917556 SRI917556 TBE917556 TLA917556 TUW917556 UES917556 UOO917556 UYK917556 VIG917556 VSC917556 WBY917556 WLU917556 WVQ917556 I983092 JE983092 TA983092 ACW983092 AMS983092 AWO983092 BGK983092 BQG983092 CAC983092 CJY983092 CTU983092 DDQ983092 DNM983092 DXI983092 EHE983092 ERA983092 FAW983092 FKS983092 FUO983092 GEK983092 GOG983092 GYC983092 HHY983092 HRU983092 IBQ983092 ILM983092 IVI983092 JFE983092 JPA983092 JYW983092 KIS983092 KSO983092 LCK983092 LMG983092 LWC983092 MFY983092 MPU983092 MZQ983092 NJM983092 NTI983092 ODE983092 ONA983092 OWW983092 PGS983092 PQO983092 QAK983092 QKG983092 QUC983092 RDY983092 RNU983092 RXQ983092 SHM983092 SRI983092 TBE983092 TLA983092 TUW983092 UES983092 UOO983092 UYK983092 VIG983092 VSC983092 WBY983092 WLU983092 WVQ983092">
      <formula1>"Yes,No,NA"</formula1>
    </dataValidation>
    <dataValidation type="list" allowBlank="1" showInputMessage="1" showErrorMessage="1" sqref="H36:I36 JD36:JE36 SZ36:TA36 ACV36:ACW36 AMR36:AMS36 AWN36:AWO36 BGJ36:BGK36 BQF36:BQG36 CAB36:CAC36 CJX36:CJY36 CTT36:CTU36 DDP36:DDQ36 DNL36:DNM36 DXH36:DXI36 EHD36:EHE36 EQZ36:ERA36 FAV36:FAW36 FKR36:FKS36 FUN36:FUO36 GEJ36:GEK36 GOF36:GOG36 GYB36:GYC36 HHX36:HHY36 HRT36:HRU36 IBP36:IBQ36 ILL36:ILM36 IVH36:IVI36 JFD36:JFE36 JOZ36:JPA36 JYV36:JYW36 KIR36:KIS36 KSN36:KSO36 LCJ36:LCK36 LMF36:LMG36 LWB36:LWC36 MFX36:MFY36 MPT36:MPU36 MZP36:MZQ36 NJL36:NJM36 NTH36:NTI36 ODD36:ODE36 OMZ36:ONA36 OWV36:OWW36 PGR36:PGS36 PQN36:PQO36 QAJ36:QAK36 QKF36:QKG36 QUB36:QUC36 RDX36:RDY36 RNT36:RNU36 RXP36:RXQ36 SHL36:SHM36 SRH36:SRI36 TBD36:TBE36 TKZ36:TLA36 TUV36:TUW36 UER36:UES36 UON36:UOO36 UYJ36:UYK36 VIF36:VIG36 VSB36:VSC36 WBX36:WBY36 WLT36:WLU36 WVP36:WVQ36 H65572:I65572 JD65572:JE65572 SZ65572:TA65572 ACV65572:ACW65572 AMR65572:AMS65572 AWN65572:AWO65572 BGJ65572:BGK65572 BQF65572:BQG65572 CAB65572:CAC65572 CJX65572:CJY65572 CTT65572:CTU65572 DDP65572:DDQ65572 DNL65572:DNM65572 DXH65572:DXI65572 EHD65572:EHE65572 EQZ65572:ERA65572 FAV65572:FAW65572 FKR65572:FKS65572 FUN65572:FUO65572 GEJ65572:GEK65572 GOF65572:GOG65572 GYB65572:GYC65572 HHX65572:HHY65572 HRT65572:HRU65572 IBP65572:IBQ65572 ILL65572:ILM65572 IVH65572:IVI65572 JFD65572:JFE65572 JOZ65572:JPA65572 JYV65572:JYW65572 KIR65572:KIS65572 KSN65572:KSO65572 LCJ65572:LCK65572 LMF65572:LMG65572 LWB65572:LWC65572 MFX65572:MFY65572 MPT65572:MPU65572 MZP65572:MZQ65572 NJL65572:NJM65572 NTH65572:NTI65572 ODD65572:ODE65572 OMZ65572:ONA65572 OWV65572:OWW65572 PGR65572:PGS65572 PQN65572:PQO65572 QAJ65572:QAK65572 QKF65572:QKG65572 QUB65572:QUC65572 RDX65572:RDY65572 RNT65572:RNU65572 RXP65572:RXQ65572 SHL65572:SHM65572 SRH65572:SRI65572 TBD65572:TBE65572 TKZ65572:TLA65572 TUV65572:TUW65572 UER65572:UES65572 UON65572:UOO65572 UYJ65572:UYK65572 VIF65572:VIG65572 VSB65572:VSC65572 WBX65572:WBY65572 WLT65572:WLU65572 WVP65572:WVQ65572 H131108:I131108 JD131108:JE131108 SZ131108:TA131108 ACV131108:ACW131108 AMR131108:AMS131108 AWN131108:AWO131108 BGJ131108:BGK131108 BQF131108:BQG131108 CAB131108:CAC131108 CJX131108:CJY131108 CTT131108:CTU131108 DDP131108:DDQ131108 DNL131108:DNM131108 DXH131108:DXI131108 EHD131108:EHE131108 EQZ131108:ERA131108 FAV131108:FAW131108 FKR131108:FKS131108 FUN131108:FUO131108 GEJ131108:GEK131108 GOF131108:GOG131108 GYB131108:GYC131108 HHX131108:HHY131108 HRT131108:HRU131108 IBP131108:IBQ131108 ILL131108:ILM131108 IVH131108:IVI131108 JFD131108:JFE131108 JOZ131108:JPA131108 JYV131108:JYW131108 KIR131108:KIS131108 KSN131108:KSO131108 LCJ131108:LCK131108 LMF131108:LMG131108 LWB131108:LWC131108 MFX131108:MFY131108 MPT131108:MPU131108 MZP131108:MZQ131108 NJL131108:NJM131108 NTH131108:NTI131108 ODD131108:ODE131108 OMZ131108:ONA131108 OWV131108:OWW131108 PGR131108:PGS131108 PQN131108:PQO131108 QAJ131108:QAK131108 QKF131108:QKG131108 QUB131108:QUC131108 RDX131108:RDY131108 RNT131108:RNU131108 RXP131108:RXQ131108 SHL131108:SHM131108 SRH131108:SRI131108 TBD131108:TBE131108 TKZ131108:TLA131108 TUV131108:TUW131108 UER131108:UES131108 UON131108:UOO131108 UYJ131108:UYK131108 VIF131108:VIG131108 VSB131108:VSC131108 WBX131108:WBY131108 WLT131108:WLU131108 WVP131108:WVQ131108 H196644:I196644 JD196644:JE196644 SZ196644:TA196644 ACV196644:ACW196644 AMR196644:AMS196644 AWN196644:AWO196644 BGJ196644:BGK196644 BQF196644:BQG196644 CAB196644:CAC196644 CJX196644:CJY196644 CTT196644:CTU196644 DDP196644:DDQ196644 DNL196644:DNM196644 DXH196644:DXI196644 EHD196644:EHE196644 EQZ196644:ERA196644 FAV196644:FAW196644 FKR196644:FKS196644 FUN196644:FUO196644 GEJ196644:GEK196644 GOF196644:GOG196644 GYB196644:GYC196644 HHX196644:HHY196644 HRT196644:HRU196644 IBP196644:IBQ196644 ILL196644:ILM196644 IVH196644:IVI196644 JFD196644:JFE196644 JOZ196644:JPA196644 JYV196644:JYW196644 KIR196644:KIS196644 KSN196644:KSO196644 LCJ196644:LCK196644 LMF196644:LMG196644 LWB196644:LWC196644 MFX196644:MFY196644 MPT196644:MPU196644 MZP196644:MZQ196644 NJL196644:NJM196644 NTH196644:NTI196644 ODD196644:ODE196644 OMZ196644:ONA196644 OWV196644:OWW196644 PGR196644:PGS196644 PQN196644:PQO196644 QAJ196644:QAK196644 QKF196644:QKG196644 QUB196644:QUC196644 RDX196644:RDY196644 RNT196644:RNU196644 RXP196644:RXQ196644 SHL196644:SHM196644 SRH196644:SRI196644 TBD196644:TBE196644 TKZ196644:TLA196644 TUV196644:TUW196644 UER196644:UES196644 UON196644:UOO196644 UYJ196644:UYK196644 VIF196644:VIG196644 VSB196644:VSC196644 WBX196644:WBY196644 WLT196644:WLU196644 WVP196644:WVQ196644 H262180:I262180 JD262180:JE262180 SZ262180:TA262180 ACV262180:ACW262180 AMR262180:AMS262180 AWN262180:AWO262180 BGJ262180:BGK262180 BQF262180:BQG262180 CAB262180:CAC262180 CJX262180:CJY262180 CTT262180:CTU262180 DDP262180:DDQ262180 DNL262180:DNM262180 DXH262180:DXI262180 EHD262180:EHE262180 EQZ262180:ERA262180 FAV262180:FAW262180 FKR262180:FKS262180 FUN262180:FUO262180 GEJ262180:GEK262180 GOF262180:GOG262180 GYB262180:GYC262180 HHX262180:HHY262180 HRT262180:HRU262180 IBP262180:IBQ262180 ILL262180:ILM262180 IVH262180:IVI262180 JFD262180:JFE262180 JOZ262180:JPA262180 JYV262180:JYW262180 KIR262180:KIS262180 KSN262180:KSO262180 LCJ262180:LCK262180 LMF262180:LMG262180 LWB262180:LWC262180 MFX262180:MFY262180 MPT262180:MPU262180 MZP262180:MZQ262180 NJL262180:NJM262180 NTH262180:NTI262180 ODD262180:ODE262180 OMZ262180:ONA262180 OWV262180:OWW262180 PGR262180:PGS262180 PQN262180:PQO262180 QAJ262180:QAK262180 QKF262180:QKG262180 QUB262180:QUC262180 RDX262180:RDY262180 RNT262180:RNU262180 RXP262180:RXQ262180 SHL262180:SHM262180 SRH262180:SRI262180 TBD262180:TBE262180 TKZ262180:TLA262180 TUV262180:TUW262180 UER262180:UES262180 UON262180:UOO262180 UYJ262180:UYK262180 VIF262180:VIG262180 VSB262180:VSC262180 WBX262180:WBY262180 WLT262180:WLU262180 WVP262180:WVQ262180 H327716:I327716 JD327716:JE327716 SZ327716:TA327716 ACV327716:ACW327716 AMR327716:AMS327716 AWN327716:AWO327716 BGJ327716:BGK327716 BQF327716:BQG327716 CAB327716:CAC327716 CJX327716:CJY327716 CTT327716:CTU327716 DDP327716:DDQ327716 DNL327716:DNM327716 DXH327716:DXI327716 EHD327716:EHE327716 EQZ327716:ERA327716 FAV327716:FAW327716 FKR327716:FKS327716 FUN327716:FUO327716 GEJ327716:GEK327716 GOF327716:GOG327716 GYB327716:GYC327716 HHX327716:HHY327716 HRT327716:HRU327716 IBP327716:IBQ327716 ILL327716:ILM327716 IVH327716:IVI327716 JFD327716:JFE327716 JOZ327716:JPA327716 JYV327716:JYW327716 KIR327716:KIS327716 KSN327716:KSO327716 LCJ327716:LCK327716 LMF327716:LMG327716 LWB327716:LWC327716 MFX327716:MFY327716 MPT327716:MPU327716 MZP327716:MZQ327716 NJL327716:NJM327716 NTH327716:NTI327716 ODD327716:ODE327716 OMZ327716:ONA327716 OWV327716:OWW327716 PGR327716:PGS327716 PQN327716:PQO327716 QAJ327716:QAK327716 QKF327716:QKG327716 QUB327716:QUC327716 RDX327716:RDY327716 RNT327716:RNU327716 RXP327716:RXQ327716 SHL327716:SHM327716 SRH327716:SRI327716 TBD327716:TBE327716 TKZ327716:TLA327716 TUV327716:TUW327716 UER327716:UES327716 UON327716:UOO327716 UYJ327716:UYK327716 VIF327716:VIG327716 VSB327716:VSC327716 WBX327716:WBY327716 WLT327716:WLU327716 WVP327716:WVQ327716 H393252:I393252 JD393252:JE393252 SZ393252:TA393252 ACV393252:ACW393252 AMR393252:AMS393252 AWN393252:AWO393252 BGJ393252:BGK393252 BQF393252:BQG393252 CAB393252:CAC393252 CJX393252:CJY393252 CTT393252:CTU393252 DDP393252:DDQ393252 DNL393252:DNM393252 DXH393252:DXI393252 EHD393252:EHE393252 EQZ393252:ERA393252 FAV393252:FAW393252 FKR393252:FKS393252 FUN393252:FUO393252 GEJ393252:GEK393252 GOF393252:GOG393252 GYB393252:GYC393252 HHX393252:HHY393252 HRT393252:HRU393252 IBP393252:IBQ393252 ILL393252:ILM393252 IVH393252:IVI393252 JFD393252:JFE393252 JOZ393252:JPA393252 JYV393252:JYW393252 KIR393252:KIS393252 KSN393252:KSO393252 LCJ393252:LCK393252 LMF393252:LMG393252 LWB393252:LWC393252 MFX393252:MFY393252 MPT393252:MPU393252 MZP393252:MZQ393252 NJL393252:NJM393252 NTH393252:NTI393252 ODD393252:ODE393252 OMZ393252:ONA393252 OWV393252:OWW393252 PGR393252:PGS393252 PQN393252:PQO393252 QAJ393252:QAK393252 QKF393252:QKG393252 QUB393252:QUC393252 RDX393252:RDY393252 RNT393252:RNU393252 RXP393252:RXQ393252 SHL393252:SHM393252 SRH393252:SRI393252 TBD393252:TBE393252 TKZ393252:TLA393252 TUV393252:TUW393252 UER393252:UES393252 UON393252:UOO393252 UYJ393252:UYK393252 VIF393252:VIG393252 VSB393252:VSC393252 WBX393252:WBY393252 WLT393252:WLU393252 WVP393252:WVQ393252 H458788:I458788 JD458788:JE458788 SZ458788:TA458788 ACV458788:ACW458788 AMR458788:AMS458788 AWN458788:AWO458788 BGJ458788:BGK458788 BQF458788:BQG458788 CAB458788:CAC458788 CJX458788:CJY458788 CTT458788:CTU458788 DDP458788:DDQ458788 DNL458788:DNM458788 DXH458788:DXI458788 EHD458788:EHE458788 EQZ458788:ERA458788 FAV458788:FAW458788 FKR458788:FKS458788 FUN458788:FUO458788 GEJ458788:GEK458788 GOF458788:GOG458788 GYB458788:GYC458788 HHX458788:HHY458788 HRT458788:HRU458788 IBP458788:IBQ458788 ILL458788:ILM458788 IVH458788:IVI458788 JFD458788:JFE458788 JOZ458788:JPA458788 JYV458788:JYW458788 KIR458788:KIS458788 KSN458788:KSO458788 LCJ458788:LCK458788 LMF458788:LMG458788 LWB458788:LWC458788 MFX458788:MFY458788 MPT458788:MPU458788 MZP458788:MZQ458788 NJL458788:NJM458788 NTH458788:NTI458788 ODD458788:ODE458788 OMZ458788:ONA458788 OWV458788:OWW458788 PGR458788:PGS458788 PQN458788:PQO458788 QAJ458788:QAK458788 QKF458788:QKG458788 QUB458788:QUC458788 RDX458788:RDY458788 RNT458788:RNU458788 RXP458788:RXQ458788 SHL458788:SHM458788 SRH458788:SRI458788 TBD458788:TBE458788 TKZ458788:TLA458788 TUV458788:TUW458788 UER458788:UES458788 UON458788:UOO458788 UYJ458788:UYK458788 VIF458788:VIG458788 VSB458788:VSC458788 WBX458788:WBY458788 WLT458788:WLU458788 WVP458788:WVQ458788 H524324:I524324 JD524324:JE524324 SZ524324:TA524324 ACV524324:ACW524324 AMR524324:AMS524324 AWN524324:AWO524324 BGJ524324:BGK524324 BQF524324:BQG524324 CAB524324:CAC524324 CJX524324:CJY524324 CTT524324:CTU524324 DDP524324:DDQ524324 DNL524324:DNM524324 DXH524324:DXI524324 EHD524324:EHE524324 EQZ524324:ERA524324 FAV524324:FAW524324 FKR524324:FKS524324 FUN524324:FUO524324 GEJ524324:GEK524324 GOF524324:GOG524324 GYB524324:GYC524324 HHX524324:HHY524324 HRT524324:HRU524324 IBP524324:IBQ524324 ILL524324:ILM524324 IVH524324:IVI524324 JFD524324:JFE524324 JOZ524324:JPA524324 JYV524324:JYW524324 KIR524324:KIS524324 KSN524324:KSO524324 LCJ524324:LCK524324 LMF524324:LMG524324 LWB524324:LWC524324 MFX524324:MFY524324 MPT524324:MPU524324 MZP524324:MZQ524324 NJL524324:NJM524324 NTH524324:NTI524324 ODD524324:ODE524324 OMZ524324:ONA524324 OWV524324:OWW524324 PGR524324:PGS524324 PQN524324:PQO524324 QAJ524324:QAK524324 QKF524324:QKG524324 QUB524324:QUC524324 RDX524324:RDY524324 RNT524324:RNU524324 RXP524324:RXQ524324 SHL524324:SHM524324 SRH524324:SRI524324 TBD524324:TBE524324 TKZ524324:TLA524324 TUV524324:TUW524324 UER524324:UES524324 UON524324:UOO524324 UYJ524324:UYK524324 VIF524324:VIG524324 VSB524324:VSC524324 WBX524324:WBY524324 WLT524324:WLU524324 WVP524324:WVQ524324 H589860:I589860 JD589860:JE589860 SZ589860:TA589860 ACV589860:ACW589860 AMR589860:AMS589860 AWN589860:AWO589860 BGJ589860:BGK589860 BQF589860:BQG589860 CAB589860:CAC589860 CJX589860:CJY589860 CTT589860:CTU589860 DDP589860:DDQ589860 DNL589860:DNM589860 DXH589860:DXI589860 EHD589860:EHE589860 EQZ589860:ERA589860 FAV589860:FAW589860 FKR589860:FKS589860 FUN589860:FUO589860 GEJ589860:GEK589860 GOF589860:GOG589860 GYB589860:GYC589860 HHX589860:HHY589860 HRT589860:HRU589860 IBP589860:IBQ589860 ILL589860:ILM589860 IVH589860:IVI589860 JFD589860:JFE589860 JOZ589860:JPA589860 JYV589860:JYW589860 KIR589860:KIS589860 KSN589860:KSO589860 LCJ589860:LCK589860 LMF589860:LMG589860 LWB589860:LWC589860 MFX589860:MFY589860 MPT589860:MPU589860 MZP589860:MZQ589860 NJL589860:NJM589860 NTH589860:NTI589860 ODD589860:ODE589860 OMZ589860:ONA589860 OWV589860:OWW589860 PGR589860:PGS589860 PQN589860:PQO589860 QAJ589860:QAK589860 QKF589860:QKG589860 QUB589860:QUC589860 RDX589860:RDY589860 RNT589860:RNU589860 RXP589860:RXQ589860 SHL589860:SHM589860 SRH589860:SRI589860 TBD589860:TBE589860 TKZ589860:TLA589860 TUV589860:TUW589860 UER589860:UES589860 UON589860:UOO589860 UYJ589860:UYK589860 VIF589860:VIG589860 VSB589860:VSC589860 WBX589860:WBY589860 WLT589860:WLU589860 WVP589860:WVQ589860 H655396:I655396 JD655396:JE655396 SZ655396:TA655396 ACV655396:ACW655396 AMR655396:AMS655396 AWN655396:AWO655396 BGJ655396:BGK655396 BQF655396:BQG655396 CAB655396:CAC655396 CJX655396:CJY655396 CTT655396:CTU655396 DDP655396:DDQ655396 DNL655396:DNM655396 DXH655396:DXI655396 EHD655396:EHE655396 EQZ655396:ERA655396 FAV655396:FAW655396 FKR655396:FKS655396 FUN655396:FUO655396 GEJ655396:GEK655396 GOF655396:GOG655396 GYB655396:GYC655396 HHX655396:HHY655396 HRT655396:HRU655396 IBP655396:IBQ655396 ILL655396:ILM655396 IVH655396:IVI655396 JFD655396:JFE655396 JOZ655396:JPA655396 JYV655396:JYW655396 KIR655396:KIS655396 KSN655396:KSO655396 LCJ655396:LCK655396 LMF655396:LMG655396 LWB655396:LWC655396 MFX655396:MFY655396 MPT655396:MPU655396 MZP655396:MZQ655396 NJL655396:NJM655396 NTH655396:NTI655396 ODD655396:ODE655396 OMZ655396:ONA655396 OWV655396:OWW655396 PGR655396:PGS655396 PQN655396:PQO655396 QAJ655396:QAK655396 QKF655396:QKG655396 QUB655396:QUC655396 RDX655396:RDY655396 RNT655396:RNU655396 RXP655396:RXQ655396 SHL655396:SHM655396 SRH655396:SRI655396 TBD655396:TBE655396 TKZ655396:TLA655396 TUV655396:TUW655396 UER655396:UES655396 UON655396:UOO655396 UYJ655396:UYK655396 VIF655396:VIG655396 VSB655396:VSC655396 WBX655396:WBY655396 WLT655396:WLU655396 WVP655396:WVQ655396 H720932:I720932 JD720932:JE720932 SZ720932:TA720932 ACV720932:ACW720932 AMR720932:AMS720932 AWN720932:AWO720932 BGJ720932:BGK720932 BQF720932:BQG720932 CAB720932:CAC720932 CJX720932:CJY720932 CTT720932:CTU720932 DDP720932:DDQ720932 DNL720932:DNM720932 DXH720932:DXI720932 EHD720932:EHE720932 EQZ720932:ERA720932 FAV720932:FAW720932 FKR720932:FKS720932 FUN720932:FUO720932 GEJ720932:GEK720932 GOF720932:GOG720932 GYB720932:GYC720932 HHX720932:HHY720932 HRT720932:HRU720932 IBP720932:IBQ720932 ILL720932:ILM720932 IVH720932:IVI720932 JFD720932:JFE720932 JOZ720932:JPA720932 JYV720932:JYW720932 KIR720932:KIS720932 KSN720932:KSO720932 LCJ720932:LCK720932 LMF720932:LMG720932 LWB720932:LWC720932 MFX720932:MFY720932 MPT720932:MPU720932 MZP720932:MZQ720932 NJL720932:NJM720932 NTH720932:NTI720932 ODD720932:ODE720932 OMZ720932:ONA720932 OWV720932:OWW720932 PGR720932:PGS720932 PQN720932:PQO720932 QAJ720932:QAK720932 QKF720932:QKG720932 QUB720932:QUC720932 RDX720932:RDY720932 RNT720932:RNU720932 RXP720932:RXQ720932 SHL720932:SHM720932 SRH720932:SRI720932 TBD720932:TBE720932 TKZ720932:TLA720932 TUV720932:TUW720932 UER720932:UES720932 UON720932:UOO720932 UYJ720932:UYK720932 VIF720932:VIG720932 VSB720932:VSC720932 WBX720932:WBY720932 WLT720932:WLU720932 WVP720932:WVQ720932 H786468:I786468 JD786468:JE786468 SZ786468:TA786468 ACV786468:ACW786468 AMR786468:AMS786468 AWN786468:AWO786468 BGJ786468:BGK786468 BQF786468:BQG786468 CAB786468:CAC786468 CJX786468:CJY786468 CTT786468:CTU786468 DDP786468:DDQ786468 DNL786468:DNM786468 DXH786468:DXI786468 EHD786468:EHE786468 EQZ786468:ERA786468 FAV786468:FAW786468 FKR786468:FKS786468 FUN786468:FUO786468 GEJ786468:GEK786468 GOF786468:GOG786468 GYB786468:GYC786468 HHX786468:HHY786468 HRT786468:HRU786468 IBP786468:IBQ786468 ILL786468:ILM786468 IVH786468:IVI786468 JFD786468:JFE786468 JOZ786468:JPA786468 JYV786468:JYW786468 KIR786468:KIS786468 KSN786468:KSO786468 LCJ786468:LCK786468 LMF786468:LMG786468 LWB786468:LWC786468 MFX786468:MFY786468 MPT786468:MPU786468 MZP786468:MZQ786468 NJL786468:NJM786468 NTH786468:NTI786468 ODD786468:ODE786468 OMZ786468:ONA786468 OWV786468:OWW786468 PGR786468:PGS786468 PQN786468:PQO786468 QAJ786468:QAK786468 QKF786468:QKG786468 QUB786468:QUC786468 RDX786468:RDY786468 RNT786468:RNU786468 RXP786468:RXQ786468 SHL786468:SHM786468 SRH786468:SRI786468 TBD786468:TBE786468 TKZ786468:TLA786468 TUV786468:TUW786468 UER786468:UES786468 UON786468:UOO786468 UYJ786468:UYK786468 VIF786468:VIG786468 VSB786468:VSC786468 WBX786468:WBY786468 WLT786468:WLU786468 WVP786468:WVQ786468 H852004:I852004 JD852004:JE852004 SZ852004:TA852004 ACV852004:ACW852004 AMR852004:AMS852004 AWN852004:AWO852004 BGJ852004:BGK852004 BQF852004:BQG852004 CAB852004:CAC852004 CJX852004:CJY852004 CTT852004:CTU852004 DDP852004:DDQ852004 DNL852004:DNM852004 DXH852004:DXI852004 EHD852004:EHE852004 EQZ852004:ERA852004 FAV852004:FAW852004 FKR852004:FKS852004 FUN852004:FUO852004 GEJ852004:GEK852004 GOF852004:GOG852004 GYB852004:GYC852004 HHX852004:HHY852004 HRT852004:HRU852004 IBP852004:IBQ852004 ILL852004:ILM852004 IVH852004:IVI852004 JFD852004:JFE852004 JOZ852004:JPA852004 JYV852004:JYW852004 KIR852004:KIS852004 KSN852004:KSO852004 LCJ852004:LCK852004 LMF852004:LMG852004 LWB852004:LWC852004 MFX852004:MFY852004 MPT852004:MPU852004 MZP852004:MZQ852004 NJL852004:NJM852004 NTH852004:NTI852004 ODD852004:ODE852004 OMZ852004:ONA852004 OWV852004:OWW852004 PGR852004:PGS852004 PQN852004:PQO852004 QAJ852004:QAK852004 QKF852004:QKG852004 QUB852004:QUC852004 RDX852004:RDY852004 RNT852004:RNU852004 RXP852004:RXQ852004 SHL852004:SHM852004 SRH852004:SRI852004 TBD852004:TBE852004 TKZ852004:TLA852004 TUV852004:TUW852004 UER852004:UES852004 UON852004:UOO852004 UYJ852004:UYK852004 VIF852004:VIG852004 VSB852004:VSC852004 WBX852004:WBY852004 WLT852004:WLU852004 WVP852004:WVQ852004 H917540:I917540 JD917540:JE917540 SZ917540:TA917540 ACV917540:ACW917540 AMR917540:AMS917540 AWN917540:AWO917540 BGJ917540:BGK917540 BQF917540:BQG917540 CAB917540:CAC917540 CJX917540:CJY917540 CTT917540:CTU917540 DDP917540:DDQ917540 DNL917540:DNM917540 DXH917540:DXI917540 EHD917540:EHE917540 EQZ917540:ERA917540 FAV917540:FAW917540 FKR917540:FKS917540 FUN917540:FUO917540 GEJ917540:GEK917540 GOF917540:GOG917540 GYB917540:GYC917540 HHX917540:HHY917540 HRT917540:HRU917540 IBP917540:IBQ917540 ILL917540:ILM917540 IVH917540:IVI917540 JFD917540:JFE917540 JOZ917540:JPA917540 JYV917540:JYW917540 KIR917540:KIS917540 KSN917540:KSO917540 LCJ917540:LCK917540 LMF917540:LMG917540 LWB917540:LWC917540 MFX917540:MFY917540 MPT917540:MPU917540 MZP917540:MZQ917540 NJL917540:NJM917540 NTH917540:NTI917540 ODD917540:ODE917540 OMZ917540:ONA917540 OWV917540:OWW917540 PGR917540:PGS917540 PQN917540:PQO917540 QAJ917540:QAK917540 QKF917540:QKG917540 QUB917540:QUC917540 RDX917540:RDY917540 RNT917540:RNU917540 RXP917540:RXQ917540 SHL917540:SHM917540 SRH917540:SRI917540 TBD917540:TBE917540 TKZ917540:TLA917540 TUV917540:TUW917540 UER917540:UES917540 UON917540:UOO917540 UYJ917540:UYK917540 VIF917540:VIG917540 VSB917540:VSC917540 WBX917540:WBY917540 WLT917540:WLU917540 WVP917540:WVQ917540 H983076:I983076 JD983076:JE983076 SZ983076:TA983076 ACV983076:ACW983076 AMR983076:AMS983076 AWN983076:AWO983076 BGJ983076:BGK983076 BQF983076:BQG983076 CAB983076:CAC983076 CJX983076:CJY983076 CTT983076:CTU983076 DDP983076:DDQ983076 DNL983076:DNM983076 DXH983076:DXI983076 EHD983076:EHE983076 EQZ983076:ERA983076 FAV983076:FAW983076 FKR983076:FKS983076 FUN983076:FUO983076 GEJ983076:GEK983076 GOF983076:GOG983076 GYB983076:GYC983076 HHX983076:HHY983076 HRT983076:HRU983076 IBP983076:IBQ983076 ILL983076:ILM983076 IVH983076:IVI983076 JFD983076:JFE983076 JOZ983076:JPA983076 JYV983076:JYW983076 KIR983076:KIS983076 KSN983076:KSO983076 LCJ983076:LCK983076 LMF983076:LMG983076 LWB983076:LWC983076 MFX983076:MFY983076 MPT983076:MPU983076 MZP983076:MZQ983076 NJL983076:NJM983076 NTH983076:NTI983076 ODD983076:ODE983076 OMZ983076:ONA983076 OWV983076:OWW983076 PGR983076:PGS983076 PQN983076:PQO983076 QAJ983076:QAK983076 QKF983076:QKG983076 QUB983076:QUC983076 RDX983076:RDY983076 RNT983076:RNU983076 RXP983076:RXQ983076 SHL983076:SHM983076 SRH983076:SRI983076 TBD983076:TBE983076 TKZ983076:TLA983076 TUV983076:TUW983076 UER983076:UES983076 UON983076:UOO983076 UYJ983076:UYK983076 VIF983076:VIG983076 VSB983076:VSC983076 WBX983076:WBY983076 WLT983076:WLU983076 WVP983076:WVQ983076">
      <formula1>$Q$68:$Q$71</formula1>
    </dataValidation>
  </dataValidations>
  <hyperlinks>
    <hyperlink ref="A1" location="'Table Of Contents'!A1" display="TOC"/>
  </hyperlinks>
  <pageMargins left="0.75" right="0.75" top="1" bottom="1" header="0.5" footer="0.5"/>
  <pageSetup scale="52" fitToHeight="0" orientation="portrait" r:id="rId1"/>
  <headerFooter alignWithMargins="0">
    <oddFooter>Page &amp;P of &amp;N</oddFooter>
  </headerFooter>
  <rowBreaks count="1" manualBreakCount="1">
    <brk id="27" min="1" max="9" man="1"/>
  </rowBreaks>
  <drawing r:id="rId2"/>
  <legacyDrawing r:id="rId3"/>
  <legacyDrawingHF r:id="rId4"/>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99FF99"/>
    <pageSetUpPr fitToPage="1"/>
  </sheetPr>
  <dimension ref="A1:BC187"/>
  <sheetViews>
    <sheetView showGridLines="0" view="pageBreakPreview" zoomScale="90" zoomScaleNormal="100" zoomScaleSheetLayoutView="90" workbookViewId="0">
      <selection activeCell="C61" sqref="C61"/>
    </sheetView>
  </sheetViews>
  <sheetFormatPr defaultRowHeight="12.75"/>
  <cols>
    <col min="1" max="1" width="9.140625" style="1430" customWidth="1"/>
    <col min="2" max="2" width="20" style="1324" customWidth="1"/>
    <col min="3" max="5" width="17.5703125" style="1324" customWidth="1"/>
    <col min="6" max="6" width="35.7109375" style="1324" customWidth="1"/>
    <col min="7" max="7" width="12" style="1324" customWidth="1"/>
    <col min="8" max="8" width="7.42578125" style="1324" customWidth="1"/>
    <col min="9" max="9" width="11" style="1324" customWidth="1"/>
    <col min="10" max="10" width="35.28515625" style="1324" customWidth="1"/>
    <col min="11" max="11" width="9.140625" style="1430"/>
    <col min="12" max="12" width="65.28515625" style="1324" customWidth="1"/>
    <col min="13" max="13" width="24.7109375" style="1324" customWidth="1"/>
    <col min="14" max="14" width="16.28515625" style="1324" bestFit="1" customWidth="1"/>
    <col min="15" max="16" width="9.140625" style="1324"/>
    <col min="17" max="17" width="9.140625" style="1324" hidden="1" customWidth="1"/>
    <col min="18" max="16384" width="9.140625" style="1324"/>
  </cols>
  <sheetData>
    <row r="1" spans="1:55" ht="26.25" customHeight="1">
      <c r="A1" s="1534" t="s">
        <v>1408</v>
      </c>
      <c r="B1" s="1138"/>
      <c r="C1" s="1137"/>
      <c r="D1" s="1138"/>
      <c r="E1" s="1138"/>
      <c r="F1" s="1140"/>
      <c r="G1" s="1138"/>
      <c r="H1" s="795"/>
      <c r="I1" s="795"/>
      <c r="J1" s="795"/>
      <c r="K1" s="1324"/>
    </row>
    <row r="2" spans="1:55" ht="26.25" customHeight="1">
      <c r="A2" s="1324"/>
      <c r="B2" s="1138"/>
      <c r="C2" s="1137" t="str">
        <f>'1.1 - APPLIANCES'!C2</f>
        <v>MULTIFAMILY PERFORMANCE PROGRAM</v>
      </c>
      <c r="D2" s="1138"/>
      <c r="E2" s="1138"/>
      <c r="F2" s="1140"/>
      <c r="G2" s="1138"/>
      <c r="H2" s="795"/>
      <c r="I2" s="795"/>
      <c r="J2" s="795"/>
      <c r="K2" s="1324"/>
    </row>
    <row r="3" spans="1:55" ht="26.25" customHeight="1">
      <c r="A3" s="1324"/>
      <c r="B3" s="1138"/>
      <c r="C3" s="1139" t="s">
        <v>368</v>
      </c>
      <c r="D3" s="1139">
        <f>'Project Info'!C3</f>
        <v>0</v>
      </c>
      <c r="E3" s="1138"/>
      <c r="F3" s="1140"/>
      <c r="G3" s="1138"/>
      <c r="H3" s="795"/>
      <c r="I3" s="795"/>
      <c r="J3" s="795"/>
      <c r="K3" s="1324"/>
    </row>
    <row r="4" spans="1:55" ht="26.25" customHeight="1">
      <c r="A4" s="1552"/>
      <c r="B4" s="1144"/>
      <c r="C4" s="1144"/>
      <c r="D4" s="1144"/>
      <c r="E4" s="1150"/>
      <c r="F4" s="1157"/>
      <c r="G4" s="1144"/>
      <c r="H4" s="1529"/>
      <c r="I4" s="1529"/>
      <c r="J4" s="1529"/>
      <c r="K4" s="1552"/>
    </row>
    <row r="5" spans="1:55" s="1629" customFormat="1" ht="15.75">
      <c r="A5" s="1533"/>
      <c r="B5" s="1141" t="s">
        <v>1510</v>
      </c>
      <c r="C5" s="1142"/>
      <c r="D5" s="1142"/>
      <c r="E5" s="1143"/>
      <c r="F5" s="1166"/>
      <c r="G5" s="1189"/>
      <c r="H5" s="2721" t="s">
        <v>1411</v>
      </c>
      <c r="I5" s="2722"/>
      <c r="J5" s="1352" t="s">
        <v>1412</v>
      </c>
      <c r="K5" s="1533"/>
      <c r="L5" s="1533"/>
      <c r="M5" s="1533"/>
      <c r="N5" s="1533"/>
      <c r="O5" s="1540"/>
      <c r="P5" s="1540"/>
      <c r="Q5" s="1540"/>
      <c r="R5" s="1540"/>
      <c r="S5" s="1540"/>
      <c r="T5" s="1540"/>
      <c r="U5" s="1540"/>
      <c r="V5" s="1540"/>
      <c r="W5" s="1540"/>
      <c r="X5" s="1540"/>
      <c r="Y5" s="1540"/>
      <c r="Z5" s="1540"/>
      <c r="AA5" s="1540"/>
      <c r="AB5" s="1540"/>
      <c r="AC5" s="1540"/>
      <c r="AD5" s="1540"/>
      <c r="AE5" s="1540"/>
      <c r="AF5" s="1540"/>
      <c r="AG5" s="1540"/>
      <c r="AH5" s="1540"/>
      <c r="AI5" s="1540"/>
      <c r="AJ5" s="1540"/>
      <c r="AK5" s="1540"/>
      <c r="AL5" s="1540"/>
      <c r="AM5" s="1540"/>
      <c r="AN5" s="1540"/>
      <c r="AO5" s="1540"/>
      <c r="AP5" s="1540"/>
      <c r="AQ5" s="1540"/>
      <c r="AR5" s="1540"/>
      <c r="AS5" s="1540"/>
      <c r="AT5" s="1540"/>
      <c r="AU5" s="1540"/>
      <c r="AV5" s="1540"/>
      <c r="AW5" s="1540"/>
      <c r="AX5" s="1540"/>
      <c r="AY5" s="1540"/>
      <c r="AZ5" s="1540"/>
      <c r="BA5" s="1540"/>
      <c r="BB5" s="1540"/>
      <c r="BC5" s="1540"/>
    </row>
    <row r="6" spans="1:55" s="1561" customFormat="1">
      <c r="A6" s="1562"/>
      <c r="B6" s="1145"/>
      <c r="C6" s="1145"/>
      <c r="D6" s="1145"/>
      <c r="E6" s="1145"/>
      <c r="F6" s="1145"/>
      <c r="G6" s="1145"/>
      <c r="H6" s="2727" t="s">
        <v>1413</v>
      </c>
      <c r="I6" s="2745"/>
      <c r="J6" s="900"/>
      <c r="K6" s="1565"/>
      <c r="L6" s="1430"/>
      <c r="M6" s="1430"/>
      <c r="N6" s="1430"/>
    </row>
    <row r="7" spans="1:55" s="1561" customFormat="1">
      <c r="A7" s="1562"/>
      <c r="B7" s="1190"/>
      <c r="C7" s="1191"/>
      <c r="D7" s="1145"/>
      <c r="E7" s="1145"/>
      <c r="F7" s="1145"/>
      <c r="G7" s="1145"/>
      <c r="H7" s="2754"/>
      <c r="I7" s="2745"/>
      <c r="J7" s="1354"/>
      <c r="K7" s="1565"/>
      <c r="L7" s="1430"/>
      <c r="M7" s="1430"/>
      <c r="N7" s="1430"/>
    </row>
    <row r="8" spans="1:55">
      <c r="A8" s="1552"/>
      <c r="B8" s="1191" t="s">
        <v>1414</v>
      </c>
      <c r="C8" s="1145"/>
      <c r="D8" s="1145"/>
      <c r="E8" s="1145"/>
      <c r="F8" s="1145"/>
      <c r="G8" s="1145"/>
      <c r="H8" s="2754"/>
      <c r="I8" s="2745"/>
      <c r="J8" s="1354"/>
      <c r="K8" s="1552"/>
      <c r="L8" s="1430"/>
      <c r="M8" s="1430"/>
      <c r="N8" s="1430"/>
      <c r="O8" s="1430"/>
      <c r="P8" s="1430"/>
      <c r="Q8" s="1430"/>
      <c r="R8" s="1430"/>
      <c r="S8" s="1430"/>
      <c r="T8" s="1430"/>
      <c r="U8" s="1430"/>
      <c r="V8" s="1430"/>
      <c r="W8" s="1430"/>
      <c r="X8" s="1430"/>
      <c r="Y8" s="1430"/>
      <c r="Z8" s="1430"/>
      <c r="AA8" s="1430"/>
      <c r="AB8" s="1430"/>
      <c r="AC8" s="1430"/>
      <c r="AD8" s="1430"/>
      <c r="AE8" s="1430"/>
      <c r="AF8" s="1430"/>
      <c r="AG8" s="1430"/>
      <c r="AH8" s="1430"/>
      <c r="AI8" s="1430"/>
      <c r="AJ8" s="1430"/>
      <c r="AK8" s="1430"/>
      <c r="AL8" s="1430"/>
      <c r="AM8" s="1430"/>
      <c r="AN8" s="1430"/>
      <c r="AO8" s="1430"/>
      <c r="AP8" s="1430"/>
      <c r="AQ8" s="1430"/>
      <c r="AR8" s="1430"/>
      <c r="AS8" s="1430"/>
      <c r="AT8" s="1430"/>
      <c r="AU8" s="1430"/>
      <c r="AV8" s="1430"/>
      <c r="AW8" s="1430"/>
      <c r="AX8" s="1430"/>
      <c r="AY8" s="1430"/>
      <c r="AZ8" s="1430"/>
      <c r="BA8" s="1430"/>
    </row>
    <row r="9" spans="1:55" ht="13.5" customHeight="1">
      <c r="A9" s="1552"/>
      <c r="B9" s="2673" t="s">
        <v>1511</v>
      </c>
      <c r="C9" s="2673"/>
      <c r="D9" s="2673"/>
      <c r="E9" s="2673"/>
      <c r="F9" s="2673"/>
      <c r="G9" s="2673"/>
      <c r="H9" s="1529"/>
      <c r="I9" s="1529"/>
      <c r="J9" s="1530"/>
      <c r="K9" s="1552"/>
      <c r="L9" s="1430"/>
      <c r="M9" s="1430"/>
      <c r="N9" s="1430"/>
      <c r="O9" s="1430"/>
      <c r="P9" s="1430"/>
      <c r="Q9" s="1430"/>
      <c r="R9" s="1430"/>
      <c r="S9" s="1430"/>
      <c r="T9" s="1430"/>
      <c r="U9" s="1430"/>
      <c r="V9" s="1430"/>
      <c r="W9" s="1430"/>
      <c r="X9" s="1430"/>
      <c r="Y9" s="1430"/>
      <c r="Z9" s="1430"/>
      <c r="AA9" s="1430"/>
      <c r="AB9" s="1430"/>
      <c r="AC9" s="1430"/>
      <c r="AD9" s="1430"/>
      <c r="AE9" s="1430"/>
      <c r="AF9" s="1430"/>
      <c r="AG9" s="1430"/>
      <c r="AH9" s="1430"/>
      <c r="AI9" s="1430"/>
      <c r="AJ9" s="1430"/>
      <c r="AK9" s="1430"/>
      <c r="AL9" s="1430"/>
      <c r="AM9" s="1430"/>
      <c r="AN9" s="1430"/>
      <c r="AO9" s="1430"/>
      <c r="AP9" s="1430"/>
      <c r="AQ9" s="1430"/>
      <c r="AR9" s="1430"/>
      <c r="AS9" s="1430"/>
      <c r="AT9" s="1430"/>
      <c r="AU9" s="1430"/>
      <c r="AV9" s="1430"/>
      <c r="AW9" s="1430"/>
      <c r="AX9" s="1430"/>
      <c r="AY9" s="1430"/>
      <c r="AZ9" s="1430"/>
      <c r="BA9" s="1430"/>
    </row>
    <row r="10" spans="1:55" ht="26.25" customHeight="1">
      <c r="A10" s="1552"/>
      <c r="B10" s="2673" t="s">
        <v>1512</v>
      </c>
      <c r="C10" s="2673"/>
      <c r="D10" s="2673"/>
      <c r="E10" s="2673"/>
      <c r="F10" s="2673"/>
      <c r="G10" s="2673"/>
      <c r="H10" s="1529"/>
      <c r="I10" s="1529"/>
      <c r="J10" s="1530"/>
      <c r="K10" s="1552"/>
      <c r="L10" s="1430"/>
      <c r="M10" s="1430"/>
      <c r="N10" s="1430"/>
      <c r="O10" s="1430"/>
      <c r="P10" s="1430"/>
      <c r="Q10" s="1430"/>
      <c r="R10" s="1430"/>
      <c r="S10" s="1430"/>
      <c r="T10" s="1430"/>
      <c r="U10" s="1430"/>
      <c r="V10" s="1430"/>
      <c r="W10" s="1430"/>
      <c r="X10" s="1430"/>
      <c r="Y10" s="1430"/>
      <c r="Z10" s="1430"/>
      <c r="AA10" s="1430"/>
      <c r="AB10" s="1430"/>
      <c r="AC10" s="1430"/>
      <c r="AD10" s="1430"/>
      <c r="AE10" s="1430"/>
      <c r="AF10" s="1430"/>
      <c r="AG10" s="1430"/>
      <c r="AH10" s="1430"/>
      <c r="AI10" s="1430"/>
      <c r="AJ10" s="1430"/>
      <c r="AK10" s="1430"/>
      <c r="AL10" s="1430"/>
      <c r="AM10" s="1430"/>
      <c r="AN10" s="1430"/>
      <c r="AO10" s="1430"/>
      <c r="AP10" s="1430"/>
      <c r="AQ10" s="1430"/>
      <c r="AR10" s="1430"/>
      <c r="AS10" s="1430"/>
      <c r="AT10" s="1430"/>
      <c r="AU10" s="1430"/>
      <c r="AV10" s="1430"/>
      <c r="AW10" s="1430"/>
      <c r="AX10" s="1430"/>
      <c r="AY10" s="1430"/>
      <c r="AZ10" s="1430"/>
      <c r="BA10" s="1430"/>
    </row>
    <row r="11" spans="1:55" ht="16.5" customHeight="1">
      <c r="A11" s="1552"/>
      <c r="B11" s="2673" t="s">
        <v>1513</v>
      </c>
      <c r="C11" s="2673"/>
      <c r="D11" s="2673"/>
      <c r="E11" s="2673"/>
      <c r="F11" s="2673"/>
      <c r="G11" s="2673"/>
      <c r="H11" s="1529"/>
      <c r="I11" s="1529"/>
      <c r="J11" s="1530"/>
      <c r="K11" s="1552"/>
      <c r="O11" s="1430"/>
      <c r="P11" s="1430"/>
      <c r="Q11" s="1430"/>
      <c r="R11" s="1430"/>
      <c r="S11" s="1430"/>
      <c r="T11" s="1430"/>
      <c r="U11" s="1430"/>
      <c r="V11" s="1430"/>
      <c r="W11" s="1430"/>
      <c r="X11" s="1430"/>
      <c r="Y11" s="1430"/>
      <c r="Z11" s="1430"/>
      <c r="AA11" s="1430"/>
      <c r="AB11" s="1430"/>
      <c r="AC11" s="1430"/>
      <c r="AD11" s="1430"/>
      <c r="AE11" s="1430"/>
      <c r="AF11" s="1430"/>
      <c r="AG11" s="1430"/>
      <c r="AH11" s="1430"/>
      <c r="AI11" s="1430"/>
      <c r="AJ11" s="1430"/>
      <c r="AK11" s="1430"/>
      <c r="AL11" s="1430"/>
      <c r="AM11" s="1430"/>
      <c r="AN11" s="1430"/>
      <c r="AO11" s="1430"/>
      <c r="AP11" s="1430"/>
      <c r="AQ11" s="1430"/>
      <c r="AR11" s="1430"/>
      <c r="AS11" s="1430"/>
      <c r="AT11" s="1430"/>
      <c r="AU11" s="1430"/>
      <c r="AV11" s="1430"/>
      <c r="AW11" s="1430"/>
      <c r="AX11" s="1430"/>
      <c r="AY11" s="1430"/>
      <c r="AZ11" s="1430"/>
      <c r="BA11" s="1430"/>
    </row>
    <row r="12" spans="1:55">
      <c r="A12" s="1552"/>
      <c r="B12" s="1145"/>
      <c r="C12" s="1145"/>
      <c r="D12" s="1145"/>
      <c r="E12" s="1145"/>
      <c r="F12" s="1145"/>
      <c r="G12" s="1145"/>
      <c r="H12" s="1529"/>
      <c r="I12" s="1529"/>
      <c r="J12" s="1530"/>
      <c r="K12" s="1552"/>
    </row>
    <row r="13" spans="1:55">
      <c r="A13" s="1552"/>
      <c r="B13" s="1191" t="s">
        <v>1416</v>
      </c>
      <c r="C13" s="1145"/>
      <c r="D13" s="1145"/>
      <c r="E13" s="1145"/>
      <c r="F13" s="1145"/>
      <c r="G13" s="1145"/>
      <c r="H13" s="1529"/>
      <c r="I13" s="1529"/>
      <c r="J13" s="1530"/>
      <c r="K13" s="1552"/>
    </row>
    <row r="14" spans="1:55">
      <c r="A14" s="1552"/>
      <c r="B14" s="1145" t="s">
        <v>1417</v>
      </c>
      <c r="C14" s="1145"/>
      <c r="D14" s="1145"/>
      <c r="E14" s="1145"/>
      <c r="F14" s="1145"/>
      <c r="G14" s="1145"/>
      <c r="H14" s="1529"/>
      <c r="I14" s="1529"/>
      <c r="J14" s="1529"/>
      <c r="K14" s="1552"/>
    </row>
    <row r="15" spans="1:55">
      <c r="A15" s="1552"/>
      <c r="B15" s="1190" t="s">
        <v>1466</v>
      </c>
      <c r="C15" s="1145"/>
      <c r="D15" s="1145"/>
      <c r="E15" s="1145"/>
      <c r="F15" s="1145"/>
      <c r="G15" s="1145"/>
      <c r="H15" s="1529"/>
      <c r="I15" s="1529"/>
      <c r="J15" s="1529"/>
      <c r="K15" s="1552"/>
    </row>
    <row r="16" spans="1:55">
      <c r="A16" s="1552"/>
      <c r="B16" s="1190" t="s">
        <v>1470</v>
      </c>
      <c r="C16" s="1145"/>
      <c r="D16" s="1145"/>
      <c r="E16" s="1145"/>
      <c r="F16" s="1145"/>
      <c r="G16" s="1145"/>
      <c r="H16" s="1529"/>
      <c r="I16" s="1529"/>
      <c r="J16" s="1529"/>
      <c r="K16" s="1552"/>
    </row>
    <row r="17" spans="1:17">
      <c r="A17" s="1552"/>
      <c r="B17" s="1190" t="s">
        <v>1514</v>
      </c>
      <c r="C17" s="1145"/>
      <c r="D17" s="1145"/>
      <c r="E17" s="1145"/>
      <c r="F17" s="1145"/>
      <c r="G17" s="1145"/>
      <c r="H17" s="1529"/>
      <c r="I17" s="1529"/>
      <c r="J17" s="1529"/>
      <c r="K17" s="1552"/>
    </row>
    <row r="18" spans="1:17">
      <c r="A18" s="1552"/>
      <c r="B18" s="1145"/>
      <c r="C18" s="1145"/>
      <c r="D18" s="1145"/>
      <c r="E18" s="1145"/>
      <c r="F18" s="1145"/>
      <c r="G18" s="1145"/>
      <c r="H18" s="1529"/>
      <c r="I18" s="1529"/>
      <c r="J18" s="1529"/>
      <c r="K18" s="1552"/>
    </row>
    <row r="19" spans="1:17">
      <c r="A19" s="1552"/>
      <c r="B19" s="1191" t="s">
        <v>1420</v>
      </c>
      <c r="C19" s="1145"/>
      <c r="D19" s="1145"/>
      <c r="E19" s="1145"/>
      <c r="F19" s="1145"/>
      <c r="G19" s="1145"/>
      <c r="H19" s="1529"/>
      <c r="I19" s="1529"/>
      <c r="J19" s="1529"/>
      <c r="K19" s="1552"/>
    </row>
    <row r="20" spans="1:17" ht="38.25" customHeight="1">
      <c r="A20" s="1552"/>
      <c r="B20" s="2673" t="s">
        <v>1515</v>
      </c>
      <c r="C20" s="2673"/>
      <c r="D20" s="2673"/>
      <c r="E20" s="2673"/>
      <c r="F20" s="2673"/>
      <c r="G20" s="2673"/>
      <c r="H20" s="1529"/>
      <c r="I20" s="1529"/>
      <c r="J20" s="1529"/>
      <c r="K20" s="1552"/>
    </row>
    <row r="21" spans="1:17" ht="80.099999999999994" customHeight="1">
      <c r="A21" s="1552"/>
      <c r="B21" s="2673" t="s">
        <v>1516</v>
      </c>
      <c r="C21" s="2673"/>
      <c r="D21" s="2673"/>
      <c r="E21" s="2673"/>
      <c r="F21" s="2673"/>
      <c r="G21" s="2673"/>
      <c r="H21" s="1529"/>
      <c r="I21" s="1529"/>
      <c r="J21" s="1529"/>
      <c r="K21" s="1552"/>
    </row>
    <row r="22" spans="1:17" ht="56.25" customHeight="1">
      <c r="A22" s="1552"/>
      <c r="B22" s="2673" t="s">
        <v>1484</v>
      </c>
      <c r="C22" s="2673"/>
      <c r="D22" s="2673"/>
      <c r="E22" s="2673"/>
      <c r="F22" s="2673"/>
      <c r="G22" s="2673"/>
      <c r="H22" s="1529"/>
      <c r="I22" s="1529"/>
      <c r="J22" s="1529"/>
      <c r="K22" s="1552"/>
      <c r="L22" s="1528"/>
      <c r="M22" s="1528"/>
      <c r="N22" s="1528"/>
    </row>
    <row r="23" spans="1:17" ht="12" customHeight="1">
      <c r="A23" s="1552"/>
      <c r="B23" s="2743" t="s">
        <v>1486</v>
      </c>
      <c r="C23" s="2743"/>
      <c r="D23" s="2743"/>
      <c r="E23" s="2743"/>
      <c r="F23" s="2743"/>
      <c r="G23" s="2743"/>
      <c r="H23" s="1529"/>
      <c r="I23" s="1529"/>
      <c r="J23" s="1529"/>
      <c r="K23" s="1552"/>
      <c r="L23" s="1579"/>
      <c r="M23" s="1579"/>
      <c r="N23" s="1579"/>
      <c r="O23" s="1528"/>
      <c r="P23" s="1528"/>
      <c r="Q23" s="1528"/>
    </row>
    <row r="24" spans="1:17" ht="99.95" customHeight="1">
      <c r="A24" s="1552"/>
      <c r="B24" s="2716" t="s">
        <v>1517</v>
      </c>
      <c r="C24" s="2744"/>
      <c r="D24" s="2744"/>
      <c r="E24" s="2744"/>
      <c r="F24" s="2744"/>
      <c r="G24" s="2744"/>
      <c r="H24" s="1529"/>
      <c r="I24" s="1529"/>
      <c r="J24" s="1529"/>
      <c r="K24" s="1552"/>
      <c r="L24" s="1528"/>
      <c r="M24" s="1528"/>
      <c r="N24" s="1528"/>
      <c r="O24" s="1528"/>
      <c r="P24" s="1528"/>
      <c r="Q24" s="1528"/>
    </row>
    <row r="25" spans="1:17" s="1526" customFormat="1" ht="80.099999999999994" customHeight="1">
      <c r="A25" s="1626"/>
      <c r="B25" s="1391" t="s">
        <v>1425</v>
      </c>
      <c r="C25" s="1342"/>
      <c r="D25" s="1342"/>
      <c r="E25" s="1342"/>
      <c r="F25" s="1342" t="s">
        <v>1433</v>
      </c>
      <c r="G25" s="1342" t="s">
        <v>1434</v>
      </c>
      <c r="H25" s="1155" t="s">
        <v>1435</v>
      </c>
      <c r="I25" s="1628"/>
      <c r="J25" s="1627"/>
      <c r="K25" s="1626"/>
      <c r="L25" s="1528"/>
      <c r="M25" s="1528"/>
      <c r="N25" s="1528"/>
    </row>
    <row r="26" spans="1:17" ht="408.75" customHeight="1">
      <c r="A26" s="1426"/>
      <c r="B26" s="2680" t="s">
        <v>2146</v>
      </c>
      <c r="C26" s="2694"/>
      <c r="D26" s="2694"/>
      <c r="E26" s="2733"/>
      <c r="F26" s="1625"/>
      <c r="G26" s="1368"/>
      <c r="H26" s="899"/>
      <c r="I26" s="1624"/>
      <c r="J26" s="1554"/>
      <c r="K26" s="1528"/>
    </row>
    <row r="27" spans="1:17" ht="80.099999999999994" customHeight="1" thickBot="1">
      <c r="A27" s="1552"/>
      <c r="B27" s="2667" t="s">
        <v>1518</v>
      </c>
      <c r="C27" s="2667"/>
      <c r="D27" s="2667"/>
      <c r="E27" s="2667"/>
      <c r="F27" s="1623" t="s">
        <v>2145</v>
      </c>
      <c r="G27" s="1342" t="s">
        <v>1434</v>
      </c>
      <c r="H27" s="1155" t="s">
        <v>1435</v>
      </c>
      <c r="I27" s="1155" t="s">
        <v>1436</v>
      </c>
      <c r="J27" s="1339" t="s">
        <v>1437</v>
      </c>
      <c r="K27" s="1552"/>
      <c r="L27" s="1172" t="s">
        <v>1467</v>
      </c>
      <c r="M27" s="1173" t="s">
        <v>1468</v>
      </c>
      <c r="N27" s="1172" t="s">
        <v>1469</v>
      </c>
    </row>
    <row r="28" spans="1:17" s="1526" customFormat="1" ht="15" customHeight="1">
      <c r="A28" s="1553"/>
      <c r="B28" s="1610" t="s">
        <v>1519</v>
      </c>
      <c r="C28" s="1609"/>
      <c r="D28" s="1609"/>
      <c r="E28" s="1622" t="s">
        <v>1496</v>
      </c>
      <c r="F28" s="1605"/>
      <c r="G28" s="1621"/>
      <c r="H28" s="1605"/>
      <c r="I28" s="1604"/>
      <c r="J28" s="1603"/>
      <c r="K28" s="1527"/>
      <c r="L28" s="1174" t="s">
        <v>1471</v>
      </c>
      <c r="M28" s="1175">
        <v>5</v>
      </c>
      <c r="N28" s="1174" t="s">
        <v>1472</v>
      </c>
    </row>
    <row r="29" spans="1:17" s="1526" customFormat="1">
      <c r="A29" s="1527"/>
      <c r="B29" s="1567" t="s">
        <v>1520</v>
      </c>
      <c r="C29" s="1376"/>
      <c r="D29" s="1566"/>
      <c r="E29" s="1181" t="s">
        <v>1497</v>
      </c>
      <c r="F29" s="1361"/>
      <c r="G29" s="1619"/>
      <c r="H29" s="1376"/>
      <c r="I29" s="1011"/>
      <c r="J29" s="1590"/>
      <c r="K29" s="1527"/>
      <c r="L29" s="1174" t="s">
        <v>1474</v>
      </c>
      <c r="M29" s="1176">
        <v>5.6</v>
      </c>
      <c r="N29" s="1174" t="s">
        <v>1475</v>
      </c>
    </row>
    <row r="30" spans="1:17" s="1526" customFormat="1">
      <c r="A30" s="1527"/>
      <c r="B30" s="1567" t="s">
        <v>1521</v>
      </c>
      <c r="C30" s="1376"/>
      <c r="D30" s="1566"/>
      <c r="E30" s="1181" t="s">
        <v>1498</v>
      </c>
      <c r="F30" s="1376"/>
      <c r="G30" s="1619"/>
      <c r="H30" s="1376"/>
      <c r="I30" s="1011"/>
      <c r="J30" s="1590"/>
      <c r="K30" s="1527"/>
      <c r="L30" s="1174" t="s">
        <v>1476</v>
      </c>
      <c r="M30" s="1176">
        <v>3.4</v>
      </c>
      <c r="N30" s="1174" t="s">
        <v>1477</v>
      </c>
    </row>
    <row r="31" spans="1:17" s="1526" customFormat="1">
      <c r="A31" s="1527"/>
      <c r="B31" s="1185" t="s">
        <v>2142</v>
      </c>
      <c r="C31" s="1376"/>
      <c r="D31" s="1566"/>
      <c r="E31" s="1181" t="s">
        <v>1499</v>
      </c>
      <c r="F31" s="1376"/>
      <c r="G31" s="1619"/>
      <c r="H31" s="1376"/>
      <c r="I31" s="1011"/>
      <c r="J31" s="1590"/>
      <c r="K31" s="1527"/>
      <c r="L31" s="1174" t="s">
        <v>1478</v>
      </c>
      <c r="M31" s="1176">
        <v>3.4</v>
      </c>
      <c r="N31" s="1174" t="s">
        <v>1477</v>
      </c>
    </row>
    <row r="32" spans="1:17" s="1617" customFormat="1" ht="25.5">
      <c r="A32" s="1574"/>
      <c r="B32" s="1192" t="s">
        <v>2132</v>
      </c>
      <c r="C32" s="1376"/>
      <c r="D32" s="1566"/>
      <c r="E32" s="1181" t="s">
        <v>1500</v>
      </c>
      <c r="F32" s="1376"/>
      <c r="G32" s="1619"/>
      <c r="H32" s="1376"/>
      <c r="I32" s="1011"/>
      <c r="J32" s="1590"/>
      <c r="K32" s="1574"/>
      <c r="L32" s="1177" t="s">
        <v>1480</v>
      </c>
      <c r="M32" s="1175">
        <v>3.2</v>
      </c>
      <c r="N32" s="1174" t="s">
        <v>1477</v>
      </c>
    </row>
    <row r="33" spans="1:14" s="1526" customFormat="1">
      <c r="A33" s="1527"/>
      <c r="B33" s="1616"/>
      <c r="C33" s="1566"/>
      <c r="D33" s="1566"/>
      <c r="E33" s="1181" t="s">
        <v>1522</v>
      </c>
      <c r="F33" s="1376"/>
      <c r="G33" s="1619"/>
      <c r="H33" s="1376"/>
      <c r="I33" s="1011"/>
      <c r="J33" s="1590"/>
      <c r="K33" s="1527"/>
      <c r="L33" s="1177" t="s">
        <v>1482</v>
      </c>
      <c r="M33" s="1175" t="s">
        <v>1483</v>
      </c>
      <c r="N33" s="1174" t="s">
        <v>1477</v>
      </c>
    </row>
    <row r="34" spans="1:14" s="1526" customFormat="1">
      <c r="A34" s="1527"/>
      <c r="B34" s="1620"/>
      <c r="C34" s="1564"/>
      <c r="D34" s="1564"/>
      <c r="E34" s="1181"/>
      <c r="F34" s="1376"/>
      <c r="G34" s="1619"/>
      <c r="H34" s="1376"/>
      <c r="I34" s="1011"/>
      <c r="J34" s="1590"/>
      <c r="K34" s="1527"/>
      <c r="L34" s="1177" t="s">
        <v>1485</v>
      </c>
      <c r="M34" s="1175">
        <v>3.2</v>
      </c>
      <c r="N34" s="1174" t="s">
        <v>1477</v>
      </c>
    </row>
    <row r="35" spans="1:14" s="1526" customFormat="1">
      <c r="A35" s="1527"/>
      <c r="B35" s="1592"/>
      <c r="C35" s="1564"/>
      <c r="D35" s="1564"/>
      <c r="E35" s="1602" t="s">
        <v>1502</v>
      </c>
      <c r="F35" s="1615"/>
      <c r="G35" s="1595"/>
      <c r="H35" s="1376"/>
      <c r="I35" s="1011"/>
      <c r="J35" s="1614"/>
      <c r="K35" s="1527"/>
      <c r="L35" s="1174" t="s">
        <v>1487</v>
      </c>
      <c r="M35" s="1176">
        <v>6.5</v>
      </c>
      <c r="N35" s="1174" t="s">
        <v>1488</v>
      </c>
    </row>
    <row r="36" spans="1:14" s="1584" customFormat="1" ht="13.5" thickBot="1">
      <c r="B36" s="1613"/>
      <c r="C36" s="1571"/>
      <c r="D36" s="1571"/>
      <c r="E36" s="1186"/>
      <c r="F36" s="1612"/>
      <c r="G36" s="1571"/>
      <c r="H36" s="1612"/>
      <c r="I36" s="1612"/>
      <c r="J36" s="1611"/>
      <c r="L36" s="1174" t="s">
        <v>1490</v>
      </c>
      <c r="M36" s="1175">
        <v>4</v>
      </c>
      <c r="N36" s="1174" t="s">
        <v>1491</v>
      </c>
    </row>
    <row r="37" spans="1:14" s="1526" customFormat="1" ht="12.75" customHeight="1">
      <c r="A37" s="1527"/>
      <c r="B37" s="1618" t="s">
        <v>1523</v>
      </c>
      <c r="C37" s="1568"/>
      <c r="D37" s="1568"/>
      <c r="E37" s="1179" t="s">
        <v>1496</v>
      </c>
      <c r="F37" s="1605"/>
      <c r="G37" s="2747"/>
      <c r="H37" s="1376"/>
      <c r="I37" s="1011"/>
      <c r="J37" s="1590"/>
      <c r="K37" s="1527"/>
      <c r="L37" s="1324"/>
      <c r="M37" s="1324"/>
      <c r="N37" s="1324"/>
    </row>
    <row r="38" spans="1:14" s="1526" customFormat="1">
      <c r="A38" s="1527"/>
      <c r="B38" s="1567" t="s">
        <v>1520</v>
      </c>
      <c r="C38" s="1376"/>
      <c r="D38" s="1566"/>
      <c r="E38" s="1181" t="s">
        <v>1497</v>
      </c>
      <c r="F38" s="1361"/>
      <c r="G38" s="2747"/>
      <c r="H38" s="1376"/>
      <c r="I38" s="1011"/>
      <c r="J38" s="1590"/>
      <c r="K38" s="1527"/>
      <c r="L38" s="1324"/>
      <c r="M38" s="1324"/>
      <c r="N38" s="1324"/>
    </row>
    <row r="39" spans="1:14" s="1526" customFormat="1">
      <c r="A39" s="1527"/>
      <c r="B39" s="1567" t="s">
        <v>1521</v>
      </c>
      <c r="C39" s="1376"/>
      <c r="D39" s="1566"/>
      <c r="E39" s="1181" t="s">
        <v>1498</v>
      </c>
      <c r="F39" s="1376"/>
      <c r="G39" s="2747"/>
      <c r="H39" s="1376"/>
      <c r="I39" s="1011"/>
      <c r="J39" s="1590"/>
      <c r="K39" s="1527"/>
      <c r="L39" s="1324"/>
      <c r="M39" s="1324"/>
      <c r="N39" s="1324"/>
    </row>
    <row r="40" spans="1:14" s="1617" customFormat="1">
      <c r="A40" s="1574"/>
      <c r="B40" s="1185" t="s">
        <v>2142</v>
      </c>
      <c r="C40" s="1376"/>
      <c r="D40" s="1566"/>
      <c r="E40" s="1181" t="s">
        <v>1499</v>
      </c>
      <c r="F40" s="1376"/>
      <c r="G40" s="2747"/>
      <c r="H40" s="1376"/>
      <c r="I40" s="1011"/>
      <c r="J40" s="1590"/>
      <c r="K40" s="1574"/>
      <c r="L40" s="1324"/>
      <c r="M40" s="1324"/>
      <c r="N40" s="1324"/>
    </row>
    <row r="41" spans="1:14" s="1526" customFormat="1" ht="25.5">
      <c r="A41" s="1527"/>
      <c r="B41" s="1192" t="s">
        <v>2132</v>
      </c>
      <c r="C41" s="1376"/>
      <c r="D41" s="1566"/>
      <c r="E41" s="1181" t="s">
        <v>1500</v>
      </c>
      <c r="F41" s="1376"/>
      <c r="G41" s="2747"/>
      <c r="H41" s="1376"/>
      <c r="I41" s="1011"/>
      <c r="J41" s="1590"/>
      <c r="K41" s="1527"/>
      <c r="L41" s="1324"/>
      <c r="M41" s="1324"/>
      <c r="N41" s="1324"/>
    </row>
    <row r="42" spans="1:14" s="1526" customFormat="1">
      <c r="A42" s="1527"/>
      <c r="B42" s="1616"/>
      <c r="C42" s="1566"/>
      <c r="D42" s="1566"/>
      <c r="E42" s="1181" t="s">
        <v>1522</v>
      </c>
      <c r="F42" s="1376"/>
      <c r="G42" s="2747"/>
      <c r="H42" s="1376"/>
      <c r="I42" s="1011"/>
      <c r="J42" s="1590"/>
      <c r="K42" s="1527"/>
      <c r="L42" s="1324"/>
      <c r="M42" s="1324"/>
      <c r="N42" s="1324"/>
    </row>
    <row r="43" spans="1:14" s="1526" customFormat="1">
      <c r="A43" s="1527"/>
      <c r="B43" s="1616"/>
      <c r="C43" s="1566"/>
      <c r="D43" s="1566"/>
      <c r="E43" s="1181"/>
      <c r="F43" s="1376"/>
      <c r="G43" s="2747"/>
      <c r="H43" s="1376"/>
      <c r="I43" s="1011"/>
      <c r="J43" s="1590"/>
      <c r="K43" s="1527"/>
      <c r="L43" s="1324"/>
      <c r="M43" s="1324"/>
      <c r="N43" s="1324"/>
    </row>
    <row r="44" spans="1:14" s="1526" customFormat="1">
      <c r="A44" s="1527"/>
      <c r="B44" s="1592"/>
      <c r="C44" s="1564"/>
      <c r="D44" s="1564"/>
      <c r="E44" s="1602" t="s">
        <v>1502</v>
      </c>
      <c r="F44" s="1615"/>
      <c r="G44" s="2747"/>
      <c r="H44" s="1376"/>
      <c r="I44" s="1011"/>
      <c r="J44" s="1614"/>
      <c r="K44" s="1527"/>
      <c r="L44" s="1174" t="s">
        <v>1487</v>
      </c>
      <c r="M44" s="1176">
        <v>6.5</v>
      </c>
      <c r="N44" s="1174" t="s">
        <v>1488</v>
      </c>
    </row>
    <row r="45" spans="1:14" s="1584" customFormat="1" ht="12" customHeight="1" thickBot="1">
      <c r="B45" s="1613"/>
      <c r="C45" s="1571"/>
      <c r="D45" s="1571"/>
      <c r="E45" s="1186"/>
      <c r="F45" s="1612"/>
      <c r="G45" s="1571"/>
      <c r="H45" s="1612"/>
      <c r="I45" s="1612"/>
      <c r="J45" s="1611"/>
      <c r="L45" s="1174" t="s">
        <v>1490</v>
      </c>
      <c r="M45" s="1175">
        <v>4</v>
      </c>
      <c r="N45" s="1174" t="s">
        <v>1491</v>
      </c>
    </row>
    <row r="46" spans="1:14" s="1526" customFormat="1" ht="12.75" customHeight="1">
      <c r="A46" s="1527"/>
      <c r="B46" s="1610" t="s">
        <v>2144</v>
      </c>
      <c r="C46" s="1609"/>
      <c r="D46" s="1608"/>
      <c r="E46" s="1607" t="s">
        <v>1496</v>
      </c>
      <c r="F46" s="1606"/>
      <c r="G46" s="2746"/>
      <c r="H46" s="1605"/>
      <c r="I46" s="1604"/>
      <c r="J46" s="1603"/>
      <c r="K46" s="1527"/>
      <c r="L46" s="1324"/>
      <c r="M46" s="1324"/>
      <c r="N46" s="1324"/>
    </row>
    <row r="47" spans="1:14" s="1526" customFormat="1">
      <c r="A47" s="1527"/>
      <c r="B47" s="1567" t="s">
        <v>1520</v>
      </c>
      <c r="C47" s="1376"/>
      <c r="D47" s="1591"/>
      <c r="E47" s="1181" t="s">
        <v>1497</v>
      </c>
      <c r="F47" s="1376"/>
      <c r="G47" s="2747"/>
      <c r="H47" s="1376"/>
      <c r="I47" s="1011"/>
      <c r="J47" s="1590"/>
      <c r="K47" s="1527"/>
      <c r="L47" s="1324"/>
      <c r="M47" s="1324"/>
      <c r="N47" s="1324"/>
    </row>
    <row r="48" spans="1:14" s="1526" customFormat="1">
      <c r="A48" s="1527"/>
      <c r="B48" s="1567" t="s">
        <v>1521</v>
      </c>
      <c r="C48" s="1376"/>
      <c r="D48" s="1591"/>
      <c r="E48" s="1181" t="s">
        <v>1498</v>
      </c>
      <c r="F48" s="1376"/>
      <c r="G48" s="2747"/>
      <c r="H48" s="1376"/>
      <c r="I48" s="1011"/>
      <c r="J48" s="1590"/>
      <c r="K48" s="1527"/>
      <c r="L48" s="1324"/>
      <c r="M48" s="1324"/>
      <c r="N48" s="1324"/>
    </row>
    <row r="49" spans="1:18" s="1526" customFormat="1">
      <c r="A49" s="1527"/>
      <c r="B49" s="1185" t="s">
        <v>2142</v>
      </c>
      <c r="C49" s="1376"/>
      <c r="D49" s="1591"/>
      <c r="E49" s="1181" t="s">
        <v>1499</v>
      </c>
      <c r="F49" s="1382"/>
      <c r="G49" s="2747"/>
      <c r="H49" s="1376"/>
      <c r="I49" s="1011"/>
      <c r="J49" s="1590"/>
      <c r="K49" s="1527"/>
      <c r="L49" s="1528"/>
      <c r="M49" s="1528"/>
      <c r="N49" s="1528"/>
    </row>
    <row r="50" spans="1:18" s="1526" customFormat="1" ht="25.5">
      <c r="A50" s="1527"/>
      <c r="B50" s="1192" t="s">
        <v>2132</v>
      </c>
      <c r="C50" s="1376"/>
      <c r="D50" s="1591"/>
      <c r="E50" s="1181"/>
      <c r="F50" s="1382"/>
      <c r="G50" s="2747"/>
      <c r="H50" s="1376"/>
      <c r="I50" s="1011"/>
      <c r="J50" s="1590"/>
      <c r="K50" s="1527"/>
      <c r="L50" s="1528"/>
      <c r="M50" s="1528"/>
      <c r="N50" s="1528"/>
    </row>
    <row r="51" spans="1:18" s="1526" customFormat="1">
      <c r="A51" s="1527"/>
      <c r="B51" s="1592"/>
      <c r="C51" s="1591"/>
      <c r="D51" s="1591"/>
      <c r="E51" s="1602" t="s">
        <v>1502</v>
      </c>
      <c r="F51" s="1382"/>
      <c r="G51" s="2747"/>
      <c r="H51" s="1376"/>
      <c r="I51" s="1011"/>
      <c r="J51" s="1590"/>
      <c r="K51" s="1527"/>
      <c r="L51" s="1528"/>
      <c r="M51" s="1528"/>
      <c r="N51" s="1528"/>
    </row>
    <row r="52" spans="1:18" s="1526" customFormat="1">
      <c r="A52" s="1527"/>
      <c r="B52" s="1601"/>
      <c r="C52" s="1600"/>
      <c r="D52" s="1600"/>
      <c r="E52" s="1599"/>
      <c r="F52" s="1597"/>
      <c r="G52" s="1598"/>
      <c r="H52" s="1597"/>
      <c r="I52" s="1597"/>
      <c r="J52" s="1596"/>
      <c r="K52" s="1527"/>
      <c r="L52" s="1528"/>
      <c r="M52" s="1528"/>
      <c r="N52" s="1528"/>
    </row>
    <row r="53" spans="1:18" s="1526" customFormat="1" ht="12.75" customHeight="1">
      <c r="A53" s="1527"/>
      <c r="B53" s="1592" t="s">
        <v>2143</v>
      </c>
      <c r="C53" s="1566"/>
      <c r="D53" s="1591"/>
      <c r="E53" s="1188" t="s">
        <v>1496</v>
      </c>
      <c r="F53" s="1361"/>
      <c r="G53" s="1595"/>
      <c r="H53" s="1361"/>
      <c r="I53" s="1594"/>
      <c r="J53" s="1593"/>
      <c r="K53" s="1527"/>
      <c r="L53" s="1559"/>
      <c r="M53" s="1559"/>
      <c r="N53" s="1559"/>
    </row>
    <row r="54" spans="1:18" s="1526" customFormat="1">
      <c r="A54" s="1527"/>
      <c r="B54" s="1567" t="s">
        <v>1520</v>
      </c>
      <c r="C54" s="1376"/>
      <c r="D54" s="1591"/>
      <c r="E54" s="1188" t="s">
        <v>1497</v>
      </c>
      <c r="F54" s="1376"/>
      <c r="G54" s="911"/>
      <c r="H54" s="1376"/>
      <c r="I54" s="1011"/>
      <c r="J54" s="1590"/>
      <c r="K54" s="1527"/>
      <c r="L54" s="1528"/>
      <c r="M54" s="1528"/>
      <c r="N54" s="1528"/>
    </row>
    <row r="55" spans="1:18" s="1526" customFormat="1" ht="14.25">
      <c r="A55" s="1527"/>
      <c r="B55" s="1567" t="s">
        <v>1521</v>
      </c>
      <c r="C55" s="1376"/>
      <c r="D55" s="1591"/>
      <c r="E55" s="1188" t="s">
        <v>1498</v>
      </c>
      <c r="F55" s="1376"/>
      <c r="G55" s="911"/>
      <c r="H55" s="1376"/>
      <c r="I55" s="1011"/>
      <c r="J55" s="1590"/>
      <c r="K55" s="1527"/>
      <c r="L55" s="1557"/>
      <c r="M55" s="1557"/>
      <c r="N55" s="1557"/>
    </row>
    <row r="56" spans="1:18" s="1526" customFormat="1">
      <c r="A56" s="1527"/>
      <c r="B56" s="1185" t="s">
        <v>2142</v>
      </c>
      <c r="C56" s="1376"/>
      <c r="D56" s="1591"/>
      <c r="E56" s="1188" t="s">
        <v>1499</v>
      </c>
      <c r="F56" s="1376"/>
      <c r="G56" s="911"/>
      <c r="H56" s="1376"/>
      <c r="I56" s="1011"/>
      <c r="J56" s="1590"/>
      <c r="K56" s="1527"/>
      <c r="L56" s="1528"/>
      <c r="M56" s="1528"/>
      <c r="N56" s="1528"/>
    </row>
    <row r="57" spans="1:18" s="1526" customFormat="1" ht="25.5">
      <c r="A57" s="1527"/>
      <c r="B57" s="1192" t="s">
        <v>2132</v>
      </c>
      <c r="C57" s="1376"/>
      <c r="D57" s="1591"/>
      <c r="E57" s="1188"/>
      <c r="F57" s="1376"/>
      <c r="G57" s="911"/>
      <c r="H57" s="1376"/>
      <c r="I57" s="1011"/>
      <c r="J57" s="1590"/>
      <c r="K57" s="1527"/>
      <c r="L57" s="1528"/>
      <c r="M57" s="1528"/>
      <c r="N57" s="1528"/>
    </row>
    <row r="58" spans="1:18" s="1526" customFormat="1">
      <c r="A58" s="1527"/>
      <c r="B58" s="1592"/>
      <c r="C58" s="1591"/>
      <c r="D58" s="1591"/>
      <c r="E58" s="1360" t="s">
        <v>1502</v>
      </c>
      <c r="F58" s="1376"/>
      <c r="G58" s="911"/>
      <c r="H58" s="1376"/>
      <c r="I58" s="1011"/>
      <c r="J58" s="1590"/>
      <c r="K58" s="1527"/>
      <c r="L58" s="1528"/>
      <c r="M58" s="1528"/>
      <c r="N58" s="1528"/>
    </row>
    <row r="59" spans="1:18" s="1584" customFormat="1" ht="12" customHeight="1" thickBot="1">
      <c r="B59" s="1589"/>
      <c r="C59" s="1587"/>
      <c r="D59" s="1587"/>
      <c r="E59" s="1588"/>
      <c r="F59" s="1586"/>
      <c r="G59" s="1587"/>
      <c r="H59" s="1586"/>
      <c r="I59" s="1586"/>
      <c r="J59" s="1585"/>
      <c r="L59" s="1174" t="s">
        <v>1490</v>
      </c>
      <c r="M59" s="1175">
        <v>4</v>
      </c>
      <c r="N59" s="1174" t="s">
        <v>1491</v>
      </c>
    </row>
    <row r="60" spans="1:18" s="1561" customFormat="1" ht="80.099999999999994" customHeight="1">
      <c r="A60" s="1565"/>
      <c r="B60" s="1342" t="s">
        <v>2141</v>
      </c>
      <c r="C60" s="1342" t="s">
        <v>1426</v>
      </c>
      <c r="D60" s="2755" t="s">
        <v>1504</v>
      </c>
      <c r="E60" s="2755"/>
      <c r="F60" s="1342" t="s">
        <v>2140</v>
      </c>
      <c r="G60" s="1342" t="s">
        <v>1493</v>
      </c>
      <c r="H60" s="1155" t="s">
        <v>1435</v>
      </c>
      <c r="I60" s="1155" t="s">
        <v>1436</v>
      </c>
      <c r="J60" s="1187"/>
      <c r="K60" s="1562"/>
      <c r="O60" s="1559"/>
      <c r="P60" s="1559"/>
      <c r="Q60" s="1559"/>
      <c r="R60" s="1559"/>
    </row>
    <row r="61" spans="1:18" s="1561" customFormat="1" ht="255.75" customHeight="1">
      <c r="A61" s="1565"/>
      <c r="B61" s="1345" t="s">
        <v>2139</v>
      </c>
      <c r="C61" s="909" t="str">
        <f>IF('Project Info'!$C$4='Project Info'!$P$32,'Prescriptive Path Checklist'!C27,IF('Project Info'!C4='Project Info'!P33,#REF!,"&lt;Select compliance path on the 'Project Info' tab&gt;"))</f>
        <v>Assembly U-value determinations must follow ASHRAE 90.1-2010, Appendix A.
See Tables 2 and 3 for climate specific envelope requirements for the following components: roof insulation; above grade and below grade wall insulation; floor and slab insulation; exterior doors; and vertical glazing.</v>
      </c>
      <c r="D61" s="2700">
        <f>ERMs!B24</f>
        <v>0</v>
      </c>
      <c r="E61" s="2702"/>
      <c r="F61" s="1388"/>
      <c r="G61" s="1388"/>
      <c r="H61" s="1343"/>
      <c r="I61" s="910"/>
      <c r="J61" s="1341"/>
      <c r="K61" s="1562"/>
      <c r="O61" s="1559"/>
      <c r="P61" s="1559"/>
      <c r="Q61" s="1559"/>
      <c r="R61" s="1559"/>
    </row>
    <row r="62" spans="1:18" s="1561" customFormat="1" ht="80.099999999999994" customHeight="1">
      <c r="A62" s="1565"/>
      <c r="B62" s="1342" t="s">
        <v>2138</v>
      </c>
      <c r="C62" s="1342" t="s">
        <v>1426</v>
      </c>
      <c r="D62" s="2741" t="s">
        <v>1504</v>
      </c>
      <c r="E62" s="2741"/>
      <c r="F62" s="1342" t="s">
        <v>1524</v>
      </c>
      <c r="G62" s="1342" t="s">
        <v>1493</v>
      </c>
      <c r="H62" s="1155" t="s">
        <v>1435</v>
      </c>
      <c r="I62" s="1155" t="s">
        <v>1436</v>
      </c>
      <c r="J62" s="1187"/>
      <c r="K62" s="1562"/>
      <c r="O62" s="1559"/>
      <c r="P62" s="1559"/>
      <c r="Q62" s="1559"/>
      <c r="R62" s="1559"/>
    </row>
    <row r="63" spans="1:18" s="1561" customFormat="1" ht="255">
      <c r="A63" s="1565"/>
      <c r="B63" s="1345" t="s">
        <v>2137</v>
      </c>
      <c r="C63" s="909" t="str">
        <f>IF('Project Info'!C4='Project Info'!P32,'Prescriptive Path Checklist'!C37,IF('Project Info'!C4='Project Info'!P33,#REF!,"&lt;Select compliance path on the 'Project Info' tab&gt;"))</f>
        <v>The envelope components must comply with ASHRAE 90.1-2010 Sections 5.4.
All roof, wall, floor and slab insulation shall achieve RESNET-defined Grade I installation or, alternatively, Grade II for surfaces that contain a layer of continuous, air impermeable insulation (≥R-3 in CZ1-4 and ≥R-5 in CZ 5-8).</v>
      </c>
      <c r="D63" s="2700">
        <f>ERMs!B25</f>
        <v>0</v>
      </c>
      <c r="E63" s="2702"/>
      <c r="F63" s="1388"/>
      <c r="G63" s="1388"/>
      <c r="H63" s="1343"/>
      <c r="I63" s="910"/>
      <c r="J63" s="1341"/>
      <c r="K63" s="1562"/>
      <c r="O63" s="1559"/>
      <c r="P63" s="1559"/>
      <c r="Q63" s="1559"/>
      <c r="R63" s="1559"/>
    </row>
    <row r="64" spans="1:18" ht="80.099999999999994" customHeight="1">
      <c r="A64" s="1583"/>
      <c r="B64" s="1342" t="s">
        <v>1439</v>
      </c>
      <c r="C64" s="1342"/>
      <c r="D64" s="2741" t="s">
        <v>1426</v>
      </c>
      <c r="E64" s="2741"/>
      <c r="F64" s="1342" t="s">
        <v>1433</v>
      </c>
      <c r="G64" s="1342" t="s">
        <v>1434</v>
      </c>
      <c r="H64" s="1155" t="s">
        <v>1435</v>
      </c>
      <c r="I64" s="1155" t="s">
        <v>1436</v>
      </c>
      <c r="J64" s="1338" t="s">
        <v>1506</v>
      </c>
    </row>
    <row r="65" spans="1:17" ht="63.75" customHeight="1">
      <c r="A65" s="1525"/>
      <c r="B65" s="2703" t="s">
        <v>1525</v>
      </c>
      <c r="C65" s="2739"/>
      <c r="D65" s="2739"/>
      <c r="E65" s="2739"/>
      <c r="F65" s="1388"/>
      <c r="G65" s="1388"/>
      <c r="H65" s="1343"/>
      <c r="I65" s="910"/>
      <c r="J65" s="1386"/>
      <c r="K65" s="1552"/>
      <c r="O65" s="1528"/>
      <c r="P65" s="1528"/>
      <c r="Q65" s="1528"/>
    </row>
    <row r="66" spans="1:17" ht="132" customHeight="1">
      <c r="A66" s="1525"/>
      <c r="B66" s="2752" t="s">
        <v>1526</v>
      </c>
      <c r="C66" s="2753"/>
      <c r="D66" s="2748" t="str">
        <f>IF('Project Info'!C4='Project Info'!P32,'Prescriptive Path Checklist'!C37,IF('Project Info'!C4='Project Info'!P33,#REF!,"&lt;Select compliance path on the 'Project Info' tab&gt;"))</f>
        <v>The envelope components must comply with ASHRAE 90.1-2010 Sections 5.4.
All roof, wall, floor and slab insulation shall achieve RESNET-defined Grade I installation or, alternatively, Grade II for surfaces that contain a layer of continuous, air impermeable insulation (≥R-3 in CZ1-4 and ≥R-5 in CZ 5-8).</v>
      </c>
      <c r="E66" s="2749"/>
      <c r="F66" s="906"/>
      <c r="G66" s="906"/>
      <c r="H66" s="912"/>
      <c r="I66" s="908"/>
      <c r="J66" s="908"/>
      <c r="K66" s="1552"/>
      <c r="O66" s="1528"/>
      <c r="P66" s="1528"/>
      <c r="Q66" s="1528"/>
    </row>
    <row r="67" spans="1:17" ht="132" customHeight="1">
      <c r="A67" s="1525"/>
      <c r="B67" s="2693" t="s">
        <v>1527</v>
      </c>
      <c r="C67" s="2699"/>
      <c r="D67" s="2750"/>
      <c r="E67" s="2751"/>
      <c r="F67" s="1388"/>
      <c r="G67" s="1388"/>
      <c r="H67" s="1343"/>
      <c r="I67" s="1383"/>
      <c r="J67" s="1383"/>
      <c r="K67" s="1552"/>
      <c r="O67" s="1528"/>
      <c r="P67" s="1528"/>
      <c r="Q67" s="1528"/>
    </row>
    <row r="68" spans="1:17" ht="64.5" customHeight="1">
      <c r="B68" s="2693" t="s">
        <v>2136</v>
      </c>
      <c r="C68" s="2694"/>
      <c r="D68" s="2694"/>
      <c r="E68" s="2733"/>
      <c r="F68" s="1388"/>
      <c r="G68" s="1388"/>
      <c r="H68" s="1343"/>
      <c r="I68" s="1383"/>
      <c r="J68" s="1383"/>
      <c r="K68" s="1556"/>
      <c r="O68" s="1528"/>
      <c r="P68" s="1528"/>
      <c r="Q68" s="1528"/>
    </row>
    <row r="69" spans="1:17" ht="54.75" customHeight="1">
      <c r="A69" s="1525"/>
      <c r="B69" s="2680" t="s">
        <v>2129</v>
      </c>
      <c r="C69" s="2681"/>
      <c r="D69" s="2681"/>
      <c r="E69" s="2738"/>
      <c r="F69" s="1388"/>
      <c r="G69" s="1388"/>
      <c r="H69" s="1343"/>
      <c r="I69" s="1383"/>
      <c r="J69" s="1383"/>
      <c r="K69" s="1552"/>
      <c r="O69" s="1528"/>
      <c r="P69" s="1528"/>
      <c r="Q69" s="1528"/>
    </row>
    <row r="70" spans="1:17" ht="30" customHeight="1">
      <c r="A70" s="1553"/>
      <c r="B70" s="2680" t="s">
        <v>1508</v>
      </c>
      <c r="C70" s="2681"/>
      <c r="D70" s="2681"/>
      <c r="E70" s="2681"/>
      <c r="F70" s="2681"/>
      <c r="G70" s="2681"/>
      <c r="H70" s="2681"/>
      <c r="I70" s="1383"/>
      <c r="J70" s="1383"/>
      <c r="K70" s="1552"/>
      <c r="O70" s="1528"/>
      <c r="P70" s="1528"/>
      <c r="Q70" s="1528"/>
    </row>
    <row r="71" spans="1:17" ht="29.25" customHeight="1">
      <c r="A71" s="1324"/>
      <c r="B71" s="2673" t="s">
        <v>1509</v>
      </c>
      <c r="C71" s="2673"/>
      <c r="D71" s="2673"/>
      <c r="E71" s="2673"/>
      <c r="F71" s="2673"/>
      <c r="G71" s="2673"/>
      <c r="H71" s="2673"/>
      <c r="I71" s="2673"/>
      <c r="J71" s="2673"/>
      <c r="K71" s="1324"/>
    </row>
    <row r="72" spans="1:17" ht="25.5">
      <c r="A72" s="1324"/>
      <c r="C72" s="1524"/>
      <c r="K72" s="1324"/>
      <c r="Q72" s="1426" t="s">
        <v>362</v>
      </c>
    </row>
    <row r="73" spans="1:17" ht="25.5">
      <c r="A73" s="1324"/>
      <c r="C73" s="1524"/>
      <c r="K73" s="1324"/>
      <c r="Q73" s="1426" t="s">
        <v>364</v>
      </c>
    </row>
    <row r="74" spans="1:17" ht="25.5">
      <c r="C74" s="1524"/>
      <c r="Q74" s="1426" t="s">
        <v>363</v>
      </c>
    </row>
    <row r="187" spans="2:2" ht="18">
      <c r="B187" s="794"/>
    </row>
  </sheetData>
  <sheetProtection formatCells="0" formatColumns="0" formatRows="0" insertColumns="0" insertRows="0"/>
  <mergeCells count="29">
    <mergeCell ref="B67:C67"/>
    <mergeCell ref="D64:E64"/>
    <mergeCell ref="H8:I8"/>
    <mergeCell ref="B65:E65"/>
    <mergeCell ref="B26:E26"/>
    <mergeCell ref="B23:G23"/>
    <mergeCell ref="D60:E60"/>
    <mergeCell ref="D61:E61"/>
    <mergeCell ref="H5:I5"/>
    <mergeCell ref="H6:I6"/>
    <mergeCell ref="H7:I7"/>
    <mergeCell ref="B9:G9"/>
    <mergeCell ref="B20:G20"/>
    <mergeCell ref="B71:J71"/>
    <mergeCell ref="B10:G10"/>
    <mergeCell ref="B11:G11"/>
    <mergeCell ref="B24:G24"/>
    <mergeCell ref="B22:G22"/>
    <mergeCell ref="G46:G51"/>
    <mergeCell ref="D66:E67"/>
    <mergeCell ref="B70:H70"/>
    <mergeCell ref="B68:E68"/>
    <mergeCell ref="B69:E69"/>
    <mergeCell ref="D62:E62"/>
    <mergeCell ref="D63:E63"/>
    <mergeCell ref="B21:G21"/>
    <mergeCell ref="B27:E27"/>
    <mergeCell ref="G37:G44"/>
    <mergeCell ref="B66:C66"/>
  </mergeCells>
  <dataValidations count="2">
    <dataValidation type="list" allowBlank="1" showInputMessage="1" showErrorMessage="1" sqref="I26 JE26 TA26 ACW26 AMS26 AWO26 BGK26 BQG26 CAC26 CJY26 CTU26 DDQ26 DNM26 DXI26 EHE26 ERA26 FAW26 FKS26 FUO26 GEK26 GOG26 GYC26 HHY26 HRU26 IBQ26 ILM26 IVI26 JFE26 JPA26 JYW26 KIS26 KSO26 LCK26 LMG26 LWC26 MFY26 MPU26 MZQ26 NJM26 NTI26 ODE26 ONA26 OWW26 PGS26 PQO26 QAK26 QKG26 QUC26 RDY26 RNU26 RXQ26 SHM26 SRI26 TBE26 TLA26 TUW26 UES26 UOO26 UYK26 VIG26 VSC26 WBY26 WLU26 WVQ26 I65562 JE65562 TA65562 ACW65562 AMS65562 AWO65562 BGK65562 BQG65562 CAC65562 CJY65562 CTU65562 DDQ65562 DNM65562 DXI65562 EHE65562 ERA65562 FAW65562 FKS65562 FUO65562 GEK65562 GOG65562 GYC65562 HHY65562 HRU65562 IBQ65562 ILM65562 IVI65562 JFE65562 JPA65562 JYW65562 KIS65562 KSO65562 LCK65562 LMG65562 LWC65562 MFY65562 MPU65562 MZQ65562 NJM65562 NTI65562 ODE65562 ONA65562 OWW65562 PGS65562 PQO65562 QAK65562 QKG65562 QUC65562 RDY65562 RNU65562 RXQ65562 SHM65562 SRI65562 TBE65562 TLA65562 TUW65562 UES65562 UOO65562 UYK65562 VIG65562 VSC65562 WBY65562 WLU65562 WVQ65562 I131098 JE131098 TA131098 ACW131098 AMS131098 AWO131098 BGK131098 BQG131098 CAC131098 CJY131098 CTU131098 DDQ131098 DNM131098 DXI131098 EHE131098 ERA131098 FAW131098 FKS131098 FUO131098 GEK131098 GOG131098 GYC131098 HHY131098 HRU131098 IBQ131098 ILM131098 IVI131098 JFE131098 JPA131098 JYW131098 KIS131098 KSO131098 LCK131098 LMG131098 LWC131098 MFY131098 MPU131098 MZQ131098 NJM131098 NTI131098 ODE131098 ONA131098 OWW131098 PGS131098 PQO131098 QAK131098 QKG131098 QUC131098 RDY131098 RNU131098 RXQ131098 SHM131098 SRI131098 TBE131098 TLA131098 TUW131098 UES131098 UOO131098 UYK131098 VIG131098 VSC131098 WBY131098 WLU131098 WVQ131098 I196634 JE196634 TA196634 ACW196634 AMS196634 AWO196634 BGK196634 BQG196634 CAC196634 CJY196634 CTU196634 DDQ196634 DNM196634 DXI196634 EHE196634 ERA196634 FAW196634 FKS196634 FUO196634 GEK196634 GOG196634 GYC196634 HHY196634 HRU196634 IBQ196634 ILM196634 IVI196634 JFE196634 JPA196634 JYW196634 KIS196634 KSO196634 LCK196634 LMG196634 LWC196634 MFY196634 MPU196634 MZQ196634 NJM196634 NTI196634 ODE196634 ONA196634 OWW196634 PGS196634 PQO196634 QAK196634 QKG196634 QUC196634 RDY196634 RNU196634 RXQ196634 SHM196634 SRI196634 TBE196634 TLA196634 TUW196634 UES196634 UOO196634 UYK196634 VIG196634 VSC196634 WBY196634 WLU196634 WVQ196634 I262170 JE262170 TA262170 ACW262170 AMS262170 AWO262170 BGK262170 BQG262170 CAC262170 CJY262170 CTU262170 DDQ262170 DNM262170 DXI262170 EHE262170 ERA262170 FAW262170 FKS262170 FUO262170 GEK262170 GOG262170 GYC262170 HHY262170 HRU262170 IBQ262170 ILM262170 IVI262170 JFE262170 JPA262170 JYW262170 KIS262170 KSO262170 LCK262170 LMG262170 LWC262170 MFY262170 MPU262170 MZQ262170 NJM262170 NTI262170 ODE262170 ONA262170 OWW262170 PGS262170 PQO262170 QAK262170 QKG262170 QUC262170 RDY262170 RNU262170 RXQ262170 SHM262170 SRI262170 TBE262170 TLA262170 TUW262170 UES262170 UOO262170 UYK262170 VIG262170 VSC262170 WBY262170 WLU262170 WVQ262170 I327706 JE327706 TA327706 ACW327706 AMS327706 AWO327706 BGK327706 BQG327706 CAC327706 CJY327706 CTU327706 DDQ327706 DNM327706 DXI327706 EHE327706 ERA327706 FAW327706 FKS327706 FUO327706 GEK327706 GOG327706 GYC327706 HHY327706 HRU327706 IBQ327706 ILM327706 IVI327706 JFE327706 JPA327706 JYW327706 KIS327706 KSO327706 LCK327706 LMG327706 LWC327706 MFY327706 MPU327706 MZQ327706 NJM327706 NTI327706 ODE327706 ONA327706 OWW327706 PGS327706 PQO327706 QAK327706 QKG327706 QUC327706 RDY327706 RNU327706 RXQ327706 SHM327706 SRI327706 TBE327706 TLA327706 TUW327706 UES327706 UOO327706 UYK327706 VIG327706 VSC327706 WBY327706 WLU327706 WVQ327706 I393242 JE393242 TA393242 ACW393242 AMS393242 AWO393242 BGK393242 BQG393242 CAC393242 CJY393242 CTU393242 DDQ393242 DNM393242 DXI393242 EHE393242 ERA393242 FAW393242 FKS393242 FUO393242 GEK393242 GOG393242 GYC393242 HHY393242 HRU393242 IBQ393242 ILM393242 IVI393242 JFE393242 JPA393242 JYW393242 KIS393242 KSO393242 LCK393242 LMG393242 LWC393242 MFY393242 MPU393242 MZQ393242 NJM393242 NTI393242 ODE393242 ONA393242 OWW393242 PGS393242 PQO393242 QAK393242 QKG393242 QUC393242 RDY393242 RNU393242 RXQ393242 SHM393242 SRI393242 TBE393242 TLA393242 TUW393242 UES393242 UOO393242 UYK393242 VIG393242 VSC393242 WBY393242 WLU393242 WVQ393242 I458778 JE458778 TA458778 ACW458778 AMS458778 AWO458778 BGK458778 BQG458778 CAC458778 CJY458778 CTU458778 DDQ458778 DNM458778 DXI458778 EHE458778 ERA458778 FAW458778 FKS458778 FUO458778 GEK458778 GOG458778 GYC458778 HHY458778 HRU458778 IBQ458778 ILM458778 IVI458778 JFE458778 JPA458778 JYW458778 KIS458778 KSO458778 LCK458778 LMG458778 LWC458778 MFY458778 MPU458778 MZQ458778 NJM458778 NTI458778 ODE458778 ONA458778 OWW458778 PGS458778 PQO458778 QAK458778 QKG458778 QUC458778 RDY458778 RNU458778 RXQ458778 SHM458778 SRI458778 TBE458778 TLA458778 TUW458778 UES458778 UOO458778 UYK458778 VIG458778 VSC458778 WBY458778 WLU458778 WVQ458778 I524314 JE524314 TA524314 ACW524314 AMS524314 AWO524314 BGK524314 BQG524314 CAC524314 CJY524314 CTU524314 DDQ524314 DNM524314 DXI524314 EHE524314 ERA524314 FAW524314 FKS524314 FUO524314 GEK524314 GOG524314 GYC524314 HHY524314 HRU524314 IBQ524314 ILM524314 IVI524314 JFE524314 JPA524314 JYW524314 KIS524314 KSO524314 LCK524314 LMG524314 LWC524314 MFY524314 MPU524314 MZQ524314 NJM524314 NTI524314 ODE524314 ONA524314 OWW524314 PGS524314 PQO524314 QAK524314 QKG524314 QUC524314 RDY524314 RNU524314 RXQ524314 SHM524314 SRI524314 TBE524314 TLA524314 TUW524314 UES524314 UOO524314 UYK524314 VIG524314 VSC524314 WBY524314 WLU524314 WVQ524314 I589850 JE589850 TA589850 ACW589850 AMS589850 AWO589850 BGK589850 BQG589850 CAC589850 CJY589850 CTU589850 DDQ589850 DNM589850 DXI589850 EHE589850 ERA589850 FAW589850 FKS589850 FUO589850 GEK589850 GOG589850 GYC589850 HHY589850 HRU589850 IBQ589850 ILM589850 IVI589850 JFE589850 JPA589850 JYW589850 KIS589850 KSO589850 LCK589850 LMG589850 LWC589850 MFY589850 MPU589850 MZQ589850 NJM589850 NTI589850 ODE589850 ONA589850 OWW589850 PGS589850 PQO589850 QAK589850 QKG589850 QUC589850 RDY589850 RNU589850 RXQ589850 SHM589850 SRI589850 TBE589850 TLA589850 TUW589850 UES589850 UOO589850 UYK589850 VIG589850 VSC589850 WBY589850 WLU589850 WVQ589850 I655386 JE655386 TA655386 ACW655386 AMS655386 AWO655386 BGK655386 BQG655386 CAC655386 CJY655386 CTU655386 DDQ655386 DNM655386 DXI655386 EHE655386 ERA655386 FAW655386 FKS655386 FUO655386 GEK655386 GOG655386 GYC655386 HHY655386 HRU655386 IBQ655386 ILM655386 IVI655386 JFE655386 JPA655386 JYW655386 KIS655386 KSO655386 LCK655386 LMG655386 LWC655386 MFY655386 MPU655386 MZQ655386 NJM655386 NTI655386 ODE655386 ONA655386 OWW655386 PGS655386 PQO655386 QAK655386 QKG655386 QUC655386 RDY655386 RNU655386 RXQ655386 SHM655386 SRI655386 TBE655386 TLA655386 TUW655386 UES655386 UOO655386 UYK655386 VIG655386 VSC655386 WBY655386 WLU655386 WVQ655386 I720922 JE720922 TA720922 ACW720922 AMS720922 AWO720922 BGK720922 BQG720922 CAC720922 CJY720922 CTU720922 DDQ720922 DNM720922 DXI720922 EHE720922 ERA720922 FAW720922 FKS720922 FUO720922 GEK720922 GOG720922 GYC720922 HHY720922 HRU720922 IBQ720922 ILM720922 IVI720922 JFE720922 JPA720922 JYW720922 KIS720922 KSO720922 LCK720922 LMG720922 LWC720922 MFY720922 MPU720922 MZQ720922 NJM720922 NTI720922 ODE720922 ONA720922 OWW720922 PGS720922 PQO720922 QAK720922 QKG720922 QUC720922 RDY720922 RNU720922 RXQ720922 SHM720922 SRI720922 TBE720922 TLA720922 TUW720922 UES720922 UOO720922 UYK720922 VIG720922 VSC720922 WBY720922 WLU720922 WVQ720922 I786458 JE786458 TA786458 ACW786458 AMS786458 AWO786458 BGK786458 BQG786458 CAC786458 CJY786458 CTU786458 DDQ786458 DNM786458 DXI786458 EHE786458 ERA786458 FAW786458 FKS786458 FUO786458 GEK786458 GOG786458 GYC786458 HHY786458 HRU786458 IBQ786458 ILM786458 IVI786458 JFE786458 JPA786458 JYW786458 KIS786458 KSO786458 LCK786458 LMG786458 LWC786458 MFY786458 MPU786458 MZQ786458 NJM786458 NTI786458 ODE786458 ONA786458 OWW786458 PGS786458 PQO786458 QAK786458 QKG786458 QUC786458 RDY786458 RNU786458 RXQ786458 SHM786458 SRI786458 TBE786458 TLA786458 TUW786458 UES786458 UOO786458 UYK786458 VIG786458 VSC786458 WBY786458 WLU786458 WVQ786458 I851994 JE851994 TA851994 ACW851994 AMS851994 AWO851994 BGK851994 BQG851994 CAC851994 CJY851994 CTU851994 DDQ851994 DNM851994 DXI851994 EHE851994 ERA851994 FAW851994 FKS851994 FUO851994 GEK851994 GOG851994 GYC851994 HHY851994 HRU851994 IBQ851994 ILM851994 IVI851994 JFE851994 JPA851994 JYW851994 KIS851994 KSO851994 LCK851994 LMG851994 LWC851994 MFY851994 MPU851994 MZQ851994 NJM851994 NTI851994 ODE851994 ONA851994 OWW851994 PGS851994 PQO851994 QAK851994 QKG851994 QUC851994 RDY851994 RNU851994 RXQ851994 SHM851994 SRI851994 TBE851994 TLA851994 TUW851994 UES851994 UOO851994 UYK851994 VIG851994 VSC851994 WBY851994 WLU851994 WVQ851994 I917530 JE917530 TA917530 ACW917530 AMS917530 AWO917530 BGK917530 BQG917530 CAC917530 CJY917530 CTU917530 DDQ917530 DNM917530 DXI917530 EHE917530 ERA917530 FAW917530 FKS917530 FUO917530 GEK917530 GOG917530 GYC917530 HHY917530 HRU917530 IBQ917530 ILM917530 IVI917530 JFE917530 JPA917530 JYW917530 KIS917530 KSO917530 LCK917530 LMG917530 LWC917530 MFY917530 MPU917530 MZQ917530 NJM917530 NTI917530 ODE917530 ONA917530 OWW917530 PGS917530 PQO917530 QAK917530 QKG917530 QUC917530 RDY917530 RNU917530 RXQ917530 SHM917530 SRI917530 TBE917530 TLA917530 TUW917530 UES917530 UOO917530 UYK917530 VIG917530 VSC917530 WBY917530 WLU917530 WVQ917530 I983066 JE983066 TA983066 ACW983066 AMS983066 AWO983066 BGK983066 BQG983066 CAC983066 CJY983066 CTU983066 DDQ983066 DNM983066 DXI983066 EHE983066 ERA983066 FAW983066 FKS983066 FUO983066 GEK983066 GOG983066 GYC983066 HHY983066 HRU983066 IBQ983066 ILM983066 IVI983066 JFE983066 JPA983066 JYW983066 KIS983066 KSO983066 LCK983066 LMG983066 LWC983066 MFY983066 MPU983066 MZQ983066 NJM983066 NTI983066 ODE983066 ONA983066 OWW983066 PGS983066 PQO983066 QAK983066 QKG983066 QUC983066 RDY983066 RNU983066 RXQ983066 SHM983066 SRI983066 TBE983066 TLA983066 TUW983066 UES983066 UOO983066 UYK983066 VIG983066 VSC983066 WBY983066 WLU983066 WVQ983066">
      <formula1>#REF!</formula1>
    </dataValidation>
    <dataValidation type="list" allowBlank="1" showInputMessage="1" showErrorMessage="1" sqref="H36:I36 JD36:JE36 SZ36:TA36 ACV36:ACW36 AMR36:AMS36 AWN36:AWO36 BGJ36:BGK36 BQF36:BQG36 CAB36:CAC36 CJX36:CJY36 CTT36:CTU36 DDP36:DDQ36 DNL36:DNM36 DXH36:DXI36 EHD36:EHE36 EQZ36:ERA36 FAV36:FAW36 FKR36:FKS36 FUN36:FUO36 GEJ36:GEK36 GOF36:GOG36 GYB36:GYC36 HHX36:HHY36 HRT36:HRU36 IBP36:IBQ36 ILL36:ILM36 IVH36:IVI36 JFD36:JFE36 JOZ36:JPA36 JYV36:JYW36 KIR36:KIS36 KSN36:KSO36 LCJ36:LCK36 LMF36:LMG36 LWB36:LWC36 MFX36:MFY36 MPT36:MPU36 MZP36:MZQ36 NJL36:NJM36 NTH36:NTI36 ODD36:ODE36 OMZ36:ONA36 OWV36:OWW36 PGR36:PGS36 PQN36:PQO36 QAJ36:QAK36 QKF36:QKG36 QUB36:QUC36 RDX36:RDY36 RNT36:RNU36 RXP36:RXQ36 SHL36:SHM36 SRH36:SRI36 TBD36:TBE36 TKZ36:TLA36 TUV36:TUW36 UER36:UES36 UON36:UOO36 UYJ36:UYK36 VIF36:VIG36 VSB36:VSC36 WBX36:WBY36 WLT36:WLU36 WVP36:WVQ36 H65572:I65572 JD65572:JE65572 SZ65572:TA65572 ACV65572:ACW65572 AMR65572:AMS65572 AWN65572:AWO65572 BGJ65572:BGK65572 BQF65572:BQG65572 CAB65572:CAC65572 CJX65572:CJY65572 CTT65572:CTU65572 DDP65572:DDQ65572 DNL65572:DNM65572 DXH65572:DXI65572 EHD65572:EHE65572 EQZ65572:ERA65572 FAV65572:FAW65572 FKR65572:FKS65572 FUN65572:FUO65572 GEJ65572:GEK65572 GOF65572:GOG65572 GYB65572:GYC65572 HHX65572:HHY65572 HRT65572:HRU65572 IBP65572:IBQ65572 ILL65572:ILM65572 IVH65572:IVI65572 JFD65572:JFE65572 JOZ65572:JPA65572 JYV65572:JYW65572 KIR65572:KIS65572 KSN65572:KSO65572 LCJ65572:LCK65572 LMF65572:LMG65572 LWB65572:LWC65572 MFX65572:MFY65572 MPT65572:MPU65572 MZP65572:MZQ65572 NJL65572:NJM65572 NTH65572:NTI65572 ODD65572:ODE65572 OMZ65572:ONA65572 OWV65572:OWW65572 PGR65572:PGS65572 PQN65572:PQO65572 QAJ65572:QAK65572 QKF65572:QKG65572 QUB65572:QUC65572 RDX65572:RDY65572 RNT65572:RNU65572 RXP65572:RXQ65572 SHL65572:SHM65572 SRH65572:SRI65572 TBD65572:TBE65572 TKZ65572:TLA65572 TUV65572:TUW65572 UER65572:UES65572 UON65572:UOO65572 UYJ65572:UYK65572 VIF65572:VIG65572 VSB65572:VSC65572 WBX65572:WBY65572 WLT65572:WLU65572 WVP65572:WVQ65572 H131108:I131108 JD131108:JE131108 SZ131108:TA131108 ACV131108:ACW131108 AMR131108:AMS131108 AWN131108:AWO131108 BGJ131108:BGK131108 BQF131108:BQG131108 CAB131108:CAC131108 CJX131108:CJY131108 CTT131108:CTU131108 DDP131108:DDQ131108 DNL131108:DNM131108 DXH131108:DXI131108 EHD131108:EHE131108 EQZ131108:ERA131108 FAV131108:FAW131108 FKR131108:FKS131108 FUN131108:FUO131108 GEJ131108:GEK131108 GOF131108:GOG131108 GYB131108:GYC131108 HHX131108:HHY131108 HRT131108:HRU131108 IBP131108:IBQ131108 ILL131108:ILM131108 IVH131108:IVI131108 JFD131108:JFE131108 JOZ131108:JPA131108 JYV131108:JYW131108 KIR131108:KIS131108 KSN131108:KSO131108 LCJ131108:LCK131108 LMF131108:LMG131108 LWB131108:LWC131108 MFX131108:MFY131108 MPT131108:MPU131108 MZP131108:MZQ131108 NJL131108:NJM131108 NTH131108:NTI131108 ODD131108:ODE131108 OMZ131108:ONA131108 OWV131108:OWW131108 PGR131108:PGS131108 PQN131108:PQO131108 QAJ131108:QAK131108 QKF131108:QKG131108 QUB131108:QUC131108 RDX131108:RDY131108 RNT131108:RNU131108 RXP131108:RXQ131108 SHL131108:SHM131108 SRH131108:SRI131108 TBD131108:TBE131108 TKZ131108:TLA131108 TUV131108:TUW131108 UER131108:UES131108 UON131108:UOO131108 UYJ131108:UYK131108 VIF131108:VIG131108 VSB131108:VSC131108 WBX131108:WBY131108 WLT131108:WLU131108 WVP131108:WVQ131108 H196644:I196644 JD196644:JE196644 SZ196644:TA196644 ACV196644:ACW196644 AMR196644:AMS196644 AWN196644:AWO196644 BGJ196644:BGK196644 BQF196644:BQG196644 CAB196644:CAC196644 CJX196644:CJY196644 CTT196644:CTU196644 DDP196644:DDQ196644 DNL196644:DNM196644 DXH196644:DXI196644 EHD196644:EHE196644 EQZ196644:ERA196644 FAV196644:FAW196644 FKR196644:FKS196644 FUN196644:FUO196644 GEJ196644:GEK196644 GOF196644:GOG196644 GYB196644:GYC196644 HHX196644:HHY196644 HRT196644:HRU196644 IBP196644:IBQ196644 ILL196644:ILM196644 IVH196644:IVI196644 JFD196644:JFE196644 JOZ196644:JPA196644 JYV196644:JYW196644 KIR196644:KIS196644 KSN196644:KSO196644 LCJ196644:LCK196644 LMF196644:LMG196644 LWB196644:LWC196644 MFX196644:MFY196644 MPT196644:MPU196644 MZP196644:MZQ196644 NJL196644:NJM196644 NTH196644:NTI196644 ODD196644:ODE196644 OMZ196644:ONA196644 OWV196644:OWW196644 PGR196644:PGS196644 PQN196644:PQO196644 QAJ196644:QAK196644 QKF196644:QKG196644 QUB196644:QUC196644 RDX196644:RDY196644 RNT196644:RNU196644 RXP196644:RXQ196644 SHL196644:SHM196644 SRH196644:SRI196644 TBD196644:TBE196644 TKZ196644:TLA196644 TUV196644:TUW196644 UER196644:UES196644 UON196644:UOO196644 UYJ196644:UYK196644 VIF196644:VIG196644 VSB196644:VSC196644 WBX196644:WBY196644 WLT196644:WLU196644 WVP196644:WVQ196644 H262180:I262180 JD262180:JE262180 SZ262180:TA262180 ACV262180:ACW262180 AMR262180:AMS262180 AWN262180:AWO262180 BGJ262180:BGK262180 BQF262180:BQG262180 CAB262180:CAC262180 CJX262180:CJY262180 CTT262180:CTU262180 DDP262180:DDQ262180 DNL262180:DNM262180 DXH262180:DXI262180 EHD262180:EHE262180 EQZ262180:ERA262180 FAV262180:FAW262180 FKR262180:FKS262180 FUN262180:FUO262180 GEJ262180:GEK262180 GOF262180:GOG262180 GYB262180:GYC262180 HHX262180:HHY262180 HRT262180:HRU262180 IBP262180:IBQ262180 ILL262180:ILM262180 IVH262180:IVI262180 JFD262180:JFE262180 JOZ262180:JPA262180 JYV262180:JYW262180 KIR262180:KIS262180 KSN262180:KSO262180 LCJ262180:LCK262180 LMF262180:LMG262180 LWB262180:LWC262180 MFX262180:MFY262180 MPT262180:MPU262180 MZP262180:MZQ262180 NJL262180:NJM262180 NTH262180:NTI262180 ODD262180:ODE262180 OMZ262180:ONA262180 OWV262180:OWW262180 PGR262180:PGS262180 PQN262180:PQO262180 QAJ262180:QAK262180 QKF262180:QKG262180 QUB262180:QUC262180 RDX262180:RDY262180 RNT262180:RNU262180 RXP262180:RXQ262180 SHL262180:SHM262180 SRH262180:SRI262180 TBD262180:TBE262180 TKZ262180:TLA262180 TUV262180:TUW262180 UER262180:UES262180 UON262180:UOO262180 UYJ262180:UYK262180 VIF262180:VIG262180 VSB262180:VSC262180 WBX262180:WBY262180 WLT262180:WLU262180 WVP262180:WVQ262180 H327716:I327716 JD327716:JE327716 SZ327716:TA327716 ACV327716:ACW327716 AMR327716:AMS327716 AWN327716:AWO327716 BGJ327716:BGK327716 BQF327716:BQG327716 CAB327716:CAC327716 CJX327716:CJY327716 CTT327716:CTU327716 DDP327716:DDQ327716 DNL327716:DNM327716 DXH327716:DXI327716 EHD327716:EHE327716 EQZ327716:ERA327716 FAV327716:FAW327716 FKR327716:FKS327716 FUN327716:FUO327716 GEJ327716:GEK327716 GOF327716:GOG327716 GYB327716:GYC327716 HHX327716:HHY327716 HRT327716:HRU327716 IBP327716:IBQ327716 ILL327716:ILM327716 IVH327716:IVI327716 JFD327716:JFE327716 JOZ327716:JPA327716 JYV327716:JYW327716 KIR327716:KIS327716 KSN327716:KSO327716 LCJ327716:LCK327716 LMF327716:LMG327716 LWB327716:LWC327716 MFX327716:MFY327716 MPT327716:MPU327716 MZP327716:MZQ327716 NJL327716:NJM327716 NTH327716:NTI327716 ODD327716:ODE327716 OMZ327716:ONA327716 OWV327716:OWW327716 PGR327716:PGS327716 PQN327716:PQO327716 QAJ327716:QAK327716 QKF327716:QKG327716 QUB327716:QUC327716 RDX327716:RDY327716 RNT327716:RNU327716 RXP327716:RXQ327716 SHL327716:SHM327716 SRH327716:SRI327716 TBD327716:TBE327716 TKZ327716:TLA327716 TUV327716:TUW327716 UER327716:UES327716 UON327716:UOO327716 UYJ327716:UYK327716 VIF327716:VIG327716 VSB327716:VSC327716 WBX327716:WBY327716 WLT327716:WLU327716 WVP327716:WVQ327716 H393252:I393252 JD393252:JE393252 SZ393252:TA393252 ACV393252:ACW393252 AMR393252:AMS393252 AWN393252:AWO393252 BGJ393252:BGK393252 BQF393252:BQG393252 CAB393252:CAC393252 CJX393252:CJY393252 CTT393252:CTU393252 DDP393252:DDQ393252 DNL393252:DNM393252 DXH393252:DXI393252 EHD393252:EHE393252 EQZ393252:ERA393252 FAV393252:FAW393252 FKR393252:FKS393252 FUN393252:FUO393252 GEJ393252:GEK393252 GOF393252:GOG393252 GYB393252:GYC393252 HHX393252:HHY393252 HRT393252:HRU393252 IBP393252:IBQ393252 ILL393252:ILM393252 IVH393252:IVI393252 JFD393252:JFE393252 JOZ393252:JPA393252 JYV393252:JYW393252 KIR393252:KIS393252 KSN393252:KSO393252 LCJ393252:LCK393252 LMF393252:LMG393252 LWB393252:LWC393252 MFX393252:MFY393252 MPT393252:MPU393252 MZP393252:MZQ393252 NJL393252:NJM393252 NTH393252:NTI393252 ODD393252:ODE393252 OMZ393252:ONA393252 OWV393252:OWW393252 PGR393252:PGS393252 PQN393252:PQO393252 QAJ393252:QAK393252 QKF393252:QKG393252 QUB393252:QUC393252 RDX393252:RDY393252 RNT393252:RNU393252 RXP393252:RXQ393252 SHL393252:SHM393252 SRH393252:SRI393252 TBD393252:TBE393252 TKZ393252:TLA393252 TUV393252:TUW393252 UER393252:UES393252 UON393252:UOO393252 UYJ393252:UYK393252 VIF393252:VIG393252 VSB393252:VSC393252 WBX393252:WBY393252 WLT393252:WLU393252 WVP393252:WVQ393252 H458788:I458788 JD458788:JE458788 SZ458788:TA458788 ACV458788:ACW458788 AMR458788:AMS458788 AWN458788:AWO458788 BGJ458788:BGK458788 BQF458788:BQG458788 CAB458788:CAC458788 CJX458788:CJY458788 CTT458788:CTU458788 DDP458788:DDQ458788 DNL458788:DNM458788 DXH458788:DXI458788 EHD458788:EHE458788 EQZ458788:ERA458788 FAV458788:FAW458788 FKR458788:FKS458788 FUN458788:FUO458788 GEJ458788:GEK458788 GOF458788:GOG458788 GYB458788:GYC458788 HHX458788:HHY458788 HRT458788:HRU458788 IBP458788:IBQ458788 ILL458788:ILM458788 IVH458788:IVI458788 JFD458788:JFE458788 JOZ458788:JPA458788 JYV458788:JYW458788 KIR458788:KIS458788 KSN458788:KSO458788 LCJ458788:LCK458788 LMF458788:LMG458788 LWB458788:LWC458788 MFX458788:MFY458788 MPT458788:MPU458788 MZP458788:MZQ458788 NJL458788:NJM458788 NTH458788:NTI458788 ODD458788:ODE458788 OMZ458788:ONA458788 OWV458788:OWW458788 PGR458788:PGS458788 PQN458788:PQO458788 QAJ458788:QAK458788 QKF458788:QKG458788 QUB458788:QUC458788 RDX458788:RDY458788 RNT458788:RNU458788 RXP458788:RXQ458788 SHL458788:SHM458788 SRH458788:SRI458788 TBD458788:TBE458788 TKZ458788:TLA458788 TUV458788:TUW458788 UER458788:UES458788 UON458788:UOO458788 UYJ458788:UYK458788 VIF458788:VIG458788 VSB458788:VSC458788 WBX458788:WBY458788 WLT458788:WLU458788 WVP458788:WVQ458788 H524324:I524324 JD524324:JE524324 SZ524324:TA524324 ACV524324:ACW524324 AMR524324:AMS524324 AWN524324:AWO524324 BGJ524324:BGK524324 BQF524324:BQG524324 CAB524324:CAC524324 CJX524324:CJY524324 CTT524324:CTU524324 DDP524324:DDQ524324 DNL524324:DNM524324 DXH524324:DXI524324 EHD524324:EHE524324 EQZ524324:ERA524324 FAV524324:FAW524324 FKR524324:FKS524324 FUN524324:FUO524324 GEJ524324:GEK524324 GOF524324:GOG524324 GYB524324:GYC524324 HHX524324:HHY524324 HRT524324:HRU524324 IBP524324:IBQ524324 ILL524324:ILM524324 IVH524324:IVI524324 JFD524324:JFE524324 JOZ524324:JPA524324 JYV524324:JYW524324 KIR524324:KIS524324 KSN524324:KSO524324 LCJ524324:LCK524324 LMF524324:LMG524324 LWB524324:LWC524324 MFX524324:MFY524324 MPT524324:MPU524324 MZP524324:MZQ524324 NJL524324:NJM524324 NTH524324:NTI524324 ODD524324:ODE524324 OMZ524324:ONA524324 OWV524324:OWW524324 PGR524324:PGS524324 PQN524324:PQO524324 QAJ524324:QAK524324 QKF524324:QKG524324 QUB524324:QUC524324 RDX524324:RDY524324 RNT524324:RNU524324 RXP524324:RXQ524324 SHL524324:SHM524324 SRH524324:SRI524324 TBD524324:TBE524324 TKZ524324:TLA524324 TUV524324:TUW524324 UER524324:UES524324 UON524324:UOO524324 UYJ524324:UYK524324 VIF524324:VIG524324 VSB524324:VSC524324 WBX524324:WBY524324 WLT524324:WLU524324 WVP524324:WVQ524324 H589860:I589860 JD589860:JE589860 SZ589860:TA589860 ACV589860:ACW589860 AMR589860:AMS589860 AWN589860:AWO589860 BGJ589860:BGK589860 BQF589860:BQG589860 CAB589860:CAC589860 CJX589860:CJY589860 CTT589860:CTU589860 DDP589860:DDQ589860 DNL589860:DNM589860 DXH589860:DXI589860 EHD589860:EHE589860 EQZ589860:ERA589860 FAV589860:FAW589860 FKR589860:FKS589860 FUN589860:FUO589860 GEJ589860:GEK589860 GOF589860:GOG589860 GYB589860:GYC589860 HHX589860:HHY589860 HRT589860:HRU589860 IBP589860:IBQ589860 ILL589860:ILM589860 IVH589860:IVI589860 JFD589860:JFE589860 JOZ589860:JPA589860 JYV589860:JYW589860 KIR589860:KIS589860 KSN589860:KSO589860 LCJ589860:LCK589860 LMF589860:LMG589860 LWB589860:LWC589860 MFX589860:MFY589860 MPT589860:MPU589860 MZP589860:MZQ589860 NJL589860:NJM589860 NTH589860:NTI589860 ODD589860:ODE589860 OMZ589860:ONA589860 OWV589860:OWW589860 PGR589860:PGS589860 PQN589860:PQO589860 QAJ589860:QAK589860 QKF589860:QKG589860 QUB589860:QUC589860 RDX589860:RDY589860 RNT589860:RNU589860 RXP589860:RXQ589860 SHL589860:SHM589860 SRH589860:SRI589860 TBD589860:TBE589860 TKZ589860:TLA589860 TUV589860:TUW589860 UER589860:UES589860 UON589860:UOO589860 UYJ589860:UYK589860 VIF589860:VIG589860 VSB589860:VSC589860 WBX589860:WBY589860 WLT589860:WLU589860 WVP589860:WVQ589860 H655396:I655396 JD655396:JE655396 SZ655396:TA655396 ACV655396:ACW655396 AMR655396:AMS655396 AWN655396:AWO655396 BGJ655396:BGK655396 BQF655396:BQG655396 CAB655396:CAC655396 CJX655396:CJY655396 CTT655396:CTU655396 DDP655396:DDQ655396 DNL655396:DNM655396 DXH655396:DXI655396 EHD655396:EHE655396 EQZ655396:ERA655396 FAV655396:FAW655396 FKR655396:FKS655396 FUN655396:FUO655396 GEJ655396:GEK655396 GOF655396:GOG655396 GYB655396:GYC655396 HHX655396:HHY655396 HRT655396:HRU655396 IBP655396:IBQ655396 ILL655396:ILM655396 IVH655396:IVI655396 JFD655396:JFE655396 JOZ655396:JPA655396 JYV655396:JYW655396 KIR655396:KIS655396 KSN655396:KSO655396 LCJ655396:LCK655396 LMF655396:LMG655396 LWB655396:LWC655396 MFX655396:MFY655396 MPT655396:MPU655396 MZP655396:MZQ655396 NJL655396:NJM655396 NTH655396:NTI655396 ODD655396:ODE655396 OMZ655396:ONA655396 OWV655396:OWW655396 PGR655396:PGS655396 PQN655396:PQO655396 QAJ655396:QAK655396 QKF655396:QKG655396 QUB655396:QUC655396 RDX655396:RDY655396 RNT655396:RNU655396 RXP655396:RXQ655396 SHL655396:SHM655396 SRH655396:SRI655396 TBD655396:TBE655396 TKZ655396:TLA655396 TUV655396:TUW655396 UER655396:UES655396 UON655396:UOO655396 UYJ655396:UYK655396 VIF655396:VIG655396 VSB655396:VSC655396 WBX655396:WBY655396 WLT655396:WLU655396 WVP655396:WVQ655396 H720932:I720932 JD720932:JE720932 SZ720932:TA720932 ACV720932:ACW720932 AMR720932:AMS720932 AWN720932:AWO720932 BGJ720932:BGK720932 BQF720932:BQG720932 CAB720932:CAC720932 CJX720932:CJY720932 CTT720932:CTU720932 DDP720932:DDQ720932 DNL720932:DNM720932 DXH720932:DXI720932 EHD720932:EHE720932 EQZ720932:ERA720932 FAV720932:FAW720932 FKR720932:FKS720932 FUN720932:FUO720932 GEJ720932:GEK720932 GOF720932:GOG720932 GYB720932:GYC720932 HHX720932:HHY720932 HRT720932:HRU720932 IBP720932:IBQ720932 ILL720932:ILM720932 IVH720932:IVI720932 JFD720932:JFE720932 JOZ720932:JPA720932 JYV720932:JYW720932 KIR720932:KIS720932 KSN720932:KSO720932 LCJ720932:LCK720932 LMF720932:LMG720932 LWB720932:LWC720932 MFX720932:MFY720932 MPT720932:MPU720932 MZP720932:MZQ720932 NJL720932:NJM720932 NTH720932:NTI720932 ODD720932:ODE720932 OMZ720932:ONA720932 OWV720932:OWW720932 PGR720932:PGS720932 PQN720932:PQO720932 QAJ720932:QAK720932 QKF720932:QKG720932 QUB720932:QUC720932 RDX720932:RDY720932 RNT720932:RNU720932 RXP720932:RXQ720932 SHL720932:SHM720932 SRH720932:SRI720932 TBD720932:TBE720932 TKZ720932:TLA720932 TUV720932:TUW720932 UER720932:UES720932 UON720932:UOO720932 UYJ720932:UYK720932 VIF720932:VIG720932 VSB720932:VSC720932 WBX720932:WBY720932 WLT720932:WLU720932 WVP720932:WVQ720932 H786468:I786468 JD786468:JE786468 SZ786468:TA786468 ACV786468:ACW786468 AMR786468:AMS786468 AWN786468:AWO786468 BGJ786468:BGK786468 BQF786468:BQG786468 CAB786468:CAC786468 CJX786468:CJY786468 CTT786468:CTU786468 DDP786468:DDQ786468 DNL786468:DNM786468 DXH786468:DXI786468 EHD786468:EHE786468 EQZ786468:ERA786468 FAV786468:FAW786468 FKR786468:FKS786468 FUN786468:FUO786468 GEJ786468:GEK786468 GOF786468:GOG786468 GYB786468:GYC786468 HHX786468:HHY786468 HRT786468:HRU786468 IBP786468:IBQ786468 ILL786468:ILM786468 IVH786468:IVI786468 JFD786468:JFE786468 JOZ786468:JPA786468 JYV786468:JYW786468 KIR786468:KIS786468 KSN786468:KSO786468 LCJ786468:LCK786468 LMF786468:LMG786468 LWB786468:LWC786468 MFX786468:MFY786468 MPT786468:MPU786468 MZP786468:MZQ786468 NJL786468:NJM786468 NTH786468:NTI786468 ODD786468:ODE786468 OMZ786468:ONA786468 OWV786468:OWW786468 PGR786468:PGS786468 PQN786468:PQO786468 QAJ786468:QAK786468 QKF786468:QKG786468 QUB786468:QUC786468 RDX786468:RDY786468 RNT786468:RNU786468 RXP786468:RXQ786468 SHL786468:SHM786468 SRH786468:SRI786468 TBD786468:TBE786468 TKZ786468:TLA786468 TUV786468:TUW786468 UER786468:UES786468 UON786468:UOO786468 UYJ786468:UYK786468 VIF786468:VIG786468 VSB786468:VSC786468 WBX786468:WBY786468 WLT786468:WLU786468 WVP786468:WVQ786468 H852004:I852004 JD852004:JE852004 SZ852004:TA852004 ACV852004:ACW852004 AMR852004:AMS852004 AWN852004:AWO852004 BGJ852004:BGK852004 BQF852004:BQG852004 CAB852004:CAC852004 CJX852004:CJY852004 CTT852004:CTU852004 DDP852004:DDQ852004 DNL852004:DNM852004 DXH852004:DXI852004 EHD852004:EHE852004 EQZ852004:ERA852004 FAV852004:FAW852004 FKR852004:FKS852004 FUN852004:FUO852004 GEJ852004:GEK852004 GOF852004:GOG852004 GYB852004:GYC852004 HHX852004:HHY852004 HRT852004:HRU852004 IBP852004:IBQ852004 ILL852004:ILM852004 IVH852004:IVI852004 JFD852004:JFE852004 JOZ852004:JPA852004 JYV852004:JYW852004 KIR852004:KIS852004 KSN852004:KSO852004 LCJ852004:LCK852004 LMF852004:LMG852004 LWB852004:LWC852004 MFX852004:MFY852004 MPT852004:MPU852004 MZP852004:MZQ852004 NJL852004:NJM852004 NTH852004:NTI852004 ODD852004:ODE852004 OMZ852004:ONA852004 OWV852004:OWW852004 PGR852004:PGS852004 PQN852004:PQO852004 QAJ852004:QAK852004 QKF852004:QKG852004 QUB852004:QUC852004 RDX852004:RDY852004 RNT852004:RNU852004 RXP852004:RXQ852004 SHL852004:SHM852004 SRH852004:SRI852004 TBD852004:TBE852004 TKZ852004:TLA852004 TUV852004:TUW852004 UER852004:UES852004 UON852004:UOO852004 UYJ852004:UYK852004 VIF852004:VIG852004 VSB852004:VSC852004 WBX852004:WBY852004 WLT852004:WLU852004 WVP852004:WVQ852004 H917540:I917540 JD917540:JE917540 SZ917540:TA917540 ACV917540:ACW917540 AMR917540:AMS917540 AWN917540:AWO917540 BGJ917540:BGK917540 BQF917540:BQG917540 CAB917540:CAC917540 CJX917540:CJY917540 CTT917540:CTU917540 DDP917540:DDQ917540 DNL917540:DNM917540 DXH917540:DXI917540 EHD917540:EHE917540 EQZ917540:ERA917540 FAV917540:FAW917540 FKR917540:FKS917540 FUN917540:FUO917540 GEJ917540:GEK917540 GOF917540:GOG917540 GYB917540:GYC917540 HHX917540:HHY917540 HRT917540:HRU917540 IBP917540:IBQ917540 ILL917540:ILM917540 IVH917540:IVI917540 JFD917540:JFE917540 JOZ917540:JPA917540 JYV917540:JYW917540 KIR917540:KIS917540 KSN917540:KSO917540 LCJ917540:LCK917540 LMF917540:LMG917540 LWB917540:LWC917540 MFX917540:MFY917540 MPT917540:MPU917540 MZP917540:MZQ917540 NJL917540:NJM917540 NTH917540:NTI917540 ODD917540:ODE917540 OMZ917540:ONA917540 OWV917540:OWW917540 PGR917540:PGS917540 PQN917540:PQO917540 QAJ917540:QAK917540 QKF917540:QKG917540 QUB917540:QUC917540 RDX917540:RDY917540 RNT917540:RNU917540 RXP917540:RXQ917540 SHL917540:SHM917540 SRH917540:SRI917540 TBD917540:TBE917540 TKZ917540:TLA917540 TUV917540:TUW917540 UER917540:UES917540 UON917540:UOO917540 UYJ917540:UYK917540 VIF917540:VIG917540 VSB917540:VSC917540 WBX917540:WBY917540 WLT917540:WLU917540 WVP917540:WVQ917540 H983076:I983076 JD983076:JE983076 SZ983076:TA983076 ACV983076:ACW983076 AMR983076:AMS983076 AWN983076:AWO983076 BGJ983076:BGK983076 BQF983076:BQG983076 CAB983076:CAC983076 CJX983076:CJY983076 CTT983076:CTU983076 DDP983076:DDQ983076 DNL983076:DNM983076 DXH983076:DXI983076 EHD983076:EHE983076 EQZ983076:ERA983076 FAV983076:FAW983076 FKR983076:FKS983076 FUN983076:FUO983076 GEJ983076:GEK983076 GOF983076:GOG983076 GYB983076:GYC983076 HHX983076:HHY983076 HRT983076:HRU983076 IBP983076:IBQ983076 ILL983076:ILM983076 IVH983076:IVI983076 JFD983076:JFE983076 JOZ983076:JPA983076 JYV983076:JYW983076 KIR983076:KIS983076 KSN983076:KSO983076 LCJ983076:LCK983076 LMF983076:LMG983076 LWB983076:LWC983076 MFX983076:MFY983076 MPT983076:MPU983076 MZP983076:MZQ983076 NJL983076:NJM983076 NTH983076:NTI983076 ODD983076:ODE983076 OMZ983076:ONA983076 OWV983076:OWW983076 PGR983076:PGS983076 PQN983076:PQO983076 QAJ983076:QAK983076 QKF983076:QKG983076 QUB983076:QUC983076 RDX983076:RDY983076 RNT983076:RNU983076 RXP983076:RXQ983076 SHL983076:SHM983076 SRH983076:SRI983076 TBD983076:TBE983076 TKZ983076:TLA983076 TUV983076:TUW983076 UER983076:UES983076 UON983076:UOO983076 UYJ983076:UYK983076 VIF983076:VIG983076 VSB983076:VSC983076 WBX983076:WBY983076 WLT983076:WLU983076 WVP983076:WVQ983076 H52:I52 JD52:JE52 SZ52:TA52 ACV52:ACW52 AMR52:AMS52 AWN52:AWO52 BGJ52:BGK52 BQF52:BQG52 CAB52:CAC52 CJX52:CJY52 CTT52:CTU52 DDP52:DDQ52 DNL52:DNM52 DXH52:DXI52 EHD52:EHE52 EQZ52:ERA52 FAV52:FAW52 FKR52:FKS52 FUN52:FUO52 GEJ52:GEK52 GOF52:GOG52 GYB52:GYC52 HHX52:HHY52 HRT52:HRU52 IBP52:IBQ52 ILL52:ILM52 IVH52:IVI52 JFD52:JFE52 JOZ52:JPA52 JYV52:JYW52 KIR52:KIS52 KSN52:KSO52 LCJ52:LCK52 LMF52:LMG52 LWB52:LWC52 MFX52:MFY52 MPT52:MPU52 MZP52:MZQ52 NJL52:NJM52 NTH52:NTI52 ODD52:ODE52 OMZ52:ONA52 OWV52:OWW52 PGR52:PGS52 PQN52:PQO52 QAJ52:QAK52 QKF52:QKG52 QUB52:QUC52 RDX52:RDY52 RNT52:RNU52 RXP52:RXQ52 SHL52:SHM52 SRH52:SRI52 TBD52:TBE52 TKZ52:TLA52 TUV52:TUW52 UER52:UES52 UON52:UOO52 UYJ52:UYK52 VIF52:VIG52 VSB52:VSC52 WBX52:WBY52 WLT52:WLU52 WVP52:WVQ52 H65588:I65588 JD65588:JE65588 SZ65588:TA65588 ACV65588:ACW65588 AMR65588:AMS65588 AWN65588:AWO65588 BGJ65588:BGK65588 BQF65588:BQG65588 CAB65588:CAC65588 CJX65588:CJY65588 CTT65588:CTU65588 DDP65588:DDQ65588 DNL65588:DNM65588 DXH65588:DXI65588 EHD65588:EHE65588 EQZ65588:ERA65588 FAV65588:FAW65588 FKR65588:FKS65588 FUN65588:FUO65588 GEJ65588:GEK65588 GOF65588:GOG65588 GYB65588:GYC65588 HHX65588:HHY65588 HRT65588:HRU65588 IBP65588:IBQ65588 ILL65588:ILM65588 IVH65588:IVI65588 JFD65588:JFE65588 JOZ65588:JPA65588 JYV65588:JYW65588 KIR65588:KIS65588 KSN65588:KSO65588 LCJ65588:LCK65588 LMF65588:LMG65588 LWB65588:LWC65588 MFX65588:MFY65588 MPT65588:MPU65588 MZP65588:MZQ65588 NJL65588:NJM65588 NTH65588:NTI65588 ODD65588:ODE65588 OMZ65588:ONA65588 OWV65588:OWW65588 PGR65588:PGS65588 PQN65588:PQO65588 QAJ65588:QAK65588 QKF65588:QKG65588 QUB65588:QUC65588 RDX65588:RDY65588 RNT65588:RNU65588 RXP65588:RXQ65588 SHL65588:SHM65588 SRH65588:SRI65588 TBD65588:TBE65588 TKZ65588:TLA65588 TUV65588:TUW65588 UER65588:UES65588 UON65588:UOO65588 UYJ65588:UYK65588 VIF65588:VIG65588 VSB65588:VSC65588 WBX65588:WBY65588 WLT65588:WLU65588 WVP65588:WVQ65588 H131124:I131124 JD131124:JE131124 SZ131124:TA131124 ACV131124:ACW131124 AMR131124:AMS131124 AWN131124:AWO131124 BGJ131124:BGK131124 BQF131124:BQG131124 CAB131124:CAC131124 CJX131124:CJY131124 CTT131124:CTU131124 DDP131124:DDQ131124 DNL131124:DNM131124 DXH131124:DXI131124 EHD131124:EHE131124 EQZ131124:ERA131124 FAV131124:FAW131124 FKR131124:FKS131124 FUN131124:FUO131124 GEJ131124:GEK131124 GOF131124:GOG131124 GYB131124:GYC131124 HHX131124:HHY131124 HRT131124:HRU131124 IBP131124:IBQ131124 ILL131124:ILM131124 IVH131124:IVI131124 JFD131124:JFE131124 JOZ131124:JPA131124 JYV131124:JYW131124 KIR131124:KIS131124 KSN131124:KSO131124 LCJ131124:LCK131124 LMF131124:LMG131124 LWB131124:LWC131124 MFX131124:MFY131124 MPT131124:MPU131124 MZP131124:MZQ131124 NJL131124:NJM131124 NTH131124:NTI131124 ODD131124:ODE131124 OMZ131124:ONA131124 OWV131124:OWW131124 PGR131124:PGS131124 PQN131124:PQO131124 QAJ131124:QAK131124 QKF131124:QKG131124 QUB131124:QUC131124 RDX131124:RDY131124 RNT131124:RNU131124 RXP131124:RXQ131124 SHL131124:SHM131124 SRH131124:SRI131124 TBD131124:TBE131124 TKZ131124:TLA131124 TUV131124:TUW131124 UER131124:UES131124 UON131124:UOO131124 UYJ131124:UYK131124 VIF131124:VIG131124 VSB131124:VSC131124 WBX131124:WBY131124 WLT131124:WLU131124 WVP131124:WVQ131124 H196660:I196660 JD196660:JE196660 SZ196660:TA196660 ACV196660:ACW196660 AMR196660:AMS196660 AWN196660:AWO196660 BGJ196660:BGK196660 BQF196660:BQG196660 CAB196660:CAC196660 CJX196660:CJY196660 CTT196660:CTU196660 DDP196660:DDQ196660 DNL196660:DNM196660 DXH196660:DXI196660 EHD196660:EHE196660 EQZ196660:ERA196660 FAV196660:FAW196660 FKR196660:FKS196660 FUN196660:FUO196660 GEJ196660:GEK196660 GOF196660:GOG196660 GYB196660:GYC196660 HHX196660:HHY196660 HRT196660:HRU196660 IBP196660:IBQ196660 ILL196660:ILM196660 IVH196660:IVI196660 JFD196660:JFE196660 JOZ196660:JPA196660 JYV196660:JYW196660 KIR196660:KIS196660 KSN196660:KSO196660 LCJ196660:LCK196660 LMF196660:LMG196660 LWB196660:LWC196660 MFX196660:MFY196660 MPT196660:MPU196660 MZP196660:MZQ196660 NJL196660:NJM196660 NTH196660:NTI196660 ODD196660:ODE196660 OMZ196660:ONA196660 OWV196660:OWW196660 PGR196660:PGS196660 PQN196660:PQO196660 QAJ196660:QAK196660 QKF196660:QKG196660 QUB196660:QUC196660 RDX196660:RDY196660 RNT196660:RNU196660 RXP196660:RXQ196660 SHL196660:SHM196660 SRH196660:SRI196660 TBD196660:TBE196660 TKZ196660:TLA196660 TUV196660:TUW196660 UER196660:UES196660 UON196660:UOO196660 UYJ196660:UYK196660 VIF196660:VIG196660 VSB196660:VSC196660 WBX196660:WBY196660 WLT196660:WLU196660 WVP196660:WVQ196660 H262196:I262196 JD262196:JE262196 SZ262196:TA262196 ACV262196:ACW262196 AMR262196:AMS262196 AWN262196:AWO262196 BGJ262196:BGK262196 BQF262196:BQG262196 CAB262196:CAC262196 CJX262196:CJY262196 CTT262196:CTU262196 DDP262196:DDQ262196 DNL262196:DNM262196 DXH262196:DXI262196 EHD262196:EHE262196 EQZ262196:ERA262196 FAV262196:FAW262196 FKR262196:FKS262196 FUN262196:FUO262196 GEJ262196:GEK262196 GOF262196:GOG262196 GYB262196:GYC262196 HHX262196:HHY262196 HRT262196:HRU262196 IBP262196:IBQ262196 ILL262196:ILM262196 IVH262196:IVI262196 JFD262196:JFE262196 JOZ262196:JPA262196 JYV262196:JYW262196 KIR262196:KIS262196 KSN262196:KSO262196 LCJ262196:LCK262196 LMF262196:LMG262196 LWB262196:LWC262196 MFX262196:MFY262196 MPT262196:MPU262196 MZP262196:MZQ262196 NJL262196:NJM262196 NTH262196:NTI262196 ODD262196:ODE262196 OMZ262196:ONA262196 OWV262196:OWW262196 PGR262196:PGS262196 PQN262196:PQO262196 QAJ262196:QAK262196 QKF262196:QKG262196 QUB262196:QUC262196 RDX262196:RDY262196 RNT262196:RNU262196 RXP262196:RXQ262196 SHL262196:SHM262196 SRH262196:SRI262196 TBD262196:TBE262196 TKZ262196:TLA262196 TUV262196:TUW262196 UER262196:UES262196 UON262196:UOO262196 UYJ262196:UYK262196 VIF262196:VIG262196 VSB262196:VSC262196 WBX262196:WBY262196 WLT262196:WLU262196 WVP262196:WVQ262196 H327732:I327732 JD327732:JE327732 SZ327732:TA327732 ACV327732:ACW327732 AMR327732:AMS327732 AWN327732:AWO327732 BGJ327732:BGK327732 BQF327732:BQG327732 CAB327732:CAC327732 CJX327732:CJY327732 CTT327732:CTU327732 DDP327732:DDQ327732 DNL327732:DNM327732 DXH327732:DXI327732 EHD327732:EHE327732 EQZ327732:ERA327732 FAV327732:FAW327732 FKR327732:FKS327732 FUN327732:FUO327732 GEJ327732:GEK327732 GOF327732:GOG327732 GYB327732:GYC327732 HHX327732:HHY327732 HRT327732:HRU327732 IBP327732:IBQ327732 ILL327732:ILM327732 IVH327732:IVI327732 JFD327732:JFE327732 JOZ327732:JPA327732 JYV327732:JYW327732 KIR327732:KIS327732 KSN327732:KSO327732 LCJ327732:LCK327732 LMF327732:LMG327732 LWB327732:LWC327732 MFX327732:MFY327732 MPT327732:MPU327732 MZP327732:MZQ327732 NJL327732:NJM327732 NTH327732:NTI327732 ODD327732:ODE327732 OMZ327732:ONA327732 OWV327732:OWW327732 PGR327732:PGS327732 PQN327732:PQO327732 QAJ327732:QAK327732 QKF327732:QKG327732 QUB327732:QUC327732 RDX327732:RDY327732 RNT327732:RNU327732 RXP327732:RXQ327732 SHL327732:SHM327732 SRH327732:SRI327732 TBD327732:TBE327732 TKZ327732:TLA327732 TUV327732:TUW327732 UER327732:UES327732 UON327732:UOO327732 UYJ327732:UYK327732 VIF327732:VIG327732 VSB327732:VSC327732 WBX327732:WBY327732 WLT327732:WLU327732 WVP327732:WVQ327732 H393268:I393268 JD393268:JE393268 SZ393268:TA393268 ACV393268:ACW393268 AMR393268:AMS393268 AWN393268:AWO393268 BGJ393268:BGK393268 BQF393268:BQG393268 CAB393268:CAC393268 CJX393268:CJY393268 CTT393268:CTU393268 DDP393268:DDQ393268 DNL393268:DNM393268 DXH393268:DXI393268 EHD393268:EHE393268 EQZ393268:ERA393268 FAV393268:FAW393268 FKR393268:FKS393268 FUN393268:FUO393268 GEJ393268:GEK393268 GOF393268:GOG393268 GYB393268:GYC393268 HHX393268:HHY393268 HRT393268:HRU393268 IBP393268:IBQ393268 ILL393268:ILM393268 IVH393268:IVI393268 JFD393268:JFE393268 JOZ393268:JPA393268 JYV393268:JYW393268 KIR393268:KIS393268 KSN393268:KSO393268 LCJ393268:LCK393268 LMF393268:LMG393268 LWB393268:LWC393268 MFX393268:MFY393268 MPT393268:MPU393268 MZP393268:MZQ393268 NJL393268:NJM393268 NTH393268:NTI393268 ODD393268:ODE393268 OMZ393268:ONA393268 OWV393268:OWW393268 PGR393268:PGS393268 PQN393268:PQO393268 QAJ393268:QAK393268 QKF393268:QKG393268 QUB393268:QUC393268 RDX393268:RDY393268 RNT393268:RNU393268 RXP393268:RXQ393268 SHL393268:SHM393268 SRH393268:SRI393268 TBD393268:TBE393268 TKZ393268:TLA393268 TUV393268:TUW393268 UER393268:UES393268 UON393268:UOO393268 UYJ393268:UYK393268 VIF393268:VIG393268 VSB393268:VSC393268 WBX393268:WBY393268 WLT393268:WLU393268 WVP393268:WVQ393268 H458804:I458804 JD458804:JE458804 SZ458804:TA458804 ACV458804:ACW458804 AMR458804:AMS458804 AWN458804:AWO458804 BGJ458804:BGK458804 BQF458804:BQG458804 CAB458804:CAC458804 CJX458804:CJY458804 CTT458804:CTU458804 DDP458804:DDQ458804 DNL458804:DNM458804 DXH458804:DXI458804 EHD458804:EHE458804 EQZ458804:ERA458804 FAV458804:FAW458804 FKR458804:FKS458804 FUN458804:FUO458804 GEJ458804:GEK458804 GOF458804:GOG458804 GYB458804:GYC458804 HHX458804:HHY458804 HRT458804:HRU458804 IBP458804:IBQ458804 ILL458804:ILM458804 IVH458804:IVI458804 JFD458804:JFE458804 JOZ458804:JPA458804 JYV458804:JYW458804 KIR458804:KIS458804 KSN458804:KSO458804 LCJ458804:LCK458804 LMF458804:LMG458804 LWB458804:LWC458804 MFX458804:MFY458804 MPT458804:MPU458804 MZP458804:MZQ458804 NJL458804:NJM458804 NTH458804:NTI458804 ODD458804:ODE458804 OMZ458804:ONA458804 OWV458804:OWW458804 PGR458804:PGS458804 PQN458804:PQO458804 QAJ458804:QAK458804 QKF458804:QKG458804 QUB458804:QUC458804 RDX458804:RDY458804 RNT458804:RNU458804 RXP458804:RXQ458804 SHL458804:SHM458804 SRH458804:SRI458804 TBD458804:TBE458804 TKZ458804:TLA458804 TUV458804:TUW458804 UER458804:UES458804 UON458804:UOO458804 UYJ458804:UYK458804 VIF458804:VIG458804 VSB458804:VSC458804 WBX458804:WBY458804 WLT458804:WLU458804 WVP458804:WVQ458804 H524340:I524340 JD524340:JE524340 SZ524340:TA524340 ACV524340:ACW524340 AMR524340:AMS524340 AWN524340:AWO524340 BGJ524340:BGK524340 BQF524340:BQG524340 CAB524340:CAC524340 CJX524340:CJY524340 CTT524340:CTU524340 DDP524340:DDQ524340 DNL524340:DNM524340 DXH524340:DXI524340 EHD524340:EHE524340 EQZ524340:ERA524340 FAV524340:FAW524340 FKR524340:FKS524340 FUN524340:FUO524340 GEJ524340:GEK524340 GOF524340:GOG524340 GYB524340:GYC524340 HHX524340:HHY524340 HRT524340:HRU524340 IBP524340:IBQ524340 ILL524340:ILM524340 IVH524340:IVI524340 JFD524340:JFE524340 JOZ524340:JPA524340 JYV524340:JYW524340 KIR524340:KIS524340 KSN524340:KSO524340 LCJ524340:LCK524340 LMF524340:LMG524340 LWB524340:LWC524340 MFX524340:MFY524340 MPT524340:MPU524340 MZP524340:MZQ524340 NJL524340:NJM524340 NTH524340:NTI524340 ODD524340:ODE524340 OMZ524340:ONA524340 OWV524340:OWW524340 PGR524340:PGS524340 PQN524340:PQO524340 QAJ524340:QAK524340 QKF524340:QKG524340 QUB524340:QUC524340 RDX524340:RDY524340 RNT524340:RNU524340 RXP524340:RXQ524340 SHL524340:SHM524340 SRH524340:SRI524340 TBD524340:TBE524340 TKZ524340:TLA524340 TUV524340:TUW524340 UER524340:UES524340 UON524340:UOO524340 UYJ524340:UYK524340 VIF524340:VIG524340 VSB524340:VSC524340 WBX524340:WBY524340 WLT524340:WLU524340 WVP524340:WVQ524340 H589876:I589876 JD589876:JE589876 SZ589876:TA589876 ACV589876:ACW589876 AMR589876:AMS589876 AWN589876:AWO589876 BGJ589876:BGK589876 BQF589876:BQG589876 CAB589876:CAC589876 CJX589876:CJY589876 CTT589876:CTU589876 DDP589876:DDQ589876 DNL589876:DNM589876 DXH589876:DXI589876 EHD589876:EHE589876 EQZ589876:ERA589876 FAV589876:FAW589876 FKR589876:FKS589876 FUN589876:FUO589876 GEJ589876:GEK589876 GOF589876:GOG589876 GYB589876:GYC589876 HHX589876:HHY589876 HRT589876:HRU589876 IBP589876:IBQ589876 ILL589876:ILM589876 IVH589876:IVI589876 JFD589876:JFE589876 JOZ589876:JPA589876 JYV589876:JYW589876 KIR589876:KIS589876 KSN589876:KSO589876 LCJ589876:LCK589876 LMF589876:LMG589876 LWB589876:LWC589876 MFX589876:MFY589876 MPT589876:MPU589876 MZP589876:MZQ589876 NJL589876:NJM589876 NTH589876:NTI589876 ODD589876:ODE589876 OMZ589876:ONA589876 OWV589876:OWW589876 PGR589876:PGS589876 PQN589876:PQO589876 QAJ589876:QAK589876 QKF589876:QKG589876 QUB589876:QUC589876 RDX589876:RDY589876 RNT589876:RNU589876 RXP589876:RXQ589876 SHL589876:SHM589876 SRH589876:SRI589876 TBD589876:TBE589876 TKZ589876:TLA589876 TUV589876:TUW589876 UER589876:UES589876 UON589876:UOO589876 UYJ589876:UYK589876 VIF589876:VIG589876 VSB589876:VSC589876 WBX589876:WBY589876 WLT589876:WLU589876 WVP589876:WVQ589876 H655412:I655412 JD655412:JE655412 SZ655412:TA655412 ACV655412:ACW655412 AMR655412:AMS655412 AWN655412:AWO655412 BGJ655412:BGK655412 BQF655412:BQG655412 CAB655412:CAC655412 CJX655412:CJY655412 CTT655412:CTU655412 DDP655412:DDQ655412 DNL655412:DNM655412 DXH655412:DXI655412 EHD655412:EHE655412 EQZ655412:ERA655412 FAV655412:FAW655412 FKR655412:FKS655412 FUN655412:FUO655412 GEJ655412:GEK655412 GOF655412:GOG655412 GYB655412:GYC655412 HHX655412:HHY655412 HRT655412:HRU655412 IBP655412:IBQ655412 ILL655412:ILM655412 IVH655412:IVI655412 JFD655412:JFE655412 JOZ655412:JPA655412 JYV655412:JYW655412 KIR655412:KIS655412 KSN655412:KSO655412 LCJ655412:LCK655412 LMF655412:LMG655412 LWB655412:LWC655412 MFX655412:MFY655412 MPT655412:MPU655412 MZP655412:MZQ655412 NJL655412:NJM655412 NTH655412:NTI655412 ODD655412:ODE655412 OMZ655412:ONA655412 OWV655412:OWW655412 PGR655412:PGS655412 PQN655412:PQO655412 QAJ655412:QAK655412 QKF655412:QKG655412 QUB655412:QUC655412 RDX655412:RDY655412 RNT655412:RNU655412 RXP655412:RXQ655412 SHL655412:SHM655412 SRH655412:SRI655412 TBD655412:TBE655412 TKZ655412:TLA655412 TUV655412:TUW655412 UER655412:UES655412 UON655412:UOO655412 UYJ655412:UYK655412 VIF655412:VIG655412 VSB655412:VSC655412 WBX655412:WBY655412 WLT655412:WLU655412 WVP655412:WVQ655412 H720948:I720948 JD720948:JE720948 SZ720948:TA720948 ACV720948:ACW720948 AMR720948:AMS720948 AWN720948:AWO720948 BGJ720948:BGK720948 BQF720948:BQG720948 CAB720948:CAC720948 CJX720948:CJY720948 CTT720948:CTU720948 DDP720948:DDQ720948 DNL720948:DNM720948 DXH720948:DXI720948 EHD720948:EHE720948 EQZ720948:ERA720948 FAV720948:FAW720948 FKR720948:FKS720948 FUN720948:FUO720948 GEJ720948:GEK720948 GOF720948:GOG720948 GYB720948:GYC720948 HHX720948:HHY720948 HRT720948:HRU720948 IBP720948:IBQ720948 ILL720948:ILM720948 IVH720948:IVI720948 JFD720948:JFE720948 JOZ720948:JPA720948 JYV720948:JYW720948 KIR720948:KIS720948 KSN720948:KSO720948 LCJ720948:LCK720948 LMF720948:LMG720948 LWB720948:LWC720948 MFX720948:MFY720948 MPT720948:MPU720948 MZP720948:MZQ720948 NJL720948:NJM720948 NTH720948:NTI720948 ODD720948:ODE720948 OMZ720948:ONA720948 OWV720948:OWW720948 PGR720948:PGS720948 PQN720948:PQO720948 QAJ720948:QAK720948 QKF720948:QKG720948 QUB720948:QUC720948 RDX720948:RDY720948 RNT720948:RNU720948 RXP720948:RXQ720948 SHL720948:SHM720948 SRH720948:SRI720948 TBD720948:TBE720948 TKZ720948:TLA720948 TUV720948:TUW720948 UER720948:UES720948 UON720948:UOO720948 UYJ720948:UYK720948 VIF720948:VIG720948 VSB720948:VSC720948 WBX720948:WBY720948 WLT720948:WLU720948 WVP720948:WVQ720948 H786484:I786484 JD786484:JE786484 SZ786484:TA786484 ACV786484:ACW786484 AMR786484:AMS786484 AWN786484:AWO786484 BGJ786484:BGK786484 BQF786484:BQG786484 CAB786484:CAC786484 CJX786484:CJY786484 CTT786484:CTU786484 DDP786484:DDQ786484 DNL786484:DNM786484 DXH786484:DXI786484 EHD786484:EHE786484 EQZ786484:ERA786484 FAV786484:FAW786484 FKR786484:FKS786484 FUN786484:FUO786484 GEJ786484:GEK786484 GOF786484:GOG786484 GYB786484:GYC786484 HHX786484:HHY786484 HRT786484:HRU786484 IBP786484:IBQ786484 ILL786484:ILM786484 IVH786484:IVI786484 JFD786484:JFE786484 JOZ786484:JPA786484 JYV786484:JYW786484 KIR786484:KIS786484 KSN786484:KSO786484 LCJ786484:LCK786484 LMF786484:LMG786484 LWB786484:LWC786484 MFX786484:MFY786484 MPT786484:MPU786484 MZP786484:MZQ786484 NJL786484:NJM786484 NTH786484:NTI786484 ODD786484:ODE786484 OMZ786484:ONA786484 OWV786484:OWW786484 PGR786484:PGS786484 PQN786484:PQO786484 QAJ786484:QAK786484 QKF786484:QKG786484 QUB786484:QUC786484 RDX786484:RDY786484 RNT786484:RNU786484 RXP786484:RXQ786484 SHL786484:SHM786484 SRH786484:SRI786484 TBD786484:TBE786484 TKZ786484:TLA786484 TUV786484:TUW786484 UER786484:UES786484 UON786484:UOO786484 UYJ786484:UYK786484 VIF786484:VIG786484 VSB786484:VSC786484 WBX786484:WBY786484 WLT786484:WLU786484 WVP786484:WVQ786484 H852020:I852020 JD852020:JE852020 SZ852020:TA852020 ACV852020:ACW852020 AMR852020:AMS852020 AWN852020:AWO852020 BGJ852020:BGK852020 BQF852020:BQG852020 CAB852020:CAC852020 CJX852020:CJY852020 CTT852020:CTU852020 DDP852020:DDQ852020 DNL852020:DNM852020 DXH852020:DXI852020 EHD852020:EHE852020 EQZ852020:ERA852020 FAV852020:FAW852020 FKR852020:FKS852020 FUN852020:FUO852020 GEJ852020:GEK852020 GOF852020:GOG852020 GYB852020:GYC852020 HHX852020:HHY852020 HRT852020:HRU852020 IBP852020:IBQ852020 ILL852020:ILM852020 IVH852020:IVI852020 JFD852020:JFE852020 JOZ852020:JPA852020 JYV852020:JYW852020 KIR852020:KIS852020 KSN852020:KSO852020 LCJ852020:LCK852020 LMF852020:LMG852020 LWB852020:LWC852020 MFX852020:MFY852020 MPT852020:MPU852020 MZP852020:MZQ852020 NJL852020:NJM852020 NTH852020:NTI852020 ODD852020:ODE852020 OMZ852020:ONA852020 OWV852020:OWW852020 PGR852020:PGS852020 PQN852020:PQO852020 QAJ852020:QAK852020 QKF852020:QKG852020 QUB852020:QUC852020 RDX852020:RDY852020 RNT852020:RNU852020 RXP852020:RXQ852020 SHL852020:SHM852020 SRH852020:SRI852020 TBD852020:TBE852020 TKZ852020:TLA852020 TUV852020:TUW852020 UER852020:UES852020 UON852020:UOO852020 UYJ852020:UYK852020 VIF852020:VIG852020 VSB852020:VSC852020 WBX852020:WBY852020 WLT852020:WLU852020 WVP852020:WVQ852020 H917556:I917556 JD917556:JE917556 SZ917556:TA917556 ACV917556:ACW917556 AMR917556:AMS917556 AWN917556:AWO917556 BGJ917556:BGK917556 BQF917556:BQG917556 CAB917556:CAC917556 CJX917556:CJY917556 CTT917556:CTU917556 DDP917556:DDQ917556 DNL917556:DNM917556 DXH917556:DXI917556 EHD917556:EHE917556 EQZ917556:ERA917556 FAV917556:FAW917556 FKR917556:FKS917556 FUN917556:FUO917556 GEJ917556:GEK917556 GOF917556:GOG917556 GYB917556:GYC917556 HHX917556:HHY917556 HRT917556:HRU917556 IBP917556:IBQ917556 ILL917556:ILM917556 IVH917556:IVI917556 JFD917556:JFE917556 JOZ917556:JPA917556 JYV917556:JYW917556 KIR917556:KIS917556 KSN917556:KSO917556 LCJ917556:LCK917556 LMF917556:LMG917556 LWB917556:LWC917556 MFX917556:MFY917556 MPT917556:MPU917556 MZP917556:MZQ917556 NJL917556:NJM917556 NTH917556:NTI917556 ODD917556:ODE917556 OMZ917556:ONA917556 OWV917556:OWW917556 PGR917556:PGS917556 PQN917556:PQO917556 QAJ917556:QAK917556 QKF917556:QKG917556 QUB917556:QUC917556 RDX917556:RDY917556 RNT917556:RNU917556 RXP917556:RXQ917556 SHL917556:SHM917556 SRH917556:SRI917556 TBD917556:TBE917556 TKZ917556:TLA917556 TUV917556:TUW917556 UER917556:UES917556 UON917556:UOO917556 UYJ917556:UYK917556 VIF917556:VIG917556 VSB917556:VSC917556 WBX917556:WBY917556 WLT917556:WLU917556 WVP917556:WVQ917556 H983092:I983092 JD983092:JE983092 SZ983092:TA983092 ACV983092:ACW983092 AMR983092:AMS983092 AWN983092:AWO983092 BGJ983092:BGK983092 BQF983092:BQG983092 CAB983092:CAC983092 CJX983092:CJY983092 CTT983092:CTU983092 DDP983092:DDQ983092 DNL983092:DNM983092 DXH983092:DXI983092 EHD983092:EHE983092 EQZ983092:ERA983092 FAV983092:FAW983092 FKR983092:FKS983092 FUN983092:FUO983092 GEJ983092:GEK983092 GOF983092:GOG983092 GYB983092:GYC983092 HHX983092:HHY983092 HRT983092:HRU983092 IBP983092:IBQ983092 ILL983092:ILM983092 IVH983092:IVI983092 JFD983092:JFE983092 JOZ983092:JPA983092 JYV983092:JYW983092 KIR983092:KIS983092 KSN983092:KSO983092 LCJ983092:LCK983092 LMF983092:LMG983092 LWB983092:LWC983092 MFX983092:MFY983092 MPT983092:MPU983092 MZP983092:MZQ983092 NJL983092:NJM983092 NTH983092:NTI983092 ODD983092:ODE983092 OMZ983092:ONA983092 OWV983092:OWW983092 PGR983092:PGS983092 PQN983092:PQO983092 QAJ983092:QAK983092 QKF983092:QKG983092 QUB983092:QUC983092 RDX983092:RDY983092 RNT983092:RNU983092 RXP983092:RXQ983092 SHL983092:SHM983092 SRH983092:SRI983092 TBD983092:TBE983092 TKZ983092:TLA983092 TUV983092:TUW983092 UER983092:UES983092 UON983092:UOO983092 UYJ983092:UYK983092 VIF983092:VIG983092 VSB983092:VSC983092 WBX983092:WBY983092 WLT983092:WLU983092 WVP983092:WVQ983092 H45:I45 JD45:JE45 SZ45:TA45 ACV45:ACW45 AMR45:AMS45 AWN45:AWO45 BGJ45:BGK45 BQF45:BQG45 CAB45:CAC45 CJX45:CJY45 CTT45:CTU45 DDP45:DDQ45 DNL45:DNM45 DXH45:DXI45 EHD45:EHE45 EQZ45:ERA45 FAV45:FAW45 FKR45:FKS45 FUN45:FUO45 GEJ45:GEK45 GOF45:GOG45 GYB45:GYC45 HHX45:HHY45 HRT45:HRU45 IBP45:IBQ45 ILL45:ILM45 IVH45:IVI45 JFD45:JFE45 JOZ45:JPA45 JYV45:JYW45 KIR45:KIS45 KSN45:KSO45 LCJ45:LCK45 LMF45:LMG45 LWB45:LWC45 MFX45:MFY45 MPT45:MPU45 MZP45:MZQ45 NJL45:NJM45 NTH45:NTI45 ODD45:ODE45 OMZ45:ONA45 OWV45:OWW45 PGR45:PGS45 PQN45:PQO45 QAJ45:QAK45 QKF45:QKG45 QUB45:QUC45 RDX45:RDY45 RNT45:RNU45 RXP45:RXQ45 SHL45:SHM45 SRH45:SRI45 TBD45:TBE45 TKZ45:TLA45 TUV45:TUW45 UER45:UES45 UON45:UOO45 UYJ45:UYK45 VIF45:VIG45 VSB45:VSC45 WBX45:WBY45 WLT45:WLU45 WVP45:WVQ45 H65581:I65581 JD65581:JE65581 SZ65581:TA65581 ACV65581:ACW65581 AMR65581:AMS65581 AWN65581:AWO65581 BGJ65581:BGK65581 BQF65581:BQG65581 CAB65581:CAC65581 CJX65581:CJY65581 CTT65581:CTU65581 DDP65581:DDQ65581 DNL65581:DNM65581 DXH65581:DXI65581 EHD65581:EHE65581 EQZ65581:ERA65581 FAV65581:FAW65581 FKR65581:FKS65581 FUN65581:FUO65581 GEJ65581:GEK65581 GOF65581:GOG65581 GYB65581:GYC65581 HHX65581:HHY65581 HRT65581:HRU65581 IBP65581:IBQ65581 ILL65581:ILM65581 IVH65581:IVI65581 JFD65581:JFE65581 JOZ65581:JPA65581 JYV65581:JYW65581 KIR65581:KIS65581 KSN65581:KSO65581 LCJ65581:LCK65581 LMF65581:LMG65581 LWB65581:LWC65581 MFX65581:MFY65581 MPT65581:MPU65581 MZP65581:MZQ65581 NJL65581:NJM65581 NTH65581:NTI65581 ODD65581:ODE65581 OMZ65581:ONA65581 OWV65581:OWW65581 PGR65581:PGS65581 PQN65581:PQO65581 QAJ65581:QAK65581 QKF65581:QKG65581 QUB65581:QUC65581 RDX65581:RDY65581 RNT65581:RNU65581 RXP65581:RXQ65581 SHL65581:SHM65581 SRH65581:SRI65581 TBD65581:TBE65581 TKZ65581:TLA65581 TUV65581:TUW65581 UER65581:UES65581 UON65581:UOO65581 UYJ65581:UYK65581 VIF65581:VIG65581 VSB65581:VSC65581 WBX65581:WBY65581 WLT65581:WLU65581 WVP65581:WVQ65581 H131117:I131117 JD131117:JE131117 SZ131117:TA131117 ACV131117:ACW131117 AMR131117:AMS131117 AWN131117:AWO131117 BGJ131117:BGK131117 BQF131117:BQG131117 CAB131117:CAC131117 CJX131117:CJY131117 CTT131117:CTU131117 DDP131117:DDQ131117 DNL131117:DNM131117 DXH131117:DXI131117 EHD131117:EHE131117 EQZ131117:ERA131117 FAV131117:FAW131117 FKR131117:FKS131117 FUN131117:FUO131117 GEJ131117:GEK131117 GOF131117:GOG131117 GYB131117:GYC131117 HHX131117:HHY131117 HRT131117:HRU131117 IBP131117:IBQ131117 ILL131117:ILM131117 IVH131117:IVI131117 JFD131117:JFE131117 JOZ131117:JPA131117 JYV131117:JYW131117 KIR131117:KIS131117 KSN131117:KSO131117 LCJ131117:LCK131117 LMF131117:LMG131117 LWB131117:LWC131117 MFX131117:MFY131117 MPT131117:MPU131117 MZP131117:MZQ131117 NJL131117:NJM131117 NTH131117:NTI131117 ODD131117:ODE131117 OMZ131117:ONA131117 OWV131117:OWW131117 PGR131117:PGS131117 PQN131117:PQO131117 QAJ131117:QAK131117 QKF131117:QKG131117 QUB131117:QUC131117 RDX131117:RDY131117 RNT131117:RNU131117 RXP131117:RXQ131117 SHL131117:SHM131117 SRH131117:SRI131117 TBD131117:TBE131117 TKZ131117:TLA131117 TUV131117:TUW131117 UER131117:UES131117 UON131117:UOO131117 UYJ131117:UYK131117 VIF131117:VIG131117 VSB131117:VSC131117 WBX131117:WBY131117 WLT131117:WLU131117 WVP131117:WVQ131117 H196653:I196653 JD196653:JE196653 SZ196653:TA196653 ACV196653:ACW196653 AMR196653:AMS196653 AWN196653:AWO196653 BGJ196653:BGK196653 BQF196653:BQG196653 CAB196653:CAC196653 CJX196653:CJY196653 CTT196653:CTU196653 DDP196653:DDQ196653 DNL196653:DNM196653 DXH196653:DXI196653 EHD196653:EHE196653 EQZ196653:ERA196653 FAV196653:FAW196653 FKR196653:FKS196653 FUN196653:FUO196653 GEJ196653:GEK196653 GOF196653:GOG196653 GYB196653:GYC196653 HHX196653:HHY196653 HRT196653:HRU196653 IBP196653:IBQ196653 ILL196653:ILM196653 IVH196653:IVI196653 JFD196653:JFE196653 JOZ196653:JPA196653 JYV196653:JYW196653 KIR196653:KIS196653 KSN196653:KSO196653 LCJ196653:LCK196653 LMF196653:LMG196653 LWB196653:LWC196653 MFX196653:MFY196653 MPT196653:MPU196653 MZP196653:MZQ196653 NJL196653:NJM196653 NTH196653:NTI196653 ODD196653:ODE196653 OMZ196653:ONA196653 OWV196653:OWW196653 PGR196653:PGS196653 PQN196653:PQO196653 QAJ196653:QAK196653 QKF196653:QKG196653 QUB196653:QUC196653 RDX196653:RDY196653 RNT196653:RNU196653 RXP196653:RXQ196653 SHL196653:SHM196653 SRH196653:SRI196653 TBD196653:TBE196653 TKZ196653:TLA196653 TUV196653:TUW196653 UER196653:UES196653 UON196653:UOO196653 UYJ196653:UYK196653 VIF196653:VIG196653 VSB196653:VSC196653 WBX196653:WBY196653 WLT196653:WLU196653 WVP196653:WVQ196653 H262189:I262189 JD262189:JE262189 SZ262189:TA262189 ACV262189:ACW262189 AMR262189:AMS262189 AWN262189:AWO262189 BGJ262189:BGK262189 BQF262189:BQG262189 CAB262189:CAC262189 CJX262189:CJY262189 CTT262189:CTU262189 DDP262189:DDQ262189 DNL262189:DNM262189 DXH262189:DXI262189 EHD262189:EHE262189 EQZ262189:ERA262189 FAV262189:FAW262189 FKR262189:FKS262189 FUN262189:FUO262189 GEJ262189:GEK262189 GOF262189:GOG262189 GYB262189:GYC262189 HHX262189:HHY262189 HRT262189:HRU262189 IBP262189:IBQ262189 ILL262189:ILM262189 IVH262189:IVI262189 JFD262189:JFE262189 JOZ262189:JPA262189 JYV262189:JYW262189 KIR262189:KIS262189 KSN262189:KSO262189 LCJ262189:LCK262189 LMF262189:LMG262189 LWB262189:LWC262189 MFX262189:MFY262189 MPT262189:MPU262189 MZP262189:MZQ262189 NJL262189:NJM262189 NTH262189:NTI262189 ODD262189:ODE262189 OMZ262189:ONA262189 OWV262189:OWW262189 PGR262189:PGS262189 PQN262189:PQO262189 QAJ262189:QAK262189 QKF262189:QKG262189 QUB262189:QUC262189 RDX262189:RDY262189 RNT262189:RNU262189 RXP262189:RXQ262189 SHL262189:SHM262189 SRH262189:SRI262189 TBD262189:TBE262189 TKZ262189:TLA262189 TUV262189:TUW262189 UER262189:UES262189 UON262189:UOO262189 UYJ262189:UYK262189 VIF262189:VIG262189 VSB262189:VSC262189 WBX262189:WBY262189 WLT262189:WLU262189 WVP262189:WVQ262189 H327725:I327725 JD327725:JE327725 SZ327725:TA327725 ACV327725:ACW327725 AMR327725:AMS327725 AWN327725:AWO327725 BGJ327725:BGK327725 BQF327725:BQG327725 CAB327725:CAC327725 CJX327725:CJY327725 CTT327725:CTU327725 DDP327725:DDQ327725 DNL327725:DNM327725 DXH327725:DXI327725 EHD327725:EHE327725 EQZ327725:ERA327725 FAV327725:FAW327725 FKR327725:FKS327725 FUN327725:FUO327725 GEJ327725:GEK327725 GOF327725:GOG327725 GYB327725:GYC327725 HHX327725:HHY327725 HRT327725:HRU327725 IBP327725:IBQ327725 ILL327725:ILM327725 IVH327725:IVI327725 JFD327725:JFE327725 JOZ327725:JPA327725 JYV327725:JYW327725 KIR327725:KIS327725 KSN327725:KSO327725 LCJ327725:LCK327725 LMF327725:LMG327725 LWB327725:LWC327725 MFX327725:MFY327725 MPT327725:MPU327725 MZP327725:MZQ327725 NJL327725:NJM327725 NTH327725:NTI327725 ODD327725:ODE327725 OMZ327725:ONA327725 OWV327725:OWW327725 PGR327725:PGS327725 PQN327725:PQO327725 QAJ327725:QAK327725 QKF327725:QKG327725 QUB327725:QUC327725 RDX327725:RDY327725 RNT327725:RNU327725 RXP327725:RXQ327725 SHL327725:SHM327725 SRH327725:SRI327725 TBD327725:TBE327725 TKZ327725:TLA327725 TUV327725:TUW327725 UER327725:UES327725 UON327725:UOO327725 UYJ327725:UYK327725 VIF327725:VIG327725 VSB327725:VSC327725 WBX327725:WBY327725 WLT327725:WLU327725 WVP327725:WVQ327725 H393261:I393261 JD393261:JE393261 SZ393261:TA393261 ACV393261:ACW393261 AMR393261:AMS393261 AWN393261:AWO393261 BGJ393261:BGK393261 BQF393261:BQG393261 CAB393261:CAC393261 CJX393261:CJY393261 CTT393261:CTU393261 DDP393261:DDQ393261 DNL393261:DNM393261 DXH393261:DXI393261 EHD393261:EHE393261 EQZ393261:ERA393261 FAV393261:FAW393261 FKR393261:FKS393261 FUN393261:FUO393261 GEJ393261:GEK393261 GOF393261:GOG393261 GYB393261:GYC393261 HHX393261:HHY393261 HRT393261:HRU393261 IBP393261:IBQ393261 ILL393261:ILM393261 IVH393261:IVI393261 JFD393261:JFE393261 JOZ393261:JPA393261 JYV393261:JYW393261 KIR393261:KIS393261 KSN393261:KSO393261 LCJ393261:LCK393261 LMF393261:LMG393261 LWB393261:LWC393261 MFX393261:MFY393261 MPT393261:MPU393261 MZP393261:MZQ393261 NJL393261:NJM393261 NTH393261:NTI393261 ODD393261:ODE393261 OMZ393261:ONA393261 OWV393261:OWW393261 PGR393261:PGS393261 PQN393261:PQO393261 QAJ393261:QAK393261 QKF393261:QKG393261 QUB393261:QUC393261 RDX393261:RDY393261 RNT393261:RNU393261 RXP393261:RXQ393261 SHL393261:SHM393261 SRH393261:SRI393261 TBD393261:TBE393261 TKZ393261:TLA393261 TUV393261:TUW393261 UER393261:UES393261 UON393261:UOO393261 UYJ393261:UYK393261 VIF393261:VIG393261 VSB393261:VSC393261 WBX393261:WBY393261 WLT393261:WLU393261 WVP393261:WVQ393261 H458797:I458797 JD458797:JE458797 SZ458797:TA458797 ACV458797:ACW458797 AMR458797:AMS458797 AWN458797:AWO458797 BGJ458797:BGK458797 BQF458797:BQG458797 CAB458797:CAC458797 CJX458797:CJY458797 CTT458797:CTU458797 DDP458797:DDQ458797 DNL458797:DNM458797 DXH458797:DXI458797 EHD458797:EHE458797 EQZ458797:ERA458797 FAV458797:FAW458797 FKR458797:FKS458797 FUN458797:FUO458797 GEJ458797:GEK458797 GOF458797:GOG458797 GYB458797:GYC458797 HHX458797:HHY458797 HRT458797:HRU458797 IBP458797:IBQ458797 ILL458797:ILM458797 IVH458797:IVI458797 JFD458797:JFE458797 JOZ458797:JPA458797 JYV458797:JYW458797 KIR458797:KIS458797 KSN458797:KSO458797 LCJ458797:LCK458797 LMF458797:LMG458797 LWB458797:LWC458797 MFX458797:MFY458797 MPT458797:MPU458797 MZP458797:MZQ458797 NJL458797:NJM458797 NTH458797:NTI458797 ODD458797:ODE458797 OMZ458797:ONA458797 OWV458797:OWW458797 PGR458797:PGS458797 PQN458797:PQO458797 QAJ458797:QAK458797 QKF458797:QKG458797 QUB458797:QUC458797 RDX458797:RDY458797 RNT458797:RNU458797 RXP458797:RXQ458797 SHL458797:SHM458797 SRH458797:SRI458797 TBD458797:TBE458797 TKZ458797:TLA458797 TUV458797:TUW458797 UER458797:UES458797 UON458797:UOO458797 UYJ458797:UYK458797 VIF458797:VIG458797 VSB458797:VSC458797 WBX458797:WBY458797 WLT458797:WLU458797 WVP458797:WVQ458797 H524333:I524333 JD524333:JE524333 SZ524333:TA524333 ACV524333:ACW524333 AMR524333:AMS524333 AWN524333:AWO524333 BGJ524333:BGK524333 BQF524333:BQG524333 CAB524333:CAC524333 CJX524333:CJY524333 CTT524333:CTU524333 DDP524333:DDQ524333 DNL524333:DNM524333 DXH524333:DXI524333 EHD524333:EHE524333 EQZ524333:ERA524333 FAV524333:FAW524333 FKR524333:FKS524333 FUN524333:FUO524333 GEJ524333:GEK524333 GOF524333:GOG524333 GYB524333:GYC524333 HHX524333:HHY524333 HRT524333:HRU524333 IBP524333:IBQ524333 ILL524333:ILM524333 IVH524333:IVI524333 JFD524333:JFE524333 JOZ524333:JPA524333 JYV524333:JYW524333 KIR524333:KIS524333 KSN524333:KSO524333 LCJ524333:LCK524333 LMF524333:LMG524333 LWB524333:LWC524333 MFX524333:MFY524333 MPT524333:MPU524333 MZP524333:MZQ524333 NJL524333:NJM524333 NTH524333:NTI524333 ODD524333:ODE524333 OMZ524333:ONA524333 OWV524333:OWW524333 PGR524333:PGS524333 PQN524333:PQO524333 QAJ524333:QAK524333 QKF524333:QKG524333 QUB524333:QUC524333 RDX524333:RDY524333 RNT524333:RNU524333 RXP524333:RXQ524333 SHL524333:SHM524333 SRH524333:SRI524333 TBD524333:TBE524333 TKZ524333:TLA524333 TUV524333:TUW524333 UER524333:UES524333 UON524333:UOO524333 UYJ524333:UYK524333 VIF524333:VIG524333 VSB524333:VSC524333 WBX524333:WBY524333 WLT524333:WLU524333 WVP524333:WVQ524333 H589869:I589869 JD589869:JE589869 SZ589869:TA589869 ACV589869:ACW589869 AMR589869:AMS589869 AWN589869:AWO589869 BGJ589869:BGK589869 BQF589869:BQG589869 CAB589869:CAC589869 CJX589869:CJY589869 CTT589869:CTU589869 DDP589869:DDQ589869 DNL589869:DNM589869 DXH589869:DXI589869 EHD589869:EHE589869 EQZ589869:ERA589869 FAV589869:FAW589869 FKR589869:FKS589869 FUN589869:FUO589869 GEJ589869:GEK589869 GOF589869:GOG589869 GYB589869:GYC589869 HHX589869:HHY589869 HRT589869:HRU589869 IBP589869:IBQ589869 ILL589869:ILM589869 IVH589869:IVI589869 JFD589869:JFE589869 JOZ589869:JPA589869 JYV589869:JYW589869 KIR589869:KIS589869 KSN589869:KSO589869 LCJ589869:LCK589869 LMF589869:LMG589869 LWB589869:LWC589869 MFX589869:MFY589869 MPT589869:MPU589869 MZP589869:MZQ589869 NJL589869:NJM589869 NTH589869:NTI589869 ODD589869:ODE589869 OMZ589869:ONA589869 OWV589869:OWW589869 PGR589869:PGS589869 PQN589869:PQO589869 QAJ589869:QAK589869 QKF589869:QKG589869 QUB589869:QUC589869 RDX589869:RDY589869 RNT589869:RNU589869 RXP589869:RXQ589869 SHL589869:SHM589869 SRH589869:SRI589869 TBD589869:TBE589869 TKZ589869:TLA589869 TUV589869:TUW589869 UER589869:UES589869 UON589869:UOO589869 UYJ589869:UYK589869 VIF589869:VIG589869 VSB589869:VSC589869 WBX589869:WBY589869 WLT589869:WLU589869 WVP589869:WVQ589869 H655405:I655405 JD655405:JE655405 SZ655405:TA655405 ACV655405:ACW655405 AMR655405:AMS655405 AWN655405:AWO655405 BGJ655405:BGK655405 BQF655405:BQG655405 CAB655405:CAC655405 CJX655405:CJY655405 CTT655405:CTU655405 DDP655405:DDQ655405 DNL655405:DNM655405 DXH655405:DXI655405 EHD655405:EHE655405 EQZ655405:ERA655405 FAV655405:FAW655405 FKR655405:FKS655405 FUN655405:FUO655405 GEJ655405:GEK655405 GOF655405:GOG655405 GYB655405:GYC655405 HHX655405:HHY655405 HRT655405:HRU655405 IBP655405:IBQ655405 ILL655405:ILM655405 IVH655405:IVI655405 JFD655405:JFE655405 JOZ655405:JPA655405 JYV655405:JYW655405 KIR655405:KIS655405 KSN655405:KSO655405 LCJ655405:LCK655405 LMF655405:LMG655405 LWB655405:LWC655405 MFX655405:MFY655405 MPT655405:MPU655405 MZP655405:MZQ655405 NJL655405:NJM655405 NTH655405:NTI655405 ODD655405:ODE655405 OMZ655405:ONA655405 OWV655405:OWW655405 PGR655405:PGS655405 PQN655405:PQO655405 QAJ655405:QAK655405 QKF655405:QKG655405 QUB655405:QUC655405 RDX655405:RDY655405 RNT655405:RNU655405 RXP655405:RXQ655405 SHL655405:SHM655405 SRH655405:SRI655405 TBD655405:TBE655405 TKZ655405:TLA655405 TUV655405:TUW655405 UER655405:UES655405 UON655405:UOO655405 UYJ655405:UYK655405 VIF655405:VIG655405 VSB655405:VSC655405 WBX655405:WBY655405 WLT655405:WLU655405 WVP655405:WVQ655405 H720941:I720941 JD720941:JE720941 SZ720941:TA720941 ACV720941:ACW720941 AMR720941:AMS720941 AWN720941:AWO720941 BGJ720941:BGK720941 BQF720941:BQG720941 CAB720941:CAC720941 CJX720941:CJY720941 CTT720941:CTU720941 DDP720941:DDQ720941 DNL720941:DNM720941 DXH720941:DXI720941 EHD720941:EHE720941 EQZ720941:ERA720941 FAV720941:FAW720941 FKR720941:FKS720941 FUN720941:FUO720941 GEJ720941:GEK720941 GOF720941:GOG720941 GYB720941:GYC720941 HHX720941:HHY720941 HRT720941:HRU720941 IBP720941:IBQ720941 ILL720941:ILM720941 IVH720941:IVI720941 JFD720941:JFE720941 JOZ720941:JPA720941 JYV720941:JYW720941 KIR720941:KIS720941 KSN720941:KSO720941 LCJ720941:LCK720941 LMF720941:LMG720941 LWB720941:LWC720941 MFX720941:MFY720941 MPT720941:MPU720941 MZP720941:MZQ720941 NJL720941:NJM720941 NTH720941:NTI720941 ODD720941:ODE720941 OMZ720941:ONA720941 OWV720941:OWW720941 PGR720941:PGS720941 PQN720941:PQO720941 QAJ720941:QAK720941 QKF720941:QKG720941 QUB720941:QUC720941 RDX720941:RDY720941 RNT720941:RNU720941 RXP720941:RXQ720941 SHL720941:SHM720941 SRH720941:SRI720941 TBD720941:TBE720941 TKZ720941:TLA720941 TUV720941:TUW720941 UER720941:UES720941 UON720941:UOO720941 UYJ720941:UYK720941 VIF720941:VIG720941 VSB720941:VSC720941 WBX720941:WBY720941 WLT720941:WLU720941 WVP720941:WVQ720941 H786477:I786477 JD786477:JE786477 SZ786477:TA786477 ACV786477:ACW786477 AMR786477:AMS786477 AWN786477:AWO786477 BGJ786477:BGK786477 BQF786477:BQG786477 CAB786477:CAC786477 CJX786477:CJY786477 CTT786477:CTU786477 DDP786477:DDQ786477 DNL786477:DNM786477 DXH786477:DXI786477 EHD786477:EHE786477 EQZ786477:ERA786477 FAV786477:FAW786477 FKR786477:FKS786477 FUN786477:FUO786477 GEJ786477:GEK786477 GOF786477:GOG786477 GYB786477:GYC786477 HHX786477:HHY786477 HRT786477:HRU786477 IBP786477:IBQ786477 ILL786477:ILM786477 IVH786477:IVI786477 JFD786477:JFE786477 JOZ786477:JPA786477 JYV786477:JYW786477 KIR786477:KIS786477 KSN786477:KSO786477 LCJ786477:LCK786477 LMF786477:LMG786477 LWB786477:LWC786477 MFX786477:MFY786477 MPT786477:MPU786477 MZP786477:MZQ786477 NJL786477:NJM786477 NTH786477:NTI786477 ODD786477:ODE786477 OMZ786477:ONA786477 OWV786477:OWW786477 PGR786477:PGS786477 PQN786477:PQO786477 QAJ786477:QAK786477 QKF786477:QKG786477 QUB786477:QUC786477 RDX786477:RDY786477 RNT786477:RNU786477 RXP786477:RXQ786477 SHL786477:SHM786477 SRH786477:SRI786477 TBD786477:TBE786477 TKZ786477:TLA786477 TUV786477:TUW786477 UER786477:UES786477 UON786477:UOO786477 UYJ786477:UYK786477 VIF786477:VIG786477 VSB786477:VSC786477 WBX786477:WBY786477 WLT786477:WLU786477 WVP786477:WVQ786477 H852013:I852013 JD852013:JE852013 SZ852013:TA852013 ACV852013:ACW852013 AMR852013:AMS852013 AWN852013:AWO852013 BGJ852013:BGK852013 BQF852013:BQG852013 CAB852013:CAC852013 CJX852013:CJY852013 CTT852013:CTU852013 DDP852013:DDQ852013 DNL852013:DNM852013 DXH852013:DXI852013 EHD852013:EHE852013 EQZ852013:ERA852013 FAV852013:FAW852013 FKR852013:FKS852013 FUN852013:FUO852013 GEJ852013:GEK852013 GOF852013:GOG852013 GYB852013:GYC852013 HHX852013:HHY852013 HRT852013:HRU852013 IBP852013:IBQ852013 ILL852013:ILM852013 IVH852013:IVI852013 JFD852013:JFE852013 JOZ852013:JPA852013 JYV852013:JYW852013 KIR852013:KIS852013 KSN852013:KSO852013 LCJ852013:LCK852013 LMF852013:LMG852013 LWB852013:LWC852013 MFX852013:MFY852013 MPT852013:MPU852013 MZP852013:MZQ852013 NJL852013:NJM852013 NTH852013:NTI852013 ODD852013:ODE852013 OMZ852013:ONA852013 OWV852013:OWW852013 PGR852013:PGS852013 PQN852013:PQO852013 QAJ852013:QAK852013 QKF852013:QKG852013 QUB852013:QUC852013 RDX852013:RDY852013 RNT852013:RNU852013 RXP852013:RXQ852013 SHL852013:SHM852013 SRH852013:SRI852013 TBD852013:TBE852013 TKZ852013:TLA852013 TUV852013:TUW852013 UER852013:UES852013 UON852013:UOO852013 UYJ852013:UYK852013 VIF852013:VIG852013 VSB852013:VSC852013 WBX852013:WBY852013 WLT852013:WLU852013 WVP852013:WVQ852013 H917549:I917549 JD917549:JE917549 SZ917549:TA917549 ACV917549:ACW917549 AMR917549:AMS917549 AWN917549:AWO917549 BGJ917549:BGK917549 BQF917549:BQG917549 CAB917549:CAC917549 CJX917549:CJY917549 CTT917549:CTU917549 DDP917549:DDQ917549 DNL917549:DNM917549 DXH917549:DXI917549 EHD917549:EHE917549 EQZ917549:ERA917549 FAV917549:FAW917549 FKR917549:FKS917549 FUN917549:FUO917549 GEJ917549:GEK917549 GOF917549:GOG917549 GYB917549:GYC917549 HHX917549:HHY917549 HRT917549:HRU917549 IBP917549:IBQ917549 ILL917549:ILM917549 IVH917549:IVI917549 JFD917549:JFE917549 JOZ917549:JPA917549 JYV917549:JYW917549 KIR917549:KIS917549 KSN917549:KSO917549 LCJ917549:LCK917549 LMF917549:LMG917549 LWB917549:LWC917549 MFX917549:MFY917549 MPT917549:MPU917549 MZP917549:MZQ917549 NJL917549:NJM917549 NTH917549:NTI917549 ODD917549:ODE917549 OMZ917549:ONA917549 OWV917549:OWW917549 PGR917549:PGS917549 PQN917549:PQO917549 QAJ917549:QAK917549 QKF917549:QKG917549 QUB917549:QUC917549 RDX917549:RDY917549 RNT917549:RNU917549 RXP917549:RXQ917549 SHL917549:SHM917549 SRH917549:SRI917549 TBD917549:TBE917549 TKZ917549:TLA917549 TUV917549:TUW917549 UER917549:UES917549 UON917549:UOO917549 UYJ917549:UYK917549 VIF917549:VIG917549 VSB917549:VSC917549 WBX917549:WBY917549 WLT917549:WLU917549 WVP917549:WVQ917549 H983085:I983085 JD983085:JE983085 SZ983085:TA983085 ACV983085:ACW983085 AMR983085:AMS983085 AWN983085:AWO983085 BGJ983085:BGK983085 BQF983085:BQG983085 CAB983085:CAC983085 CJX983085:CJY983085 CTT983085:CTU983085 DDP983085:DDQ983085 DNL983085:DNM983085 DXH983085:DXI983085 EHD983085:EHE983085 EQZ983085:ERA983085 FAV983085:FAW983085 FKR983085:FKS983085 FUN983085:FUO983085 GEJ983085:GEK983085 GOF983085:GOG983085 GYB983085:GYC983085 HHX983085:HHY983085 HRT983085:HRU983085 IBP983085:IBQ983085 ILL983085:ILM983085 IVH983085:IVI983085 JFD983085:JFE983085 JOZ983085:JPA983085 JYV983085:JYW983085 KIR983085:KIS983085 KSN983085:KSO983085 LCJ983085:LCK983085 LMF983085:LMG983085 LWB983085:LWC983085 MFX983085:MFY983085 MPT983085:MPU983085 MZP983085:MZQ983085 NJL983085:NJM983085 NTH983085:NTI983085 ODD983085:ODE983085 OMZ983085:ONA983085 OWV983085:OWW983085 PGR983085:PGS983085 PQN983085:PQO983085 QAJ983085:QAK983085 QKF983085:QKG983085 QUB983085:QUC983085 RDX983085:RDY983085 RNT983085:RNU983085 RXP983085:RXQ983085 SHL983085:SHM983085 SRH983085:SRI983085 TBD983085:TBE983085 TKZ983085:TLA983085 TUV983085:TUW983085 UER983085:UES983085 UON983085:UOO983085 UYJ983085:UYK983085 VIF983085:VIG983085 VSB983085:VSC983085 WBX983085:WBY983085 WLT983085:WLU983085 WVP983085:WVQ983085 H59:I59 JD59:JE59 SZ59:TA59 ACV59:ACW59 AMR59:AMS59 AWN59:AWO59 BGJ59:BGK59 BQF59:BQG59 CAB59:CAC59 CJX59:CJY59 CTT59:CTU59 DDP59:DDQ59 DNL59:DNM59 DXH59:DXI59 EHD59:EHE59 EQZ59:ERA59 FAV59:FAW59 FKR59:FKS59 FUN59:FUO59 GEJ59:GEK59 GOF59:GOG59 GYB59:GYC59 HHX59:HHY59 HRT59:HRU59 IBP59:IBQ59 ILL59:ILM59 IVH59:IVI59 JFD59:JFE59 JOZ59:JPA59 JYV59:JYW59 KIR59:KIS59 KSN59:KSO59 LCJ59:LCK59 LMF59:LMG59 LWB59:LWC59 MFX59:MFY59 MPT59:MPU59 MZP59:MZQ59 NJL59:NJM59 NTH59:NTI59 ODD59:ODE59 OMZ59:ONA59 OWV59:OWW59 PGR59:PGS59 PQN59:PQO59 QAJ59:QAK59 QKF59:QKG59 QUB59:QUC59 RDX59:RDY59 RNT59:RNU59 RXP59:RXQ59 SHL59:SHM59 SRH59:SRI59 TBD59:TBE59 TKZ59:TLA59 TUV59:TUW59 UER59:UES59 UON59:UOO59 UYJ59:UYK59 VIF59:VIG59 VSB59:VSC59 WBX59:WBY59 WLT59:WLU59 WVP59:WVQ59 H65595:I65595 JD65595:JE65595 SZ65595:TA65595 ACV65595:ACW65595 AMR65595:AMS65595 AWN65595:AWO65595 BGJ65595:BGK65595 BQF65595:BQG65595 CAB65595:CAC65595 CJX65595:CJY65595 CTT65595:CTU65595 DDP65595:DDQ65595 DNL65595:DNM65595 DXH65595:DXI65595 EHD65595:EHE65595 EQZ65595:ERA65595 FAV65595:FAW65595 FKR65595:FKS65595 FUN65595:FUO65595 GEJ65595:GEK65595 GOF65595:GOG65595 GYB65595:GYC65595 HHX65595:HHY65595 HRT65595:HRU65595 IBP65595:IBQ65595 ILL65595:ILM65595 IVH65595:IVI65595 JFD65595:JFE65595 JOZ65595:JPA65595 JYV65595:JYW65595 KIR65595:KIS65595 KSN65595:KSO65595 LCJ65595:LCK65595 LMF65595:LMG65595 LWB65595:LWC65595 MFX65595:MFY65595 MPT65595:MPU65595 MZP65595:MZQ65595 NJL65595:NJM65595 NTH65595:NTI65595 ODD65595:ODE65595 OMZ65595:ONA65595 OWV65595:OWW65595 PGR65595:PGS65595 PQN65595:PQO65595 QAJ65595:QAK65595 QKF65595:QKG65595 QUB65595:QUC65595 RDX65595:RDY65595 RNT65595:RNU65595 RXP65595:RXQ65595 SHL65595:SHM65595 SRH65595:SRI65595 TBD65595:TBE65595 TKZ65595:TLA65595 TUV65595:TUW65595 UER65595:UES65595 UON65595:UOO65595 UYJ65595:UYK65595 VIF65595:VIG65595 VSB65595:VSC65595 WBX65595:WBY65595 WLT65595:WLU65595 WVP65595:WVQ65595 H131131:I131131 JD131131:JE131131 SZ131131:TA131131 ACV131131:ACW131131 AMR131131:AMS131131 AWN131131:AWO131131 BGJ131131:BGK131131 BQF131131:BQG131131 CAB131131:CAC131131 CJX131131:CJY131131 CTT131131:CTU131131 DDP131131:DDQ131131 DNL131131:DNM131131 DXH131131:DXI131131 EHD131131:EHE131131 EQZ131131:ERA131131 FAV131131:FAW131131 FKR131131:FKS131131 FUN131131:FUO131131 GEJ131131:GEK131131 GOF131131:GOG131131 GYB131131:GYC131131 HHX131131:HHY131131 HRT131131:HRU131131 IBP131131:IBQ131131 ILL131131:ILM131131 IVH131131:IVI131131 JFD131131:JFE131131 JOZ131131:JPA131131 JYV131131:JYW131131 KIR131131:KIS131131 KSN131131:KSO131131 LCJ131131:LCK131131 LMF131131:LMG131131 LWB131131:LWC131131 MFX131131:MFY131131 MPT131131:MPU131131 MZP131131:MZQ131131 NJL131131:NJM131131 NTH131131:NTI131131 ODD131131:ODE131131 OMZ131131:ONA131131 OWV131131:OWW131131 PGR131131:PGS131131 PQN131131:PQO131131 QAJ131131:QAK131131 QKF131131:QKG131131 QUB131131:QUC131131 RDX131131:RDY131131 RNT131131:RNU131131 RXP131131:RXQ131131 SHL131131:SHM131131 SRH131131:SRI131131 TBD131131:TBE131131 TKZ131131:TLA131131 TUV131131:TUW131131 UER131131:UES131131 UON131131:UOO131131 UYJ131131:UYK131131 VIF131131:VIG131131 VSB131131:VSC131131 WBX131131:WBY131131 WLT131131:WLU131131 WVP131131:WVQ131131 H196667:I196667 JD196667:JE196667 SZ196667:TA196667 ACV196667:ACW196667 AMR196667:AMS196667 AWN196667:AWO196667 BGJ196667:BGK196667 BQF196667:BQG196667 CAB196667:CAC196667 CJX196667:CJY196667 CTT196667:CTU196667 DDP196667:DDQ196667 DNL196667:DNM196667 DXH196667:DXI196667 EHD196667:EHE196667 EQZ196667:ERA196667 FAV196667:FAW196667 FKR196667:FKS196667 FUN196667:FUO196667 GEJ196667:GEK196667 GOF196667:GOG196667 GYB196667:GYC196667 HHX196667:HHY196667 HRT196667:HRU196667 IBP196667:IBQ196667 ILL196667:ILM196667 IVH196667:IVI196667 JFD196667:JFE196667 JOZ196667:JPA196667 JYV196667:JYW196667 KIR196667:KIS196667 KSN196667:KSO196667 LCJ196667:LCK196667 LMF196667:LMG196667 LWB196667:LWC196667 MFX196667:MFY196667 MPT196667:MPU196667 MZP196667:MZQ196667 NJL196667:NJM196667 NTH196667:NTI196667 ODD196667:ODE196667 OMZ196667:ONA196667 OWV196667:OWW196667 PGR196667:PGS196667 PQN196667:PQO196667 QAJ196667:QAK196667 QKF196667:QKG196667 QUB196667:QUC196667 RDX196667:RDY196667 RNT196667:RNU196667 RXP196667:RXQ196667 SHL196667:SHM196667 SRH196667:SRI196667 TBD196667:TBE196667 TKZ196667:TLA196667 TUV196667:TUW196667 UER196667:UES196667 UON196667:UOO196667 UYJ196667:UYK196667 VIF196667:VIG196667 VSB196667:VSC196667 WBX196667:WBY196667 WLT196667:WLU196667 WVP196667:WVQ196667 H262203:I262203 JD262203:JE262203 SZ262203:TA262203 ACV262203:ACW262203 AMR262203:AMS262203 AWN262203:AWO262203 BGJ262203:BGK262203 BQF262203:BQG262203 CAB262203:CAC262203 CJX262203:CJY262203 CTT262203:CTU262203 DDP262203:DDQ262203 DNL262203:DNM262203 DXH262203:DXI262203 EHD262203:EHE262203 EQZ262203:ERA262203 FAV262203:FAW262203 FKR262203:FKS262203 FUN262203:FUO262203 GEJ262203:GEK262203 GOF262203:GOG262203 GYB262203:GYC262203 HHX262203:HHY262203 HRT262203:HRU262203 IBP262203:IBQ262203 ILL262203:ILM262203 IVH262203:IVI262203 JFD262203:JFE262203 JOZ262203:JPA262203 JYV262203:JYW262203 KIR262203:KIS262203 KSN262203:KSO262203 LCJ262203:LCK262203 LMF262203:LMG262203 LWB262203:LWC262203 MFX262203:MFY262203 MPT262203:MPU262203 MZP262203:MZQ262203 NJL262203:NJM262203 NTH262203:NTI262203 ODD262203:ODE262203 OMZ262203:ONA262203 OWV262203:OWW262203 PGR262203:PGS262203 PQN262203:PQO262203 QAJ262203:QAK262203 QKF262203:QKG262203 QUB262203:QUC262203 RDX262203:RDY262203 RNT262203:RNU262203 RXP262203:RXQ262203 SHL262203:SHM262203 SRH262203:SRI262203 TBD262203:TBE262203 TKZ262203:TLA262203 TUV262203:TUW262203 UER262203:UES262203 UON262203:UOO262203 UYJ262203:UYK262203 VIF262203:VIG262203 VSB262203:VSC262203 WBX262203:WBY262203 WLT262203:WLU262203 WVP262203:WVQ262203 H327739:I327739 JD327739:JE327739 SZ327739:TA327739 ACV327739:ACW327739 AMR327739:AMS327739 AWN327739:AWO327739 BGJ327739:BGK327739 BQF327739:BQG327739 CAB327739:CAC327739 CJX327739:CJY327739 CTT327739:CTU327739 DDP327739:DDQ327739 DNL327739:DNM327739 DXH327739:DXI327739 EHD327739:EHE327739 EQZ327739:ERA327739 FAV327739:FAW327739 FKR327739:FKS327739 FUN327739:FUO327739 GEJ327739:GEK327739 GOF327739:GOG327739 GYB327739:GYC327739 HHX327739:HHY327739 HRT327739:HRU327739 IBP327739:IBQ327739 ILL327739:ILM327739 IVH327739:IVI327739 JFD327739:JFE327739 JOZ327739:JPA327739 JYV327739:JYW327739 KIR327739:KIS327739 KSN327739:KSO327739 LCJ327739:LCK327739 LMF327739:LMG327739 LWB327739:LWC327739 MFX327739:MFY327739 MPT327739:MPU327739 MZP327739:MZQ327739 NJL327739:NJM327739 NTH327739:NTI327739 ODD327739:ODE327739 OMZ327739:ONA327739 OWV327739:OWW327739 PGR327739:PGS327739 PQN327739:PQO327739 QAJ327739:QAK327739 QKF327739:QKG327739 QUB327739:QUC327739 RDX327739:RDY327739 RNT327739:RNU327739 RXP327739:RXQ327739 SHL327739:SHM327739 SRH327739:SRI327739 TBD327739:TBE327739 TKZ327739:TLA327739 TUV327739:TUW327739 UER327739:UES327739 UON327739:UOO327739 UYJ327739:UYK327739 VIF327739:VIG327739 VSB327739:VSC327739 WBX327739:WBY327739 WLT327739:WLU327739 WVP327739:WVQ327739 H393275:I393275 JD393275:JE393275 SZ393275:TA393275 ACV393275:ACW393275 AMR393275:AMS393275 AWN393275:AWO393275 BGJ393275:BGK393275 BQF393275:BQG393275 CAB393275:CAC393275 CJX393275:CJY393275 CTT393275:CTU393275 DDP393275:DDQ393275 DNL393275:DNM393275 DXH393275:DXI393275 EHD393275:EHE393275 EQZ393275:ERA393275 FAV393275:FAW393275 FKR393275:FKS393275 FUN393275:FUO393275 GEJ393275:GEK393275 GOF393275:GOG393275 GYB393275:GYC393275 HHX393275:HHY393275 HRT393275:HRU393275 IBP393275:IBQ393275 ILL393275:ILM393275 IVH393275:IVI393275 JFD393275:JFE393275 JOZ393275:JPA393275 JYV393275:JYW393275 KIR393275:KIS393275 KSN393275:KSO393275 LCJ393275:LCK393275 LMF393275:LMG393275 LWB393275:LWC393275 MFX393275:MFY393275 MPT393275:MPU393275 MZP393275:MZQ393275 NJL393275:NJM393275 NTH393275:NTI393275 ODD393275:ODE393275 OMZ393275:ONA393275 OWV393275:OWW393275 PGR393275:PGS393275 PQN393275:PQO393275 QAJ393275:QAK393275 QKF393275:QKG393275 QUB393275:QUC393275 RDX393275:RDY393275 RNT393275:RNU393275 RXP393275:RXQ393275 SHL393275:SHM393275 SRH393275:SRI393275 TBD393275:TBE393275 TKZ393275:TLA393275 TUV393275:TUW393275 UER393275:UES393275 UON393275:UOO393275 UYJ393275:UYK393275 VIF393275:VIG393275 VSB393275:VSC393275 WBX393275:WBY393275 WLT393275:WLU393275 WVP393275:WVQ393275 H458811:I458811 JD458811:JE458811 SZ458811:TA458811 ACV458811:ACW458811 AMR458811:AMS458811 AWN458811:AWO458811 BGJ458811:BGK458811 BQF458811:BQG458811 CAB458811:CAC458811 CJX458811:CJY458811 CTT458811:CTU458811 DDP458811:DDQ458811 DNL458811:DNM458811 DXH458811:DXI458811 EHD458811:EHE458811 EQZ458811:ERA458811 FAV458811:FAW458811 FKR458811:FKS458811 FUN458811:FUO458811 GEJ458811:GEK458811 GOF458811:GOG458811 GYB458811:GYC458811 HHX458811:HHY458811 HRT458811:HRU458811 IBP458811:IBQ458811 ILL458811:ILM458811 IVH458811:IVI458811 JFD458811:JFE458811 JOZ458811:JPA458811 JYV458811:JYW458811 KIR458811:KIS458811 KSN458811:KSO458811 LCJ458811:LCK458811 LMF458811:LMG458811 LWB458811:LWC458811 MFX458811:MFY458811 MPT458811:MPU458811 MZP458811:MZQ458811 NJL458811:NJM458811 NTH458811:NTI458811 ODD458811:ODE458811 OMZ458811:ONA458811 OWV458811:OWW458811 PGR458811:PGS458811 PQN458811:PQO458811 QAJ458811:QAK458811 QKF458811:QKG458811 QUB458811:QUC458811 RDX458811:RDY458811 RNT458811:RNU458811 RXP458811:RXQ458811 SHL458811:SHM458811 SRH458811:SRI458811 TBD458811:TBE458811 TKZ458811:TLA458811 TUV458811:TUW458811 UER458811:UES458811 UON458811:UOO458811 UYJ458811:UYK458811 VIF458811:VIG458811 VSB458811:VSC458811 WBX458811:WBY458811 WLT458811:WLU458811 WVP458811:WVQ458811 H524347:I524347 JD524347:JE524347 SZ524347:TA524347 ACV524347:ACW524347 AMR524347:AMS524347 AWN524347:AWO524347 BGJ524347:BGK524347 BQF524347:BQG524347 CAB524347:CAC524347 CJX524347:CJY524347 CTT524347:CTU524347 DDP524347:DDQ524347 DNL524347:DNM524347 DXH524347:DXI524347 EHD524347:EHE524347 EQZ524347:ERA524347 FAV524347:FAW524347 FKR524347:FKS524347 FUN524347:FUO524347 GEJ524347:GEK524347 GOF524347:GOG524347 GYB524347:GYC524347 HHX524347:HHY524347 HRT524347:HRU524347 IBP524347:IBQ524347 ILL524347:ILM524347 IVH524347:IVI524347 JFD524347:JFE524347 JOZ524347:JPA524347 JYV524347:JYW524347 KIR524347:KIS524347 KSN524347:KSO524347 LCJ524347:LCK524347 LMF524347:LMG524347 LWB524347:LWC524347 MFX524347:MFY524347 MPT524347:MPU524347 MZP524347:MZQ524347 NJL524347:NJM524347 NTH524347:NTI524347 ODD524347:ODE524347 OMZ524347:ONA524347 OWV524347:OWW524347 PGR524347:PGS524347 PQN524347:PQO524347 QAJ524347:QAK524347 QKF524347:QKG524347 QUB524347:QUC524347 RDX524347:RDY524347 RNT524347:RNU524347 RXP524347:RXQ524347 SHL524347:SHM524347 SRH524347:SRI524347 TBD524347:TBE524347 TKZ524347:TLA524347 TUV524347:TUW524347 UER524347:UES524347 UON524347:UOO524347 UYJ524347:UYK524347 VIF524347:VIG524347 VSB524347:VSC524347 WBX524347:WBY524347 WLT524347:WLU524347 WVP524347:WVQ524347 H589883:I589883 JD589883:JE589883 SZ589883:TA589883 ACV589883:ACW589883 AMR589883:AMS589883 AWN589883:AWO589883 BGJ589883:BGK589883 BQF589883:BQG589883 CAB589883:CAC589883 CJX589883:CJY589883 CTT589883:CTU589883 DDP589883:DDQ589883 DNL589883:DNM589883 DXH589883:DXI589883 EHD589883:EHE589883 EQZ589883:ERA589883 FAV589883:FAW589883 FKR589883:FKS589883 FUN589883:FUO589883 GEJ589883:GEK589883 GOF589883:GOG589883 GYB589883:GYC589883 HHX589883:HHY589883 HRT589883:HRU589883 IBP589883:IBQ589883 ILL589883:ILM589883 IVH589883:IVI589883 JFD589883:JFE589883 JOZ589883:JPA589883 JYV589883:JYW589883 KIR589883:KIS589883 KSN589883:KSO589883 LCJ589883:LCK589883 LMF589883:LMG589883 LWB589883:LWC589883 MFX589883:MFY589883 MPT589883:MPU589883 MZP589883:MZQ589883 NJL589883:NJM589883 NTH589883:NTI589883 ODD589883:ODE589883 OMZ589883:ONA589883 OWV589883:OWW589883 PGR589883:PGS589883 PQN589883:PQO589883 QAJ589883:QAK589883 QKF589883:QKG589883 QUB589883:QUC589883 RDX589883:RDY589883 RNT589883:RNU589883 RXP589883:RXQ589883 SHL589883:SHM589883 SRH589883:SRI589883 TBD589883:TBE589883 TKZ589883:TLA589883 TUV589883:TUW589883 UER589883:UES589883 UON589883:UOO589883 UYJ589883:UYK589883 VIF589883:VIG589883 VSB589883:VSC589883 WBX589883:WBY589883 WLT589883:WLU589883 WVP589883:WVQ589883 H655419:I655419 JD655419:JE655419 SZ655419:TA655419 ACV655419:ACW655419 AMR655419:AMS655419 AWN655419:AWO655419 BGJ655419:BGK655419 BQF655419:BQG655419 CAB655419:CAC655419 CJX655419:CJY655419 CTT655419:CTU655419 DDP655419:DDQ655419 DNL655419:DNM655419 DXH655419:DXI655419 EHD655419:EHE655419 EQZ655419:ERA655419 FAV655419:FAW655419 FKR655419:FKS655419 FUN655419:FUO655419 GEJ655419:GEK655419 GOF655419:GOG655419 GYB655419:GYC655419 HHX655419:HHY655419 HRT655419:HRU655419 IBP655419:IBQ655419 ILL655419:ILM655419 IVH655419:IVI655419 JFD655419:JFE655419 JOZ655419:JPA655419 JYV655419:JYW655419 KIR655419:KIS655419 KSN655419:KSO655419 LCJ655419:LCK655419 LMF655419:LMG655419 LWB655419:LWC655419 MFX655419:MFY655419 MPT655419:MPU655419 MZP655419:MZQ655419 NJL655419:NJM655419 NTH655419:NTI655419 ODD655419:ODE655419 OMZ655419:ONA655419 OWV655419:OWW655419 PGR655419:PGS655419 PQN655419:PQO655419 QAJ655419:QAK655419 QKF655419:QKG655419 QUB655419:QUC655419 RDX655419:RDY655419 RNT655419:RNU655419 RXP655419:RXQ655419 SHL655419:SHM655419 SRH655419:SRI655419 TBD655419:TBE655419 TKZ655419:TLA655419 TUV655419:TUW655419 UER655419:UES655419 UON655419:UOO655419 UYJ655419:UYK655419 VIF655419:VIG655419 VSB655419:VSC655419 WBX655419:WBY655419 WLT655419:WLU655419 WVP655419:WVQ655419 H720955:I720955 JD720955:JE720955 SZ720955:TA720955 ACV720955:ACW720955 AMR720955:AMS720955 AWN720955:AWO720955 BGJ720955:BGK720955 BQF720955:BQG720955 CAB720955:CAC720955 CJX720955:CJY720955 CTT720955:CTU720955 DDP720955:DDQ720955 DNL720955:DNM720955 DXH720955:DXI720955 EHD720955:EHE720955 EQZ720955:ERA720955 FAV720955:FAW720955 FKR720955:FKS720955 FUN720955:FUO720955 GEJ720955:GEK720955 GOF720955:GOG720955 GYB720955:GYC720955 HHX720955:HHY720955 HRT720955:HRU720955 IBP720955:IBQ720955 ILL720955:ILM720955 IVH720955:IVI720955 JFD720955:JFE720955 JOZ720955:JPA720955 JYV720955:JYW720955 KIR720955:KIS720955 KSN720955:KSO720955 LCJ720955:LCK720955 LMF720955:LMG720955 LWB720955:LWC720955 MFX720955:MFY720955 MPT720955:MPU720955 MZP720955:MZQ720955 NJL720955:NJM720955 NTH720955:NTI720955 ODD720955:ODE720955 OMZ720955:ONA720955 OWV720955:OWW720955 PGR720955:PGS720955 PQN720955:PQO720955 QAJ720955:QAK720955 QKF720955:QKG720955 QUB720955:QUC720955 RDX720955:RDY720955 RNT720955:RNU720955 RXP720955:RXQ720955 SHL720955:SHM720955 SRH720955:SRI720955 TBD720955:TBE720955 TKZ720955:TLA720955 TUV720955:TUW720955 UER720955:UES720955 UON720955:UOO720955 UYJ720955:UYK720955 VIF720955:VIG720955 VSB720955:VSC720955 WBX720955:WBY720955 WLT720955:WLU720955 WVP720955:WVQ720955 H786491:I786491 JD786491:JE786491 SZ786491:TA786491 ACV786491:ACW786491 AMR786491:AMS786491 AWN786491:AWO786491 BGJ786491:BGK786491 BQF786491:BQG786491 CAB786491:CAC786491 CJX786491:CJY786491 CTT786491:CTU786491 DDP786491:DDQ786491 DNL786491:DNM786491 DXH786491:DXI786491 EHD786491:EHE786491 EQZ786491:ERA786491 FAV786491:FAW786491 FKR786491:FKS786491 FUN786491:FUO786491 GEJ786491:GEK786491 GOF786491:GOG786491 GYB786491:GYC786491 HHX786491:HHY786491 HRT786491:HRU786491 IBP786491:IBQ786491 ILL786491:ILM786491 IVH786491:IVI786491 JFD786491:JFE786491 JOZ786491:JPA786491 JYV786491:JYW786491 KIR786491:KIS786491 KSN786491:KSO786491 LCJ786491:LCK786491 LMF786491:LMG786491 LWB786491:LWC786491 MFX786491:MFY786491 MPT786491:MPU786491 MZP786491:MZQ786491 NJL786491:NJM786491 NTH786491:NTI786491 ODD786491:ODE786491 OMZ786491:ONA786491 OWV786491:OWW786491 PGR786491:PGS786491 PQN786491:PQO786491 QAJ786491:QAK786491 QKF786491:QKG786491 QUB786491:QUC786491 RDX786491:RDY786491 RNT786491:RNU786491 RXP786491:RXQ786491 SHL786491:SHM786491 SRH786491:SRI786491 TBD786491:TBE786491 TKZ786491:TLA786491 TUV786491:TUW786491 UER786491:UES786491 UON786491:UOO786491 UYJ786491:UYK786491 VIF786491:VIG786491 VSB786491:VSC786491 WBX786491:WBY786491 WLT786491:WLU786491 WVP786491:WVQ786491 H852027:I852027 JD852027:JE852027 SZ852027:TA852027 ACV852027:ACW852027 AMR852027:AMS852027 AWN852027:AWO852027 BGJ852027:BGK852027 BQF852027:BQG852027 CAB852027:CAC852027 CJX852027:CJY852027 CTT852027:CTU852027 DDP852027:DDQ852027 DNL852027:DNM852027 DXH852027:DXI852027 EHD852027:EHE852027 EQZ852027:ERA852027 FAV852027:FAW852027 FKR852027:FKS852027 FUN852027:FUO852027 GEJ852027:GEK852027 GOF852027:GOG852027 GYB852027:GYC852027 HHX852027:HHY852027 HRT852027:HRU852027 IBP852027:IBQ852027 ILL852027:ILM852027 IVH852027:IVI852027 JFD852027:JFE852027 JOZ852027:JPA852027 JYV852027:JYW852027 KIR852027:KIS852027 KSN852027:KSO852027 LCJ852027:LCK852027 LMF852027:LMG852027 LWB852027:LWC852027 MFX852027:MFY852027 MPT852027:MPU852027 MZP852027:MZQ852027 NJL852027:NJM852027 NTH852027:NTI852027 ODD852027:ODE852027 OMZ852027:ONA852027 OWV852027:OWW852027 PGR852027:PGS852027 PQN852027:PQO852027 QAJ852027:QAK852027 QKF852027:QKG852027 QUB852027:QUC852027 RDX852027:RDY852027 RNT852027:RNU852027 RXP852027:RXQ852027 SHL852027:SHM852027 SRH852027:SRI852027 TBD852027:TBE852027 TKZ852027:TLA852027 TUV852027:TUW852027 UER852027:UES852027 UON852027:UOO852027 UYJ852027:UYK852027 VIF852027:VIG852027 VSB852027:VSC852027 WBX852027:WBY852027 WLT852027:WLU852027 WVP852027:WVQ852027 H917563:I917563 JD917563:JE917563 SZ917563:TA917563 ACV917563:ACW917563 AMR917563:AMS917563 AWN917563:AWO917563 BGJ917563:BGK917563 BQF917563:BQG917563 CAB917563:CAC917563 CJX917563:CJY917563 CTT917563:CTU917563 DDP917563:DDQ917563 DNL917563:DNM917563 DXH917563:DXI917563 EHD917563:EHE917563 EQZ917563:ERA917563 FAV917563:FAW917563 FKR917563:FKS917563 FUN917563:FUO917563 GEJ917563:GEK917563 GOF917563:GOG917563 GYB917563:GYC917563 HHX917563:HHY917563 HRT917563:HRU917563 IBP917563:IBQ917563 ILL917563:ILM917563 IVH917563:IVI917563 JFD917563:JFE917563 JOZ917563:JPA917563 JYV917563:JYW917563 KIR917563:KIS917563 KSN917563:KSO917563 LCJ917563:LCK917563 LMF917563:LMG917563 LWB917563:LWC917563 MFX917563:MFY917563 MPT917563:MPU917563 MZP917563:MZQ917563 NJL917563:NJM917563 NTH917563:NTI917563 ODD917563:ODE917563 OMZ917563:ONA917563 OWV917563:OWW917563 PGR917563:PGS917563 PQN917563:PQO917563 QAJ917563:QAK917563 QKF917563:QKG917563 QUB917563:QUC917563 RDX917563:RDY917563 RNT917563:RNU917563 RXP917563:RXQ917563 SHL917563:SHM917563 SRH917563:SRI917563 TBD917563:TBE917563 TKZ917563:TLA917563 TUV917563:TUW917563 UER917563:UES917563 UON917563:UOO917563 UYJ917563:UYK917563 VIF917563:VIG917563 VSB917563:VSC917563 WBX917563:WBY917563 WLT917563:WLU917563 WVP917563:WVQ917563 H983099:I983099 JD983099:JE983099 SZ983099:TA983099 ACV983099:ACW983099 AMR983099:AMS983099 AWN983099:AWO983099 BGJ983099:BGK983099 BQF983099:BQG983099 CAB983099:CAC983099 CJX983099:CJY983099 CTT983099:CTU983099 DDP983099:DDQ983099 DNL983099:DNM983099 DXH983099:DXI983099 EHD983099:EHE983099 EQZ983099:ERA983099 FAV983099:FAW983099 FKR983099:FKS983099 FUN983099:FUO983099 GEJ983099:GEK983099 GOF983099:GOG983099 GYB983099:GYC983099 HHX983099:HHY983099 HRT983099:HRU983099 IBP983099:IBQ983099 ILL983099:ILM983099 IVH983099:IVI983099 JFD983099:JFE983099 JOZ983099:JPA983099 JYV983099:JYW983099 KIR983099:KIS983099 KSN983099:KSO983099 LCJ983099:LCK983099 LMF983099:LMG983099 LWB983099:LWC983099 MFX983099:MFY983099 MPT983099:MPU983099 MZP983099:MZQ983099 NJL983099:NJM983099 NTH983099:NTI983099 ODD983099:ODE983099 OMZ983099:ONA983099 OWV983099:OWW983099 PGR983099:PGS983099 PQN983099:PQO983099 QAJ983099:QAK983099 QKF983099:QKG983099 QUB983099:QUC983099 RDX983099:RDY983099 RNT983099:RNU983099 RXP983099:RXQ983099 SHL983099:SHM983099 SRH983099:SRI983099 TBD983099:TBE983099 TKZ983099:TLA983099 TUV983099:TUW983099 UER983099:UES983099 UON983099:UOO983099 UYJ983099:UYK983099 VIF983099:VIG983099 VSB983099:VSC983099 WBX983099:WBY983099 WLT983099:WLU983099 WVP983099:WVQ983099">
      <formula1>$Q$71:$Q$74</formula1>
    </dataValidation>
  </dataValidations>
  <hyperlinks>
    <hyperlink ref="A1" location="'Table Of Contents'!A1" display="TOC"/>
  </hyperlinks>
  <pageMargins left="0.75" right="0.75" top="1" bottom="1" header="0.5" footer="0.5"/>
  <pageSetup scale="51" fitToHeight="0" orientation="portrait" r:id="rId1"/>
  <headerFooter alignWithMargins="0">
    <oddFooter>Page &amp;P of &amp;N</oddFooter>
  </headerFooter>
  <rowBreaks count="2" manualBreakCount="2">
    <brk id="26" min="1" max="9" man="1"/>
    <brk id="63" min="1" max="9" man="1"/>
  </rowBreaks>
  <colBreaks count="1" manualBreakCount="1">
    <brk id="10" max="1048575" man="1"/>
  </col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"Yes,No,NA"</xm:f>
          </x14:formula1>
          <xm:sqref>H26 JD26 SZ26 ACV26 AMR26 AWN26 BGJ26 BQF26 CAB26 CJX26 CTT26 DDP26 DNL26 DXH26 EHD26 EQZ26 FAV26 FKR26 FUN26 GEJ26 GOF26 GYB26 HHX26 HRT26 IBP26 ILL26 IVH26 JFD26 JOZ26 JYV26 KIR26 KSN26 LCJ26 LMF26 LWB26 MFX26 MPT26 MZP26 NJL26 NTH26 ODD26 OMZ26 OWV26 PGR26 PQN26 QAJ26 QKF26 QUB26 RDX26 RNT26 RXP26 SHL26 SRH26 TBD26 TKZ26 TUV26 UER26 UON26 UYJ26 VIF26 VSB26 WBX26 WLT26 WVP26 H65562 JD65562 SZ65562 ACV65562 AMR65562 AWN65562 BGJ65562 BQF65562 CAB65562 CJX65562 CTT65562 DDP65562 DNL65562 DXH65562 EHD65562 EQZ65562 FAV65562 FKR65562 FUN65562 GEJ65562 GOF65562 GYB65562 HHX65562 HRT65562 IBP65562 ILL65562 IVH65562 JFD65562 JOZ65562 JYV65562 KIR65562 KSN65562 LCJ65562 LMF65562 LWB65562 MFX65562 MPT65562 MZP65562 NJL65562 NTH65562 ODD65562 OMZ65562 OWV65562 PGR65562 PQN65562 QAJ65562 QKF65562 QUB65562 RDX65562 RNT65562 RXP65562 SHL65562 SRH65562 TBD65562 TKZ65562 TUV65562 UER65562 UON65562 UYJ65562 VIF65562 VSB65562 WBX65562 WLT65562 WVP65562 H131098 JD131098 SZ131098 ACV131098 AMR131098 AWN131098 BGJ131098 BQF131098 CAB131098 CJX131098 CTT131098 DDP131098 DNL131098 DXH131098 EHD131098 EQZ131098 FAV131098 FKR131098 FUN131098 GEJ131098 GOF131098 GYB131098 HHX131098 HRT131098 IBP131098 ILL131098 IVH131098 JFD131098 JOZ131098 JYV131098 KIR131098 KSN131098 LCJ131098 LMF131098 LWB131098 MFX131098 MPT131098 MZP131098 NJL131098 NTH131098 ODD131098 OMZ131098 OWV131098 PGR131098 PQN131098 QAJ131098 QKF131098 QUB131098 RDX131098 RNT131098 RXP131098 SHL131098 SRH131098 TBD131098 TKZ131098 TUV131098 UER131098 UON131098 UYJ131098 VIF131098 VSB131098 WBX131098 WLT131098 WVP131098 H196634 JD196634 SZ196634 ACV196634 AMR196634 AWN196634 BGJ196634 BQF196634 CAB196634 CJX196634 CTT196634 DDP196634 DNL196634 DXH196634 EHD196634 EQZ196634 FAV196634 FKR196634 FUN196634 GEJ196634 GOF196634 GYB196634 HHX196634 HRT196634 IBP196634 ILL196634 IVH196634 JFD196634 JOZ196634 JYV196634 KIR196634 KSN196634 LCJ196634 LMF196634 LWB196634 MFX196634 MPT196634 MZP196634 NJL196634 NTH196634 ODD196634 OMZ196634 OWV196634 PGR196634 PQN196634 QAJ196634 QKF196634 QUB196634 RDX196634 RNT196634 RXP196634 SHL196634 SRH196634 TBD196634 TKZ196634 TUV196634 UER196634 UON196634 UYJ196634 VIF196634 VSB196634 WBX196634 WLT196634 WVP196634 H262170 JD262170 SZ262170 ACV262170 AMR262170 AWN262170 BGJ262170 BQF262170 CAB262170 CJX262170 CTT262170 DDP262170 DNL262170 DXH262170 EHD262170 EQZ262170 FAV262170 FKR262170 FUN262170 GEJ262170 GOF262170 GYB262170 HHX262170 HRT262170 IBP262170 ILL262170 IVH262170 JFD262170 JOZ262170 JYV262170 KIR262170 KSN262170 LCJ262170 LMF262170 LWB262170 MFX262170 MPT262170 MZP262170 NJL262170 NTH262170 ODD262170 OMZ262170 OWV262170 PGR262170 PQN262170 QAJ262170 QKF262170 QUB262170 RDX262170 RNT262170 RXP262170 SHL262170 SRH262170 TBD262170 TKZ262170 TUV262170 UER262170 UON262170 UYJ262170 VIF262170 VSB262170 WBX262170 WLT262170 WVP262170 H327706 JD327706 SZ327706 ACV327706 AMR327706 AWN327706 BGJ327706 BQF327706 CAB327706 CJX327706 CTT327706 DDP327706 DNL327706 DXH327706 EHD327706 EQZ327706 FAV327706 FKR327706 FUN327706 GEJ327706 GOF327706 GYB327706 HHX327706 HRT327706 IBP327706 ILL327706 IVH327706 JFD327706 JOZ327706 JYV327706 KIR327706 KSN327706 LCJ327706 LMF327706 LWB327706 MFX327706 MPT327706 MZP327706 NJL327706 NTH327706 ODD327706 OMZ327706 OWV327706 PGR327706 PQN327706 QAJ327706 QKF327706 QUB327706 RDX327706 RNT327706 RXP327706 SHL327706 SRH327706 TBD327706 TKZ327706 TUV327706 UER327706 UON327706 UYJ327706 VIF327706 VSB327706 WBX327706 WLT327706 WVP327706 H393242 JD393242 SZ393242 ACV393242 AMR393242 AWN393242 BGJ393242 BQF393242 CAB393242 CJX393242 CTT393242 DDP393242 DNL393242 DXH393242 EHD393242 EQZ393242 FAV393242 FKR393242 FUN393242 GEJ393242 GOF393242 GYB393242 HHX393242 HRT393242 IBP393242 ILL393242 IVH393242 JFD393242 JOZ393242 JYV393242 KIR393242 KSN393242 LCJ393242 LMF393242 LWB393242 MFX393242 MPT393242 MZP393242 NJL393242 NTH393242 ODD393242 OMZ393242 OWV393242 PGR393242 PQN393242 QAJ393242 QKF393242 QUB393242 RDX393242 RNT393242 RXP393242 SHL393242 SRH393242 TBD393242 TKZ393242 TUV393242 UER393242 UON393242 UYJ393242 VIF393242 VSB393242 WBX393242 WLT393242 WVP393242 H458778 JD458778 SZ458778 ACV458778 AMR458778 AWN458778 BGJ458778 BQF458778 CAB458778 CJX458778 CTT458778 DDP458778 DNL458778 DXH458778 EHD458778 EQZ458778 FAV458778 FKR458778 FUN458778 GEJ458778 GOF458778 GYB458778 HHX458778 HRT458778 IBP458778 ILL458778 IVH458778 JFD458778 JOZ458778 JYV458778 KIR458778 KSN458778 LCJ458778 LMF458778 LWB458778 MFX458778 MPT458778 MZP458778 NJL458778 NTH458778 ODD458778 OMZ458778 OWV458778 PGR458778 PQN458778 QAJ458778 QKF458778 QUB458778 RDX458778 RNT458778 RXP458778 SHL458778 SRH458778 TBD458778 TKZ458778 TUV458778 UER458778 UON458778 UYJ458778 VIF458778 VSB458778 WBX458778 WLT458778 WVP458778 H524314 JD524314 SZ524314 ACV524314 AMR524314 AWN524314 BGJ524314 BQF524314 CAB524314 CJX524314 CTT524314 DDP524314 DNL524314 DXH524314 EHD524314 EQZ524314 FAV524314 FKR524314 FUN524314 GEJ524314 GOF524314 GYB524314 HHX524314 HRT524314 IBP524314 ILL524314 IVH524314 JFD524314 JOZ524314 JYV524314 KIR524314 KSN524314 LCJ524314 LMF524314 LWB524314 MFX524314 MPT524314 MZP524314 NJL524314 NTH524314 ODD524314 OMZ524314 OWV524314 PGR524314 PQN524314 QAJ524314 QKF524314 QUB524314 RDX524314 RNT524314 RXP524314 SHL524314 SRH524314 TBD524314 TKZ524314 TUV524314 UER524314 UON524314 UYJ524314 VIF524314 VSB524314 WBX524314 WLT524314 WVP524314 H589850 JD589850 SZ589850 ACV589850 AMR589850 AWN589850 BGJ589850 BQF589850 CAB589850 CJX589850 CTT589850 DDP589850 DNL589850 DXH589850 EHD589850 EQZ589850 FAV589850 FKR589850 FUN589850 GEJ589850 GOF589850 GYB589850 HHX589850 HRT589850 IBP589850 ILL589850 IVH589850 JFD589850 JOZ589850 JYV589850 KIR589850 KSN589850 LCJ589850 LMF589850 LWB589850 MFX589850 MPT589850 MZP589850 NJL589850 NTH589850 ODD589850 OMZ589850 OWV589850 PGR589850 PQN589850 QAJ589850 QKF589850 QUB589850 RDX589850 RNT589850 RXP589850 SHL589850 SRH589850 TBD589850 TKZ589850 TUV589850 UER589850 UON589850 UYJ589850 VIF589850 VSB589850 WBX589850 WLT589850 WVP589850 H655386 JD655386 SZ655386 ACV655386 AMR655386 AWN655386 BGJ655386 BQF655386 CAB655386 CJX655386 CTT655386 DDP655386 DNL655386 DXH655386 EHD655386 EQZ655386 FAV655386 FKR655386 FUN655386 GEJ655386 GOF655386 GYB655386 HHX655386 HRT655386 IBP655386 ILL655386 IVH655386 JFD655386 JOZ655386 JYV655386 KIR655386 KSN655386 LCJ655386 LMF655386 LWB655386 MFX655386 MPT655386 MZP655386 NJL655386 NTH655386 ODD655386 OMZ655386 OWV655386 PGR655386 PQN655386 QAJ655386 QKF655386 QUB655386 RDX655386 RNT655386 RXP655386 SHL655386 SRH655386 TBD655386 TKZ655386 TUV655386 UER655386 UON655386 UYJ655386 VIF655386 VSB655386 WBX655386 WLT655386 WVP655386 H720922 JD720922 SZ720922 ACV720922 AMR720922 AWN720922 BGJ720922 BQF720922 CAB720922 CJX720922 CTT720922 DDP720922 DNL720922 DXH720922 EHD720922 EQZ720922 FAV720922 FKR720922 FUN720922 GEJ720922 GOF720922 GYB720922 HHX720922 HRT720922 IBP720922 ILL720922 IVH720922 JFD720922 JOZ720922 JYV720922 KIR720922 KSN720922 LCJ720922 LMF720922 LWB720922 MFX720922 MPT720922 MZP720922 NJL720922 NTH720922 ODD720922 OMZ720922 OWV720922 PGR720922 PQN720922 QAJ720922 QKF720922 QUB720922 RDX720922 RNT720922 RXP720922 SHL720922 SRH720922 TBD720922 TKZ720922 TUV720922 UER720922 UON720922 UYJ720922 VIF720922 VSB720922 WBX720922 WLT720922 WVP720922 H786458 JD786458 SZ786458 ACV786458 AMR786458 AWN786458 BGJ786458 BQF786458 CAB786458 CJX786458 CTT786458 DDP786458 DNL786458 DXH786458 EHD786458 EQZ786458 FAV786458 FKR786458 FUN786458 GEJ786458 GOF786458 GYB786458 HHX786458 HRT786458 IBP786458 ILL786458 IVH786458 JFD786458 JOZ786458 JYV786458 KIR786458 KSN786458 LCJ786458 LMF786458 LWB786458 MFX786458 MPT786458 MZP786458 NJL786458 NTH786458 ODD786458 OMZ786458 OWV786458 PGR786458 PQN786458 QAJ786458 QKF786458 QUB786458 RDX786458 RNT786458 RXP786458 SHL786458 SRH786458 TBD786458 TKZ786458 TUV786458 UER786458 UON786458 UYJ786458 VIF786458 VSB786458 WBX786458 WLT786458 WVP786458 H851994 JD851994 SZ851994 ACV851994 AMR851994 AWN851994 BGJ851994 BQF851994 CAB851994 CJX851994 CTT851994 DDP851994 DNL851994 DXH851994 EHD851994 EQZ851994 FAV851994 FKR851994 FUN851994 GEJ851994 GOF851994 GYB851994 HHX851994 HRT851994 IBP851994 ILL851994 IVH851994 JFD851994 JOZ851994 JYV851994 KIR851994 KSN851994 LCJ851994 LMF851994 LWB851994 MFX851994 MPT851994 MZP851994 NJL851994 NTH851994 ODD851994 OMZ851994 OWV851994 PGR851994 PQN851994 QAJ851994 QKF851994 QUB851994 RDX851994 RNT851994 RXP851994 SHL851994 SRH851994 TBD851994 TKZ851994 TUV851994 UER851994 UON851994 UYJ851994 VIF851994 VSB851994 WBX851994 WLT851994 WVP851994 H917530 JD917530 SZ917530 ACV917530 AMR917530 AWN917530 BGJ917530 BQF917530 CAB917530 CJX917530 CTT917530 DDP917530 DNL917530 DXH917530 EHD917530 EQZ917530 FAV917530 FKR917530 FUN917530 GEJ917530 GOF917530 GYB917530 HHX917530 HRT917530 IBP917530 ILL917530 IVH917530 JFD917530 JOZ917530 JYV917530 KIR917530 KSN917530 LCJ917530 LMF917530 LWB917530 MFX917530 MPT917530 MZP917530 NJL917530 NTH917530 ODD917530 OMZ917530 OWV917530 PGR917530 PQN917530 QAJ917530 QKF917530 QUB917530 RDX917530 RNT917530 RXP917530 SHL917530 SRH917530 TBD917530 TKZ917530 TUV917530 UER917530 UON917530 UYJ917530 VIF917530 VSB917530 WBX917530 WLT917530 WVP917530 H983066 JD983066 SZ983066 ACV983066 AMR983066 AWN983066 BGJ983066 BQF983066 CAB983066 CJX983066 CTT983066 DDP983066 DNL983066 DXH983066 EHD983066 EQZ983066 FAV983066 FKR983066 FUN983066 GEJ983066 GOF983066 GYB983066 HHX983066 HRT983066 IBP983066 ILL983066 IVH983066 JFD983066 JOZ983066 JYV983066 KIR983066 KSN983066 LCJ983066 LMF983066 LWB983066 MFX983066 MPT983066 MZP983066 NJL983066 NTH983066 ODD983066 OMZ983066 OWV983066 PGR983066 PQN983066 QAJ983066 QKF983066 QUB983066 RDX983066 RNT983066 RXP983066 SHL983066 SRH983066 TBD983066 TKZ983066 TUV983066 UER983066 UON983066 UYJ983066 VIF983066 VSB983066 WBX983066 WLT983066 WVP983066 H28:I35 JD28:JE35 SZ28:TA35 ACV28:ACW35 AMR28:AMS35 AWN28:AWO35 BGJ28:BGK35 BQF28:BQG35 CAB28:CAC35 CJX28:CJY35 CTT28:CTU35 DDP28:DDQ35 DNL28:DNM35 DXH28:DXI35 EHD28:EHE35 EQZ28:ERA35 FAV28:FAW35 FKR28:FKS35 FUN28:FUO35 GEJ28:GEK35 GOF28:GOG35 GYB28:GYC35 HHX28:HHY35 HRT28:HRU35 IBP28:IBQ35 ILL28:ILM35 IVH28:IVI35 JFD28:JFE35 JOZ28:JPA35 JYV28:JYW35 KIR28:KIS35 KSN28:KSO35 LCJ28:LCK35 LMF28:LMG35 LWB28:LWC35 MFX28:MFY35 MPT28:MPU35 MZP28:MZQ35 NJL28:NJM35 NTH28:NTI35 ODD28:ODE35 OMZ28:ONA35 OWV28:OWW35 PGR28:PGS35 PQN28:PQO35 QAJ28:QAK35 QKF28:QKG35 QUB28:QUC35 RDX28:RDY35 RNT28:RNU35 RXP28:RXQ35 SHL28:SHM35 SRH28:SRI35 TBD28:TBE35 TKZ28:TLA35 TUV28:TUW35 UER28:UES35 UON28:UOO35 UYJ28:UYK35 VIF28:VIG35 VSB28:VSC35 WBX28:WBY35 WLT28:WLU35 WVP28:WVQ35 H65564:I65571 JD65564:JE65571 SZ65564:TA65571 ACV65564:ACW65571 AMR65564:AMS65571 AWN65564:AWO65571 BGJ65564:BGK65571 BQF65564:BQG65571 CAB65564:CAC65571 CJX65564:CJY65571 CTT65564:CTU65571 DDP65564:DDQ65571 DNL65564:DNM65571 DXH65564:DXI65571 EHD65564:EHE65571 EQZ65564:ERA65571 FAV65564:FAW65571 FKR65564:FKS65571 FUN65564:FUO65571 GEJ65564:GEK65571 GOF65564:GOG65571 GYB65564:GYC65571 HHX65564:HHY65571 HRT65564:HRU65571 IBP65564:IBQ65571 ILL65564:ILM65571 IVH65564:IVI65571 JFD65564:JFE65571 JOZ65564:JPA65571 JYV65564:JYW65571 KIR65564:KIS65571 KSN65564:KSO65571 LCJ65564:LCK65571 LMF65564:LMG65571 LWB65564:LWC65571 MFX65564:MFY65571 MPT65564:MPU65571 MZP65564:MZQ65571 NJL65564:NJM65571 NTH65564:NTI65571 ODD65564:ODE65571 OMZ65564:ONA65571 OWV65564:OWW65571 PGR65564:PGS65571 PQN65564:PQO65571 QAJ65564:QAK65571 QKF65564:QKG65571 QUB65564:QUC65571 RDX65564:RDY65571 RNT65564:RNU65571 RXP65564:RXQ65571 SHL65564:SHM65571 SRH65564:SRI65571 TBD65564:TBE65571 TKZ65564:TLA65571 TUV65564:TUW65571 UER65564:UES65571 UON65564:UOO65571 UYJ65564:UYK65571 VIF65564:VIG65571 VSB65564:VSC65571 WBX65564:WBY65571 WLT65564:WLU65571 WVP65564:WVQ65571 H131100:I131107 JD131100:JE131107 SZ131100:TA131107 ACV131100:ACW131107 AMR131100:AMS131107 AWN131100:AWO131107 BGJ131100:BGK131107 BQF131100:BQG131107 CAB131100:CAC131107 CJX131100:CJY131107 CTT131100:CTU131107 DDP131100:DDQ131107 DNL131100:DNM131107 DXH131100:DXI131107 EHD131100:EHE131107 EQZ131100:ERA131107 FAV131100:FAW131107 FKR131100:FKS131107 FUN131100:FUO131107 GEJ131100:GEK131107 GOF131100:GOG131107 GYB131100:GYC131107 HHX131100:HHY131107 HRT131100:HRU131107 IBP131100:IBQ131107 ILL131100:ILM131107 IVH131100:IVI131107 JFD131100:JFE131107 JOZ131100:JPA131107 JYV131100:JYW131107 KIR131100:KIS131107 KSN131100:KSO131107 LCJ131100:LCK131107 LMF131100:LMG131107 LWB131100:LWC131107 MFX131100:MFY131107 MPT131100:MPU131107 MZP131100:MZQ131107 NJL131100:NJM131107 NTH131100:NTI131107 ODD131100:ODE131107 OMZ131100:ONA131107 OWV131100:OWW131107 PGR131100:PGS131107 PQN131100:PQO131107 QAJ131100:QAK131107 QKF131100:QKG131107 QUB131100:QUC131107 RDX131100:RDY131107 RNT131100:RNU131107 RXP131100:RXQ131107 SHL131100:SHM131107 SRH131100:SRI131107 TBD131100:TBE131107 TKZ131100:TLA131107 TUV131100:TUW131107 UER131100:UES131107 UON131100:UOO131107 UYJ131100:UYK131107 VIF131100:VIG131107 VSB131100:VSC131107 WBX131100:WBY131107 WLT131100:WLU131107 WVP131100:WVQ131107 H196636:I196643 JD196636:JE196643 SZ196636:TA196643 ACV196636:ACW196643 AMR196636:AMS196643 AWN196636:AWO196643 BGJ196636:BGK196643 BQF196636:BQG196643 CAB196636:CAC196643 CJX196636:CJY196643 CTT196636:CTU196643 DDP196636:DDQ196643 DNL196636:DNM196643 DXH196636:DXI196643 EHD196636:EHE196643 EQZ196636:ERA196643 FAV196636:FAW196643 FKR196636:FKS196643 FUN196636:FUO196643 GEJ196636:GEK196643 GOF196636:GOG196643 GYB196636:GYC196643 HHX196636:HHY196643 HRT196636:HRU196643 IBP196636:IBQ196643 ILL196636:ILM196643 IVH196636:IVI196643 JFD196636:JFE196643 JOZ196636:JPA196643 JYV196636:JYW196643 KIR196636:KIS196643 KSN196636:KSO196643 LCJ196636:LCK196643 LMF196636:LMG196643 LWB196636:LWC196643 MFX196636:MFY196643 MPT196636:MPU196643 MZP196636:MZQ196643 NJL196636:NJM196643 NTH196636:NTI196643 ODD196636:ODE196643 OMZ196636:ONA196643 OWV196636:OWW196643 PGR196636:PGS196643 PQN196636:PQO196643 QAJ196636:QAK196643 QKF196636:QKG196643 QUB196636:QUC196643 RDX196636:RDY196643 RNT196636:RNU196643 RXP196636:RXQ196643 SHL196636:SHM196643 SRH196636:SRI196643 TBD196636:TBE196643 TKZ196636:TLA196643 TUV196636:TUW196643 UER196636:UES196643 UON196636:UOO196643 UYJ196636:UYK196643 VIF196636:VIG196643 VSB196636:VSC196643 WBX196636:WBY196643 WLT196636:WLU196643 WVP196636:WVQ196643 H262172:I262179 JD262172:JE262179 SZ262172:TA262179 ACV262172:ACW262179 AMR262172:AMS262179 AWN262172:AWO262179 BGJ262172:BGK262179 BQF262172:BQG262179 CAB262172:CAC262179 CJX262172:CJY262179 CTT262172:CTU262179 DDP262172:DDQ262179 DNL262172:DNM262179 DXH262172:DXI262179 EHD262172:EHE262179 EQZ262172:ERA262179 FAV262172:FAW262179 FKR262172:FKS262179 FUN262172:FUO262179 GEJ262172:GEK262179 GOF262172:GOG262179 GYB262172:GYC262179 HHX262172:HHY262179 HRT262172:HRU262179 IBP262172:IBQ262179 ILL262172:ILM262179 IVH262172:IVI262179 JFD262172:JFE262179 JOZ262172:JPA262179 JYV262172:JYW262179 KIR262172:KIS262179 KSN262172:KSO262179 LCJ262172:LCK262179 LMF262172:LMG262179 LWB262172:LWC262179 MFX262172:MFY262179 MPT262172:MPU262179 MZP262172:MZQ262179 NJL262172:NJM262179 NTH262172:NTI262179 ODD262172:ODE262179 OMZ262172:ONA262179 OWV262172:OWW262179 PGR262172:PGS262179 PQN262172:PQO262179 QAJ262172:QAK262179 QKF262172:QKG262179 QUB262172:QUC262179 RDX262172:RDY262179 RNT262172:RNU262179 RXP262172:RXQ262179 SHL262172:SHM262179 SRH262172:SRI262179 TBD262172:TBE262179 TKZ262172:TLA262179 TUV262172:TUW262179 UER262172:UES262179 UON262172:UOO262179 UYJ262172:UYK262179 VIF262172:VIG262179 VSB262172:VSC262179 WBX262172:WBY262179 WLT262172:WLU262179 WVP262172:WVQ262179 H327708:I327715 JD327708:JE327715 SZ327708:TA327715 ACV327708:ACW327715 AMR327708:AMS327715 AWN327708:AWO327715 BGJ327708:BGK327715 BQF327708:BQG327715 CAB327708:CAC327715 CJX327708:CJY327715 CTT327708:CTU327715 DDP327708:DDQ327715 DNL327708:DNM327715 DXH327708:DXI327715 EHD327708:EHE327715 EQZ327708:ERA327715 FAV327708:FAW327715 FKR327708:FKS327715 FUN327708:FUO327715 GEJ327708:GEK327715 GOF327708:GOG327715 GYB327708:GYC327715 HHX327708:HHY327715 HRT327708:HRU327715 IBP327708:IBQ327715 ILL327708:ILM327715 IVH327708:IVI327715 JFD327708:JFE327715 JOZ327708:JPA327715 JYV327708:JYW327715 KIR327708:KIS327715 KSN327708:KSO327715 LCJ327708:LCK327715 LMF327708:LMG327715 LWB327708:LWC327715 MFX327708:MFY327715 MPT327708:MPU327715 MZP327708:MZQ327715 NJL327708:NJM327715 NTH327708:NTI327715 ODD327708:ODE327715 OMZ327708:ONA327715 OWV327708:OWW327715 PGR327708:PGS327715 PQN327708:PQO327715 QAJ327708:QAK327715 QKF327708:QKG327715 QUB327708:QUC327715 RDX327708:RDY327715 RNT327708:RNU327715 RXP327708:RXQ327715 SHL327708:SHM327715 SRH327708:SRI327715 TBD327708:TBE327715 TKZ327708:TLA327715 TUV327708:TUW327715 UER327708:UES327715 UON327708:UOO327715 UYJ327708:UYK327715 VIF327708:VIG327715 VSB327708:VSC327715 WBX327708:WBY327715 WLT327708:WLU327715 WVP327708:WVQ327715 H393244:I393251 JD393244:JE393251 SZ393244:TA393251 ACV393244:ACW393251 AMR393244:AMS393251 AWN393244:AWO393251 BGJ393244:BGK393251 BQF393244:BQG393251 CAB393244:CAC393251 CJX393244:CJY393251 CTT393244:CTU393251 DDP393244:DDQ393251 DNL393244:DNM393251 DXH393244:DXI393251 EHD393244:EHE393251 EQZ393244:ERA393251 FAV393244:FAW393251 FKR393244:FKS393251 FUN393244:FUO393251 GEJ393244:GEK393251 GOF393244:GOG393251 GYB393244:GYC393251 HHX393244:HHY393251 HRT393244:HRU393251 IBP393244:IBQ393251 ILL393244:ILM393251 IVH393244:IVI393251 JFD393244:JFE393251 JOZ393244:JPA393251 JYV393244:JYW393251 KIR393244:KIS393251 KSN393244:KSO393251 LCJ393244:LCK393251 LMF393244:LMG393251 LWB393244:LWC393251 MFX393244:MFY393251 MPT393244:MPU393251 MZP393244:MZQ393251 NJL393244:NJM393251 NTH393244:NTI393251 ODD393244:ODE393251 OMZ393244:ONA393251 OWV393244:OWW393251 PGR393244:PGS393251 PQN393244:PQO393251 QAJ393244:QAK393251 QKF393244:QKG393251 QUB393244:QUC393251 RDX393244:RDY393251 RNT393244:RNU393251 RXP393244:RXQ393251 SHL393244:SHM393251 SRH393244:SRI393251 TBD393244:TBE393251 TKZ393244:TLA393251 TUV393244:TUW393251 UER393244:UES393251 UON393244:UOO393251 UYJ393244:UYK393251 VIF393244:VIG393251 VSB393244:VSC393251 WBX393244:WBY393251 WLT393244:WLU393251 WVP393244:WVQ393251 H458780:I458787 JD458780:JE458787 SZ458780:TA458787 ACV458780:ACW458787 AMR458780:AMS458787 AWN458780:AWO458787 BGJ458780:BGK458787 BQF458780:BQG458787 CAB458780:CAC458787 CJX458780:CJY458787 CTT458780:CTU458787 DDP458780:DDQ458787 DNL458780:DNM458787 DXH458780:DXI458787 EHD458780:EHE458787 EQZ458780:ERA458787 FAV458780:FAW458787 FKR458780:FKS458787 FUN458780:FUO458787 GEJ458780:GEK458787 GOF458780:GOG458787 GYB458780:GYC458787 HHX458780:HHY458787 HRT458780:HRU458787 IBP458780:IBQ458787 ILL458780:ILM458787 IVH458780:IVI458787 JFD458780:JFE458787 JOZ458780:JPA458787 JYV458780:JYW458787 KIR458780:KIS458787 KSN458780:KSO458787 LCJ458780:LCK458787 LMF458780:LMG458787 LWB458780:LWC458787 MFX458780:MFY458787 MPT458780:MPU458787 MZP458780:MZQ458787 NJL458780:NJM458787 NTH458780:NTI458787 ODD458780:ODE458787 OMZ458780:ONA458787 OWV458780:OWW458787 PGR458780:PGS458787 PQN458780:PQO458787 QAJ458780:QAK458787 QKF458780:QKG458787 QUB458780:QUC458787 RDX458780:RDY458787 RNT458780:RNU458787 RXP458780:RXQ458787 SHL458780:SHM458787 SRH458780:SRI458787 TBD458780:TBE458787 TKZ458780:TLA458787 TUV458780:TUW458787 UER458780:UES458787 UON458780:UOO458787 UYJ458780:UYK458787 VIF458780:VIG458787 VSB458780:VSC458787 WBX458780:WBY458787 WLT458780:WLU458787 WVP458780:WVQ458787 H524316:I524323 JD524316:JE524323 SZ524316:TA524323 ACV524316:ACW524323 AMR524316:AMS524323 AWN524316:AWO524323 BGJ524316:BGK524323 BQF524316:BQG524323 CAB524316:CAC524323 CJX524316:CJY524323 CTT524316:CTU524323 DDP524316:DDQ524323 DNL524316:DNM524323 DXH524316:DXI524323 EHD524316:EHE524323 EQZ524316:ERA524323 FAV524316:FAW524323 FKR524316:FKS524323 FUN524316:FUO524323 GEJ524316:GEK524323 GOF524316:GOG524323 GYB524316:GYC524323 HHX524316:HHY524323 HRT524316:HRU524323 IBP524316:IBQ524323 ILL524316:ILM524323 IVH524316:IVI524323 JFD524316:JFE524323 JOZ524316:JPA524323 JYV524316:JYW524323 KIR524316:KIS524323 KSN524316:KSO524323 LCJ524316:LCK524323 LMF524316:LMG524323 LWB524316:LWC524323 MFX524316:MFY524323 MPT524316:MPU524323 MZP524316:MZQ524323 NJL524316:NJM524323 NTH524316:NTI524323 ODD524316:ODE524323 OMZ524316:ONA524323 OWV524316:OWW524323 PGR524316:PGS524323 PQN524316:PQO524323 QAJ524316:QAK524323 QKF524316:QKG524323 QUB524316:QUC524323 RDX524316:RDY524323 RNT524316:RNU524323 RXP524316:RXQ524323 SHL524316:SHM524323 SRH524316:SRI524323 TBD524316:TBE524323 TKZ524316:TLA524323 TUV524316:TUW524323 UER524316:UES524323 UON524316:UOO524323 UYJ524316:UYK524323 VIF524316:VIG524323 VSB524316:VSC524323 WBX524316:WBY524323 WLT524316:WLU524323 WVP524316:WVQ524323 H589852:I589859 JD589852:JE589859 SZ589852:TA589859 ACV589852:ACW589859 AMR589852:AMS589859 AWN589852:AWO589859 BGJ589852:BGK589859 BQF589852:BQG589859 CAB589852:CAC589859 CJX589852:CJY589859 CTT589852:CTU589859 DDP589852:DDQ589859 DNL589852:DNM589859 DXH589852:DXI589859 EHD589852:EHE589859 EQZ589852:ERA589859 FAV589852:FAW589859 FKR589852:FKS589859 FUN589852:FUO589859 GEJ589852:GEK589859 GOF589852:GOG589859 GYB589852:GYC589859 HHX589852:HHY589859 HRT589852:HRU589859 IBP589852:IBQ589859 ILL589852:ILM589859 IVH589852:IVI589859 JFD589852:JFE589859 JOZ589852:JPA589859 JYV589852:JYW589859 KIR589852:KIS589859 KSN589852:KSO589859 LCJ589852:LCK589859 LMF589852:LMG589859 LWB589852:LWC589859 MFX589852:MFY589859 MPT589852:MPU589859 MZP589852:MZQ589859 NJL589852:NJM589859 NTH589852:NTI589859 ODD589852:ODE589859 OMZ589852:ONA589859 OWV589852:OWW589859 PGR589852:PGS589859 PQN589852:PQO589859 QAJ589852:QAK589859 QKF589852:QKG589859 QUB589852:QUC589859 RDX589852:RDY589859 RNT589852:RNU589859 RXP589852:RXQ589859 SHL589852:SHM589859 SRH589852:SRI589859 TBD589852:TBE589859 TKZ589852:TLA589859 TUV589852:TUW589859 UER589852:UES589859 UON589852:UOO589859 UYJ589852:UYK589859 VIF589852:VIG589859 VSB589852:VSC589859 WBX589852:WBY589859 WLT589852:WLU589859 WVP589852:WVQ589859 H655388:I655395 JD655388:JE655395 SZ655388:TA655395 ACV655388:ACW655395 AMR655388:AMS655395 AWN655388:AWO655395 BGJ655388:BGK655395 BQF655388:BQG655395 CAB655388:CAC655395 CJX655388:CJY655395 CTT655388:CTU655395 DDP655388:DDQ655395 DNL655388:DNM655395 DXH655388:DXI655395 EHD655388:EHE655395 EQZ655388:ERA655395 FAV655388:FAW655395 FKR655388:FKS655395 FUN655388:FUO655395 GEJ655388:GEK655395 GOF655388:GOG655395 GYB655388:GYC655395 HHX655388:HHY655395 HRT655388:HRU655395 IBP655388:IBQ655395 ILL655388:ILM655395 IVH655388:IVI655395 JFD655388:JFE655395 JOZ655388:JPA655395 JYV655388:JYW655395 KIR655388:KIS655395 KSN655388:KSO655395 LCJ655388:LCK655395 LMF655388:LMG655395 LWB655388:LWC655395 MFX655388:MFY655395 MPT655388:MPU655395 MZP655388:MZQ655395 NJL655388:NJM655395 NTH655388:NTI655395 ODD655388:ODE655395 OMZ655388:ONA655395 OWV655388:OWW655395 PGR655388:PGS655395 PQN655388:PQO655395 QAJ655388:QAK655395 QKF655388:QKG655395 QUB655388:QUC655395 RDX655388:RDY655395 RNT655388:RNU655395 RXP655388:RXQ655395 SHL655388:SHM655395 SRH655388:SRI655395 TBD655388:TBE655395 TKZ655388:TLA655395 TUV655388:TUW655395 UER655388:UES655395 UON655388:UOO655395 UYJ655388:UYK655395 VIF655388:VIG655395 VSB655388:VSC655395 WBX655388:WBY655395 WLT655388:WLU655395 WVP655388:WVQ655395 H720924:I720931 JD720924:JE720931 SZ720924:TA720931 ACV720924:ACW720931 AMR720924:AMS720931 AWN720924:AWO720931 BGJ720924:BGK720931 BQF720924:BQG720931 CAB720924:CAC720931 CJX720924:CJY720931 CTT720924:CTU720931 DDP720924:DDQ720931 DNL720924:DNM720931 DXH720924:DXI720931 EHD720924:EHE720931 EQZ720924:ERA720931 FAV720924:FAW720931 FKR720924:FKS720931 FUN720924:FUO720931 GEJ720924:GEK720931 GOF720924:GOG720931 GYB720924:GYC720931 HHX720924:HHY720931 HRT720924:HRU720931 IBP720924:IBQ720931 ILL720924:ILM720931 IVH720924:IVI720931 JFD720924:JFE720931 JOZ720924:JPA720931 JYV720924:JYW720931 KIR720924:KIS720931 KSN720924:KSO720931 LCJ720924:LCK720931 LMF720924:LMG720931 LWB720924:LWC720931 MFX720924:MFY720931 MPT720924:MPU720931 MZP720924:MZQ720931 NJL720924:NJM720931 NTH720924:NTI720931 ODD720924:ODE720931 OMZ720924:ONA720931 OWV720924:OWW720931 PGR720924:PGS720931 PQN720924:PQO720931 QAJ720924:QAK720931 QKF720924:QKG720931 QUB720924:QUC720931 RDX720924:RDY720931 RNT720924:RNU720931 RXP720924:RXQ720931 SHL720924:SHM720931 SRH720924:SRI720931 TBD720924:TBE720931 TKZ720924:TLA720931 TUV720924:TUW720931 UER720924:UES720931 UON720924:UOO720931 UYJ720924:UYK720931 VIF720924:VIG720931 VSB720924:VSC720931 WBX720924:WBY720931 WLT720924:WLU720931 WVP720924:WVQ720931 H786460:I786467 JD786460:JE786467 SZ786460:TA786467 ACV786460:ACW786467 AMR786460:AMS786467 AWN786460:AWO786467 BGJ786460:BGK786467 BQF786460:BQG786467 CAB786460:CAC786467 CJX786460:CJY786467 CTT786460:CTU786467 DDP786460:DDQ786467 DNL786460:DNM786467 DXH786460:DXI786467 EHD786460:EHE786467 EQZ786460:ERA786467 FAV786460:FAW786467 FKR786460:FKS786467 FUN786460:FUO786467 GEJ786460:GEK786467 GOF786460:GOG786467 GYB786460:GYC786467 HHX786460:HHY786467 HRT786460:HRU786467 IBP786460:IBQ786467 ILL786460:ILM786467 IVH786460:IVI786467 JFD786460:JFE786467 JOZ786460:JPA786467 JYV786460:JYW786467 KIR786460:KIS786467 KSN786460:KSO786467 LCJ786460:LCK786467 LMF786460:LMG786467 LWB786460:LWC786467 MFX786460:MFY786467 MPT786460:MPU786467 MZP786460:MZQ786467 NJL786460:NJM786467 NTH786460:NTI786467 ODD786460:ODE786467 OMZ786460:ONA786467 OWV786460:OWW786467 PGR786460:PGS786467 PQN786460:PQO786467 QAJ786460:QAK786467 QKF786460:QKG786467 QUB786460:QUC786467 RDX786460:RDY786467 RNT786460:RNU786467 RXP786460:RXQ786467 SHL786460:SHM786467 SRH786460:SRI786467 TBD786460:TBE786467 TKZ786460:TLA786467 TUV786460:TUW786467 UER786460:UES786467 UON786460:UOO786467 UYJ786460:UYK786467 VIF786460:VIG786467 VSB786460:VSC786467 WBX786460:WBY786467 WLT786460:WLU786467 WVP786460:WVQ786467 H851996:I852003 JD851996:JE852003 SZ851996:TA852003 ACV851996:ACW852003 AMR851996:AMS852003 AWN851996:AWO852003 BGJ851996:BGK852003 BQF851996:BQG852003 CAB851996:CAC852003 CJX851996:CJY852003 CTT851996:CTU852003 DDP851996:DDQ852003 DNL851996:DNM852003 DXH851996:DXI852003 EHD851996:EHE852003 EQZ851996:ERA852003 FAV851996:FAW852003 FKR851996:FKS852003 FUN851996:FUO852003 GEJ851996:GEK852003 GOF851996:GOG852003 GYB851996:GYC852003 HHX851996:HHY852003 HRT851996:HRU852003 IBP851996:IBQ852003 ILL851996:ILM852003 IVH851996:IVI852003 JFD851996:JFE852003 JOZ851996:JPA852003 JYV851996:JYW852003 KIR851996:KIS852003 KSN851996:KSO852003 LCJ851996:LCK852003 LMF851996:LMG852003 LWB851996:LWC852003 MFX851996:MFY852003 MPT851996:MPU852003 MZP851996:MZQ852003 NJL851996:NJM852003 NTH851996:NTI852003 ODD851996:ODE852003 OMZ851996:ONA852003 OWV851996:OWW852003 PGR851996:PGS852003 PQN851996:PQO852003 QAJ851996:QAK852003 QKF851996:QKG852003 QUB851996:QUC852003 RDX851996:RDY852003 RNT851996:RNU852003 RXP851996:RXQ852003 SHL851996:SHM852003 SRH851996:SRI852003 TBD851996:TBE852003 TKZ851996:TLA852003 TUV851996:TUW852003 UER851996:UES852003 UON851996:UOO852003 UYJ851996:UYK852003 VIF851996:VIG852003 VSB851996:VSC852003 WBX851996:WBY852003 WLT851996:WLU852003 WVP851996:WVQ852003 H917532:I917539 JD917532:JE917539 SZ917532:TA917539 ACV917532:ACW917539 AMR917532:AMS917539 AWN917532:AWO917539 BGJ917532:BGK917539 BQF917532:BQG917539 CAB917532:CAC917539 CJX917532:CJY917539 CTT917532:CTU917539 DDP917532:DDQ917539 DNL917532:DNM917539 DXH917532:DXI917539 EHD917532:EHE917539 EQZ917532:ERA917539 FAV917532:FAW917539 FKR917532:FKS917539 FUN917532:FUO917539 GEJ917532:GEK917539 GOF917532:GOG917539 GYB917532:GYC917539 HHX917532:HHY917539 HRT917532:HRU917539 IBP917532:IBQ917539 ILL917532:ILM917539 IVH917532:IVI917539 JFD917532:JFE917539 JOZ917532:JPA917539 JYV917532:JYW917539 KIR917532:KIS917539 KSN917532:KSO917539 LCJ917532:LCK917539 LMF917532:LMG917539 LWB917532:LWC917539 MFX917532:MFY917539 MPT917532:MPU917539 MZP917532:MZQ917539 NJL917532:NJM917539 NTH917532:NTI917539 ODD917532:ODE917539 OMZ917532:ONA917539 OWV917532:OWW917539 PGR917532:PGS917539 PQN917532:PQO917539 QAJ917532:QAK917539 QKF917532:QKG917539 QUB917532:QUC917539 RDX917532:RDY917539 RNT917532:RNU917539 RXP917532:RXQ917539 SHL917532:SHM917539 SRH917532:SRI917539 TBD917532:TBE917539 TKZ917532:TLA917539 TUV917532:TUW917539 UER917532:UES917539 UON917532:UOO917539 UYJ917532:UYK917539 VIF917532:VIG917539 VSB917532:VSC917539 WBX917532:WBY917539 WLT917532:WLU917539 WVP917532:WVQ917539 H983068:I983075 JD983068:JE983075 SZ983068:TA983075 ACV983068:ACW983075 AMR983068:AMS983075 AWN983068:AWO983075 BGJ983068:BGK983075 BQF983068:BQG983075 CAB983068:CAC983075 CJX983068:CJY983075 CTT983068:CTU983075 DDP983068:DDQ983075 DNL983068:DNM983075 DXH983068:DXI983075 EHD983068:EHE983075 EQZ983068:ERA983075 FAV983068:FAW983075 FKR983068:FKS983075 FUN983068:FUO983075 GEJ983068:GEK983075 GOF983068:GOG983075 GYB983068:GYC983075 HHX983068:HHY983075 HRT983068:HRU983075 IBP983068:IBQ983075 ILL983068:ILM983075 IVH983068:IVI983075 JFD983068:JFE983075 JOZ983068:JPA983075 JYV983068:JYW983075 KIR983068:KIS983075 KSN983068:KSO983075 LCJ983068:LCK983075 LMF983068:LMG983075 LWB983068:LWC983075 MFX983068:MFY983075 MPT983068:MPU983075 MZP983068:MZQ983075 NJL983068:NJM983075 NTH983068:NTI983075 ODD983068:ODE983075 OMZ983068:ONA983075 OWV983068:OWW983075 PGR983068:PGS983075 PQN983068:PQO983075 QAJ983068:QAK983075 QKF983068:QKG983075 QUB983068:QUC983075 RDX983068:RDY983075 RNT983068:RNU983075 RXP983068:RXQ983075 SHL983068:SHM983075 SRH983068:SRI983075 TBD983068:TBE983075 TKZ983068:TLA983075 TUV983068:TUW983075 UER983068:UES983075 UON983068:UOO983075 UYJ983068:UYK983075 VIF983068:VIG983075 VSB983068:VSC983075 WBX983068:WBY983075 WLT983068:WLU983075 WVP983068:WVQ983075 H65:I69 JD65:JE69 SZ65:TA69 ACV65:ACW69 AMR65:AMS69 AWN65:AWO69 BGJ65:BGK69 BQF65:BQG69 CAB65:CAC69 CJX65:CJY69 CTT65:CTU69 DDP65:DDQ69 DNL65:DNM69 DXH65:DXI69 EHD65:EHE69 EQZ65:ERA69 FAV65:FAW69 FKR65:FKS69 FUN65:FUO69 GEJ65:GEK69 GOF65:GOG69 GYB65:GYC69 HHX65:HHY69 HRT65:HRU69 IBP65:IBQ69 ILL65:ILM69 IVH65:IVI69 JFD65:JFE69 JOZ65:JPA69 JYV65:JYW69 KIR65:KIS69 KSN65:KSO69 LCJ65:LCK69 LMF65:LMG69 LWB65:LWC69 MFX65:MFY69 MPT65:MPU69 MZP65:MZQ69 NJL65:NJM69 NTH65:NTI69 ODD65:ODE69 OMZ65:ONA69 OWV65:OWW69 PGR65:PGS69 PQN65:PQO69 QAJ65:QAK69 QKF65:QKG69 QUB65:QUC69 RDX65:RDY69 RNT65:RNU69 RXP65:RXQ69 SHL65:SHM69 SRH65:SRI69 TBD65:TBE69 TKZ65:TLA69 TUV65:TUW69 UER65:UES69 UON65:UOO69 UYJ65:UYK69 VIF65:VIG69 VSB65:VSC69 WBX65:WBY69 WLT65:WLU69 WVP65:WVQ69 H65601:I65605 JD65601:JE65605 SZ65601:TA65605 ACV65601:ACW65605 AMR65601:AMS65605 AWN65601:AWO65605 BGJ65601:BGK65605 BQF65601:BQG65605 CAB65601:CAC65605 CJX65601:CJY65605 CTT65601:CTU65605 DDP65601:DDQ65605 DNL65601:DNM65605 DXH65601:DXI65605 EHD65601:EHE65605 EQZ65601:ERA65605 FAV65601:FAW65605 FKR65601:FKS65605 FUN65601:FUO65605 GEJ65601:GEK65605 GOF65601:GOG65605 GYB65601:GYC65605 HHX65601:HHY65605 HRT65601:HRU65605 IBP65601:IBQ65605 ILL65601:ILM65605 IVH65601:IVI65605 JFD65601:JFE65605 JOZ65601:JPA65605 JYV65601:JYW65605 KIR65601:KIS65605 KSN65601:KSO65605 LCJ65601:LCK65605 LMF65601:LMG65605 LWB65601:LWC65605 MFX65601:MFY65605 MPT65601:MPU65605 MZP65601:MZQ65605 NJL65601:NJM65605 NTH65601:NTI65605 ODD65601:ODE65605 OMZ65601:ONA65605 OWV65601:OWW65605 PGR65601:PGS65605 PQN65601:PQO65605 QAJ65601:QAK65605 QKF65601:QKG65605 QUB65601:QUC65605 RDX65601:RDY65605 RNT65601:RNU65605 RXP65601:RXQ65605 SHL65601:SHM65605 SRH65601:SRI65605 TBD65601:TBE65605 TKZ65601:TLA65605 TUV65601:TUW65605 UER65601:UES65605 UON65601:UOO65605 UYJ65601:UYK65605 VIF65601:VIG65605 VSB65601:VSC65605 WBX65601:WBY65605 WLT65601:WLU65605 WVP65601:WVQ65605 H131137:I131141 JD131137:JE131141 SZ131137:TA131141 ACV131137:ACW131141 AMR131137:AMS131141 AWN131137:AWO131141 BGJ131137:BGK131141 BQF131137:BQG131141 CAB131137:CAC131141 CJX131137:CJY131141 CTT131137:CTU131141 DDP131137:DDQ131141 DNL131137:DNM131141 DXH131137:DXI131141 EHD131137:EHE131141 EQZ131137:ERA131141 FAV131137:FAW131141 FKR131137:FKS131141 FUN131137:FUO131141 GEJ131137:GEK131141 GOF131137:GOG131141 GYB131137:GYC131141 HHX131137:HHY131141 HRT131137:HRU131141 IBP131137:IBQ131141 ILL131137:ILM131141 IVH131137:IVI131141 JFD131137:JFE131141 JOZ131137:JPA131141 JYV131137:JYW131141 KIR131137:KIS131141 KSN131137:KSO131141 LCJ131137:LCK131141 LMF131137:LMG131141 LWB131137:LWC131141 MFX131137:MFY131141 MPT131137:MPU131141 MZP131137:MZQ131141 NJL131137:NJM131141 NTH131137:NTI131141 ODD131137:ODE131141 OMZ131137:ONA131141 OWV131137:OWW131141 PGR131137:PGS131141 PQN131137:PQO131141 QAJ131137:QAK131141 QKF131137:QKG131141 QUB131137:QUC131141 RDX131137:RDY131141 RNT131137:RNU131141 RXP131137:RXQ131141 SHL131137:SHM131141 SRH131137:SRI131141 TBD131137:TBE131141 TKZ131137:TLA131141 TUV131137:TUW131141 UER131137:UES131141 UON131137:UOO131141 UYJ131137:UYK131141 VIF131137:VIG131141 VSB131137:VSC131141 WBX131137:WBY131141 WLT131137:WLU131141 WVP131137:WVQ131141 H196673:I196677 JD196673:JE196677 SZ196673:TA196677 ACV196673:ACW196677 AMR196673:AMS196677 AWN196673:AWO196677 BGJ196673:BGK196677 BQF196673:BQG196677 CAB196673:CAC196677 CJX196673:CJY196677 CTT196673:CTU196677 DDP196673:DDQ196677 DNL196673:DNM196677 DXH196673:DXI196677 EHD196673:EHE196677 EQZ196673:ERA196677 FAV196673:FAW196677 FKR196673:FKS196677 FUN196673:FUO196677 GEJ196673:GEK196677 GOF196673:GOG196677 GYB196673:GYC196677 HHX196673:HHY196677 HRT196673:HRU196677 IBP196673:IBQ196677 ILL196673:ILM196677 IVH196673:IVI196677 JFD196673:JFE196677 JOZ196673:JPA196677 JYV196673:JYW196677 KIR196673:KIS196677 KSN196673:KSO196677 LCJ196673:LCK196677 LMF196673:LMG196677 LWB196673:LWC196677 MFX196673:MFY196677 MPT196673:MPU196677 MZP196673:MZQ196677 NJL196673:NJM196677 NTH196673:NTI196677 ODD196673:ODE196677 OMZ196673:ONA196677 OWV196673:OWW196677 PGR196673:PGS196677 PQN196673:PQO196677 QAJ196673:QAK196677 QKF196673:QKG196677 QUB196673:QUC196677 RDX196673:RDY196677 RNT196673:RNU196677 RXP196673:RXQ196677 SHL196673:SHM196677 SRH196673:SRI196677 TBD196673:TBE196677 TKZ196673:TLA196677 TUV196673:TUW196677 UER196673:UES196677 UON196673:UOO196677 UYJ196673:UYK196677 VIF196673:VIG196677 VSB196673:VSC196677 WBX196673:WBY196677 WLT196673:WLU196677 WVP196673:WVQ196677 H262209:I262213 JD262209:JE262213 SZ262209:TA262213 ACV262209:ACW262213 AMR262209:AMS262213 AWN262209:AWO262213 BGJ262209:BGK262213 BQF262209:BQG262213 CAB262209:CAC262213 CJX262209:CJY262213 CTT262209:CTU262213 DDP262209:DDQ262213 DNL262209:DNM262213 DXH262209:DXI262213 EHD262209:EHE262213 EQZ262209:ERA262213 FAV262209:FAW262213 FKR262209:FKS262213 FUN262209:FUO262213 GEJ262209:GEK262213 GOF262209:GOG262213 GYB262209:GYC262213 HHX262209:HHY262213 HRT262209:HRU262213 IBP262209:IBQ262213 ILL262209:ILM262213 IVH262209:IVI262213 JFD262209:JFE262213 JOZ262209:JPA262213 JYV262209:JYW262213 KIR262209:KIS262213 KSN262209:KSO262213 LCJ262209:LCK262213 LMF262209:LMG262213 LWB262209:LWC262213 MFX262209:MFY262213 MPT262209:MPU262213 MZP262209:MZQ262213 NJL262209:NJM262213 NTH262209:NTI262213 ODD262209:ODE262213 OMZ262209:ONA262213 OWV262209:OWW262213 PGR262209:PGS262213 PQN262209:PQO262213 QAJ262209:QAK262213 QKF262209:QKG262213 QUB262209:QUC262213 RDX262209:RDY262213 RNT262209:RNU262213 RXP262209:RXQ262213 SHL262209:SHM262213 SRH262209:SRI262213 TBD262209:TBE262213 TKZ262209:TLA262213 TUV262209:TUW262213 UER262209:UES262213 UON262209:UOO262213 UYJ262209:UYK262213 VIF262209:VIG262213 VSB262209:VSC262213 WBX262209:WBY262213 WLT262209:WLU262213 WVP262209:WVQ262213 H327745:I327749 JD327745:JE327749 SZ327745:TA327749 ACV327745:ACW327749 AMR327745:AMS327749 AWN327745:AWO327749 BGJ327745:BGK327749 BQF327745:BQG327749 CAB327745:CAC327749 CJX327745:CJY327749 CTT327745:CTU327749 DDP327745:DDQ327749 DNL327745:DNM327749 DXH327745:DXI327749 EHD327745:EHE327749 EQZ327745:ERA327749 FAV327745:FAW327749 FKR327745:FKS327749 FUN327745:FUO327749 GEJ327745:GEK327749 GOF327745:GOG327749 GYB327745:GYC327749 HHX327745:HHY327749 HRT327745:HRU327749 IBP327745:IBQ327749 ILL327745:ILM327749 IVH327745:IVI327749 JFD327745:JFE327749 JOZ327745:JPA327749 JYV327745:JYW327749 KIR327745:KIS327749 KSN327745:KSO327749 LCJ327745:LCK327749 LMF327745:LMG327749 LWB327745:LWC327749 MFX327745:MFY327749 MPT327745:MPU327749 MZP327745:MZQ327749 NJL327745:NJM327749 NTH327745:NTI327749 ODD327745:ODE327749 OMZ327745:ONA327749 OWV327745:OWW327749 PGR327745:PGS327749 PQN327745:PQO327749 QAJ327745:QAK327749 QKF327745:QKG327749 QUB327745:QUC327749 RDX327745:RDY327749 RNT327745:RNU327749 RXP327745:RXQ327749 SHL327745:SHM327749 SRH327745:SRI327749 TBD327745:TBE327749 TKZ327745:TLA327749 TUV327745:TUW327749 UER327745:UES327749 UON327745:UOO327749 UYJ327745:UYK327749 VIF327745:VIG327749 VSB327745:VSC327749 WBX327745:WBY327749 WLT327745:WLU327749 WVP327745:WVQ327749 H393281:I393285 JD393281:JE393285 SZ393281:TA393285 ACV393281:ACW393285 AMR393281:AMS393285 AWN393281:AWO393285 BGJ393281:BGK393285 BQF393281:BQG393285 CAB393281:CAC393285 CJX393281:CJY393285 CTT393281:CTU393285 DDP393281:DDQ393285 DNL393281:DNM393285 DXH393281:DXI393285 EHD393281:EHE393285 EQZ393281:ERA393285 FAV393281:FAW393285 FKR393281:FKS393285 FUN393281:FUO393285 GEJ393281:GEK393285 GOF393281:GOG393285 GYB393281:GYC393285 HHX393281:HHY393285 HRT393281:HRU393285 IBP393281:IBQ393285 ILL393281:ILM393285 IVH393281:IVI393285 JFD393281:JFE393285 JOZ393281:JPA393285 JYV393281:JYW393285 KIR393281:KIS393285 KSN393281:KSO393285 LCJ393281:LCK393285 LMF393281:LMG393285 LWB393281:LWC393285 MFX393281:MFY393285 MPT393281:MPU393285 MZP393281:MZQ393285 NJL393281:NJM393285 NTH393281:NTI393285 ODD393281:ODE393285 OMZ393281:ONA393285 OWV393281:OWW393285 PGR393281:PGS393285 PQN393281:PQO393285 QAJ393281:QAK393285 QKF393281:QKG393285 QUB393281:QUC393285 RDX393281:RDY393285 RNT393281:RNU393285 RXP393281:RXQ393285 SHL393281:SHM393285 SRH393281:SRI393285 TBD393281:TBE393285 TKZ393281:TLA393285 TUV393281:TUW393285 UER393281:UES393285 UON393281:UOO393285 UYJ393281:UYK393285 VIF393281:VIG393285 VSB393281:VSC393285 WBX393281:WBY393285 WLT393281:WLU393285 WVP393281:WVQ393285 H458817:I458821 JD458817:JE458821 SZ458817:TA458821 ACV458817:ACW458821 AMR458817:AMS458821 AWN458817:AWO458821 BGJ458817:BGK458821 BQF458817:BQG458821 CAB458817:CAC458821 CJX458817:CJY458821 CTT458817:CTU458821 DDP458817:DDQ458821 DNL458817:DNM458821 DXH458817:DXI458821 EHD458817:EHE458821 EQZ458817:ERA458821 FAV458817:FAW458821 FKR458817:FKS458821 FUN458817:FUO458821 GEJ458817:GEK458821 GOF458817:GOG458821 GYB458817:GYC458821 HHX458817:HHY458821 HRT458817:HRU458821 IBP458817:IBQ458821 ILL458817:ILM458821 IVH458817:IVI458821 JFD458817:JFE458821 JOZ458817:JPA458821 JYV458817:JYW458821 KIR458817:KIS458821 KSN458817:KSO458821 LCJ458817:LCK458821 LMF458817:LMG458821 LWB458817:LWC458821 MFX458817:MFY458821 MPT458817:MPU458821 MZP458817:MZQ458821 NJL458817:NJM458821 NTH458817:NTI458821 ODD458817:ODE458821 OMZ458817:ONA458821 OWV458817:OWW458821 PGR458817:PGS458821 PQN458817:PQO458821 QAJ458817:QAK458821 QKF458817:QKG458821 QUB458817:QUC458821 RDX458817:RDY458821 RNT458817:RNU458821 RXP458817:RXQ458821 SHL458817:SHM458821 SRH458817:SRI458821 TBD458817:TBE458821 TKZ458817:TLA458821 TUV458817:TUW458821 UER458817:UES458821 UON458817:UOO458821 UYJ458817:UYK458821 VIF458817:VIG458821 VSB458817:VSC458821 WBX458817:WBY458821 WLT458817:WLU458821 WVP458817:WVQ458821 H524353:I524357 JD524353:JE524357 SZ524353:TA524357 ACV524353:ACW524357 AMR524353:AMS524357 AWN524353:AWO524357 BGJ524353:BGK524357 BQF524353:BQG524357 CAB524353:CAC524357 CJX524353:CJY524357 CTT524353:CTU524357 DDP524353:DDQ524357 DNL524353:DNM524357 DXH524353:DXI524357 EHD524353:EHE524357 EQZ524353:ERA524357 FAV524353:FAW524357 FKR524353:FKS524357 FUN524353:FUO524357 GEJ524353:GEK524357 GOF524353:GOG524357 GYB524353:GYC524357 HHX524353:HHY524357 HRT524353:HRU524357 IBP524353:IBQ524357 ILL524353:ILM524357 IVH524353:IVI524357 JFD524353:JFE524357 JOZ524353:JPA524357 JYV524353:JYW524357 KIR524353:KIS524357 KSN524353:KSO524357 LCJ524353:LCK524357 LMF524353:LMG524357 LWB524353:LWC524357 MFX524353:MFY524357 MPT524353:MPU524357 MZP524353:MZQ524357 NJL524353:NJM524357 NTH524353:NTI524357 ODD524353:ODE524357 OMZ524353:ONA524357 OWV524353:OWW524357 PGR524353:PGS524357 PQN524353:PQO524357 QAJ524353:QAK524357 QKF524353:QKG524357 QUB524353:QUC524357 RDX524353:RDY524357 RNT524353:RNU524357 RXP524353:RXQ524357 SHL524353:SHM524357 SRH524353:SRI524357 TBD524353:TBE524357 TKZ524353:TLA524357 TUV524353:TUW524357 UER524353:UES524357 UON524353:UOO524357 UYJ524353:UYK524357 VIF524353:VIG524357 VSB524353:VSC524357 WBX524353:WBY524357 WLT524353:WLU524357 WVP524353:WVQ524357 H589889:I589893 JD589889:JE589893 SZ589889:TA589893 ACV589889:ACW589893 AMR589889:AMS589893 AWN589889:AWO589893 BGJ589889:BGK589893 BQF589889:BQG589893 CAB589889:CAC589893 CJX589889:CJY589893 CTT589889:CTU589893 DDP589889:DDQ589893 DNL589889:DNM589893 DXH589889:DXI589893 EHD589889:EHE589893 EQZ589889:ERA589893 FAV589889:FAW589893 FKR589889:FKS589893 FUN589889:FUO589893 GEJ589889:GEK589893 GOF589889:GOG589893 GYB589889:GYC589893 HHX589889:HHY589893 HRT589889:HRU589893 IBP589889:IBQ589893 ILL589889:ILM589893 IVH589889:IVI589893 JFD589889:JFE589893 JOZ589889:JPA589893 JYV589889:JYW589893 KIR589889:KIS589893 KSN589889:KSO589893 LCJ589889:LCK589893 LMF589889:LMG589893 LWB589889:LWC589893 MFX589889:MFY589893 MPT589889:MPU589893 MZP589889:MZQ589893 NJL589889:NJM589893 NTH589889:NTI589893 ODD589889:ODE589893 OMZ589889:ONA589893 OWV589889:OWW589893 PGR589889:PGS589893 PQN589889:PQO589893 QAJ589889:QAK589893 QKF589889:QKG589893 QUB589889:QUC589893 RDX589889:RDY589893 RNT589889:RNU589893 RXP589889:RXQ589893 SHL589889:SHM589893 SRH589889:SRI589893 TBD589889:TBE589893 TKZ589889:TLA589893 TUV589889:TUW589893 UER589889:UES589893 UON589889:UOO589893 UYJ589889:UYK589893 VIF589889:VIG589893 VSB589889:VSC589893 WBX589889:WBY589893 WLT589889:WLU589893 WVP589889:WVQ589893 H655425:I655429 JD655425:JE655429 SZ655425:TA655429 ACV655425:ACW655429 AMR655425:AMS655429 AWN655425:AWO655429 BGJ655425:BGK655429 BQF655425:BQG655429 CAB655425:CAC655429 CJX655425:CJY655429 CTT655425:CTU655429 DDP655425:DDQ655429 DNL655425:DNM655429 DXH655425:DXI655429 EHD655425:EHE655429 EQZ655425:ERA655429 FAV655425:FAW655429 FKR655425:FKS655429 FUN655425:FUO655429 GEJ655425:GEK655429 GOF655425:GOG655429 GYB655425:GYC655429 HHX655425:HHY655429 HRT655425:HRU655429 IBP655425:IBQ655429 ILL655425:ILM655429 IVH655425:IVI655429 JFD655425:JFE655429 JOZ655425:JPA655429 JYV655425:JYW655429 KIR655425:KIS655429 KSN655425:KSO655429 LCJ655425:LCK655429 LMF655425:LMG655429 LWB655425:LWC655429 MFX655425:MFY655429 MPT655425:MPU655429 MZP655425:MZQ655429 NJL655425:NJM655429 NTH655425:NTI655429 ODD655425:ODE655429 OMZ655425:ONA655429 OWV655425:OWW655429 PGR655425:PGS655429 PQN655425:PQO655429 QAJ655425:QAK655429 QKF655425:QKG655429 QUB655425:QUC655429 RDX655425:RDY655429 RNT655425:RNU655429 RXP655425:RXQ655429 SHL655425:SHM655429 SRH655425:SRI655429 TBD655425:TBE655429 TKZ655425:TLA655429 TUV655425:TUW655429 UER655425:UES655429 UON655425:UOO655429 UYJ655425:UYK655429 VIF655425:VIG655429 VSB655425:VSC655429 WBX655425:WBY655429 WLT655425:WLU655429 WVP655425:WVQ655429 H720961:I720965 JD720961:JE720965 SZ720961:TA720965 ACV720961:ACW720965 AMR720961:AMS720965 AWN720961:AWO720965 BGJ720961:BGK720965 BQF720961:BQG720965 CAB720961:CAC720965 CJX720961:CJY720965 CTT720961:CTU720965 DDP720961:DDQ720965 DNL720961:DNM720965 DXH720961:DXI720965 EHD720961:EHE720965 EQZ720961:ERA720965 FAV720961:FAW720965 FKR720961:FKS720965 FUN720961:FUO720965 GEJ720961:GEK720965 GOF720961:GOG720965 GYB720961:GYC720965 HHX720961:HHY720965 HRT720961:HRU720965 IBP720961:IBQ720965 ILL720961:ILM720965 IVH720961:IVI720965 JFD720961:JFE720965 JOZ720961:JPA720965 JYV720961:JYW720965 KIR720961:KIS720965 KSN720961:KSO720965 LCJ720961:LCK720965 LMF720961:LMG720965 LWB720961:LWC720965 MFX720961:MFY720965 MPT720961:MPU720965 MZP720961:MZQ720965 NJL720961:NJM720965 NTH720961:NTI720965 ODD720961:ODE720965 OMZ720961:ONA720965 OWV720961:OWW720965 PGR720961:PGS720965 PQN720961:PQO720965 QAJ720961:QAK720965 QKF720961:QKG720965 QUB720961:QUC720965 RDX720961:RDY720965 RNT720961:RNU720965 RXP720961:RXQ720965 SHL720961:SHM720965 SRH720961:SRI720965 TBD720961:TBE720965 TKZ720961:TLA720965 TUV720961:TUW720965 UER720961:UES720965 UON720961:UOO720965 UYJ720961:UYK720965 VIF720961:VIG720965 VSB720961:VSC720965 WBX720961:WBY720965 WLT720961:WLU720965 WVP720961:WVQ720965 H786497:I786501 JD786497:JE786501 SZ786497:TA786501 ACV786497:ACW786501 AMR786497:AMS786501 AWN786497:AWO786501 BGJ786497:BGK786501 BQF786497:BQG786501 CAB786497:CAC786501 CJX786497:CJY786501 CTT786497:CTU786501 DDP786497:DDQ786501 DNL786497:DNM786501 DXH786497:DXI786501 EHD786497:EHE786501 EQZ786497:ERA786501 FAV786497:FAW786501 FKR786497:FKS786501 FUN786497:FUO786501 GEJ786497:GEK786501 GOF786497:GOG786501 GYB786497:GYC786501 HHX786497:HHY786501 HRT786497:HRU786501 IBP786497:IBQ786501 ILL786497:ILM786501 IVH786497:IVI786501 JFD786497:JFE786501 JOZ786497:JPA786501 JYV786497:JYW786501 KIR786497:KIS786501 KSN786497:KSO786501 LCJ786497:LCK786501 LMF786497:LMG786501 LWB786497:LWC786501 MFX786497:MFY786501 MPT786497:MPU786501 MZP786497:MZQ786501 NJL786497:NJM786501 NTH786497:NTI786501 ODD786497:ODE786501 OMZ786497:ONA786501 OWV786497:OWW786501 PGR786497:PGS786501 PQN786497:PQO786501 QAJ786497:QAK786501 QKF786497:QKG786501 QUB786497:QUC786501 RDX786497:RDY786501 RNT786497:RNU786501 RXP786497:RXQ786501 SHL786497:SHM786501 SRH786497:SRI786501 TBD786497:TBE786501 TKZ786497:TLA786501 TUV786497:TUW786501 UER786497:UES786501 UON786497:UOO786501 UYJ786497:UYK786501 VIF786497:VIG786501 VSB786497:VSC786501 WBX786497:WBY786501 WLT786497:WLU786501 WVP786497:WVQ786501 H852033:I852037 JD852033:JE852037 SZ852033:TA852037 ACV852033:ACW852037 AMR852033:AMS852037 AWN852033:AWO852037 BGJ852033:BGK852037 BQF852033:BQG852037 CAB852033:CAC852037 CJX852033:CJY852037 CTT852033:CTU852037 DDP852033:DDQ852037 DNL852033:DNM852037 DXH852033:DXI852037 EHD852033:EHE852037 EQZ852033:ERA852037 FAV852033:FAW852037 FKR852033:FKS852037 FUN852033:FUO852037 GEJ852033:GEK852037 GOF852033:GOG852037 GYB852033:GYC852037 HHX852033:HHY852037 HRT852033:HRU852037 IBP852033:IBQ852037 ILL852033:ILM852037 IVH852033:IVI852037 JFD852033:JFE852037 JOZ852033:JPA852037 JYV852033:JYW852037 KIR852033:KIS852037 KSN852033:KSO852037 LCJ852033:LCK852037 LMF852033:LMG852037 LWB852033:LWC852037 MFX852033:MFY852037 MPT852033:MPU852037 MZP852033:MZQ852037 NJL852033:NJM852037 NTH852033:NTI852037 ODD852033:ODE852037 OMZ852033:ONA852037 OWV852033:OWW852037 PGR852033:PGS852037 PQN852033:PQO852037 QAJ852033:QAK852037 QKF852033:QKG852037 QUB852033:QUC852037 RDX852033:RDY852037 RNT852033:RNU852037 RXP852033:RXQ852037 SHL852033:SHM852037 SRH852033:SRI852037 TBD852033:TBE852037 TKZ852033:TLA852037 TUV852033:TUW852037 UER852033:UES852037 UON852033:UOO852037 UYJ852033:UYK852037 VIF852033:VIG852037 VSB852033:VSC852037 WBX852033:WBY852037 WLT852033:WLU852037 WVP852033:WVQ852037 H917569:I917573 JD917569:JE917573 SZ917569:TA917573 ACV917569:ACW917573 AMR917569:AMS917573 AWN917569:AWO917573 BGJ917569:BGK917573 BQF917569:BQG917573 CAB917569:CAC917573 CJX917569:CJY917573 CTT917569:CTU917573 DDP917569:DDQ917573 DNL917569:DNM917573 DXH917569:DXI917573 EHD917569:EHE917573 EQZ917569:ERA917573 FAV917569:FAW917573 FKR917569:FKS917573 FUN917569:FUO917573 GEJ917569:GEK917573 GOF917569:GOG917573 GYB917569:GYC917573 HHX917569:HHY917573 HRT917569:HRU917573 IBP917569:IBQ917573 ILL917569:ILM917573 IVH917569:IVI917573 JFD917569:JFE917573 JOZ917569:JPA917573 JYV917569:JYW917573 KIR917569:KIS917573 KSN917569:KSO917573 LCJ917569:LCK917573 LMF917569:LMG917573 LWB917569:LWC917573 MFX917569:MFY917573 MPT917569:MPU917573 MZP917569:MZQ917573 NJL917569:NJM917573 NTH917569:NTI917573 ODD917569:ODE917573 OMZ917569:ONA917573 OWV917569:OWW917573 PGR917569:PGS917573 PQN917569:PQO917573 QAJ917569:QAK917573 QKF917569:QKG917573 QUB917569:QUC917573 RDX917569:RDY917573 RNT917569:RNU917573 RXP917569:RXQ917573 SHL917569:SHM917573 SRH917569:SRI917573 TBD917569:TBE917573 TKZ917569:TLA917573 TUV917569:TUW917573 UER917569:UES917573 UON917569:UOO917573 UYJ917569:UYK917573 VIF917569:VIG917573 VSB917569:VSC917573 WBX917569:WBY917573 WLT917569:WLU917573 WVP917569:WVQ917573 H983105:I983109 JD983105:JE983109 SZ983105:TA983109 ACV983105:ACW983109 AMR983105:AMS983109 AWN983105:AWO983109 BGJ983105:BGK983109 BQF983105:BQG983109 CAB983105:CAC983109 CJX983105:CJY983109 CTT983105:CTU983109 DDP983105:DDQ983109 DNL983105:DNM983109 DXH983105:DXI983109 EHD983105:EHE983109 EQZ983105:ERA983109 FAV983105:FAW983109 FKR983105:FKS983109 FUN983105:FUO983109 GEJ983105:GEK983109 GOF983105:GOG983109 GYB983105:GYC983109 HHX983105:HHY983109 HRT983105:HRU983109 IBP983105:IBQ983109 ILL983105:ILM983109 IVH983105:IVI983109 JFD983105:JFE983109 JOZ983105:JPA983109 JYV983105:JYW983109 KIR983105:KIS983109 KSN983105:KSO983109 LCJ983105:LCK983109 LMF983105:LMG983109 LWB983105:LWC983109 MFX983105:MFY983109 MPT983105:MPU983109 MZP983105:MZQ983109 NJL983105:NJM983109 NTH983105:NTI983109 ODD983105:ODE983109 OMZ983105:ONA983109 OWV983105:OWW983109 PGR983105:PGS983109 PQN983105:PQO983109 QAJ983105:QAK983109 QKF983105:QKG983109 QUB983105:QUC983109 RDX983105:RDY983109 RNT983105:RNU983109 RXP983105:RXQ983109 SHL983105:SHM983109 SRH983105:SRI983109 TBD983105:TBE983109 TKZ983105:TLA983109 TUV983105:TUW983109 UER983105:UES983109 UON983105:UOO983109 UYJ983105:UYK983109 VIF983105:VIG983109 VSB983105:VSC983109 WBX983105:WBY983109 WLT983105:WLU983109 WVP983105:WVQ983109 H61:I61 JD61:JE61 SZ61:TA61 ACV61:ACW61 AMR61:AMS61 AWN61:AWO61 BGJ61:BGK61 BQF61:BQG61 CAB61:CAC61 CJX61:CJY61 CTT61:CTU61 DDP61:DDQ61 DNL61:DNM61 DXH61:DXI61 EHD61:EHE61 EQZ61:ERA61 FAV61:FAW61 FKR61:FKS61 FUN61:FUO61 GEJ61:GEK61 GOF61:GOG61 GYB61:GYC61 HHX61:HHY61 HRT61:HRU61 IBP61:IBQ61 ILL61:ILM61 IVH61:IVI61 JFD61:JFE61 JOZ61:JPA61 JYV61:JYW61 KIR61:KIS61 KSN61:KSO61 LCJ61:LCK61 LMF61:LMG61 LWB61:LWC61 MFX61:MFY61 MPT61:MPU61 MZP61:MZQ61 NJL61:NJM61 NTH61:NTI61 ODD61:ODE61 OMZ61:ONA61 OWV61:OWW61 PGR61:PGS61 PQN61:PQO61 QAJ61:QAK61 QKF61:QKG61 QUB61:QUC61 RDX61:RDY61 RNT61:RNU61 RXP61:RXQ61 SHL61:SHM61 SRH61:SRI61 TBD61:TBE61 TKZ61:TLA61 TUV61:TUW61 UER61:UES61 UON61:UOO61 UYJ61:UYK61 VIF61:VIG61 VSB61:VSC61 WBX61:WBY61 WLT61:WLU61 WVP61:WVQ61 H65597:I65597 JD65597:JE65597 SZ65597:TA65597 ACV65597:ACW65597 AMR65597:AMS65597 AWN65597:AWO65597 BGJ65597:BGK65597 BQF65597:BQG65597 CAB65597:CAC65597 CJX65597:CJY65597 CTT65597:CTU65597 DDP65597:DDQ65597 DNL65597:DNM65597 DXH65597:DXI65597 EHD65597:EHE65597 EQZ65597:ERA65597 FAV65597:FAW65597 FKR65597:FKS65597 FUN65597:FUO65597 GEJ65597:GEK65597 GOF65597:GOG65597 GYB65597:GYC65597 HHX65597:HHY65597 HRT65597:HRU65597 IBP65597:IBQ65597 ILL65597:ILM65597 IVH65597:IVI65597 JFD65597:JFE65597 JOZ65597:JPA65597 JYV65597:JYW65597 KIR65597:KIS65597 KSN65597:KSO65597 LCJ65597:LCK65597 LMF65597:LMG65597 LWB65597:LWC65597 MFX65597:MFY65597 MPT65597:MPU65597 MZP65597:MZQ65597 NJL65597:NJM65597 NTH65597:NTI65597 ODD65597:ODE65597 OMZ65597:ONA65597 OWV65597:OWW65597 PGR65597:PGS65597 PQN65597:PQO65597 QAJ65597:QAK65597 QKF65597:QKG65597 QUB65597:QUC65597 RDX65597:RDY65597 RNT65597:RNU65597 RXP65597:RXQ65597 SHL65597:SHM65597 SRH65597:SRI65597 TBD65597:TBE65597 TKZ65597:TLA65597 TUV65597:TUW65597 UER65597:UES65597 UON65597:UOO65597 UYJ65597:UYK65597 VIF65597:VIG65597 VSB65597:VSC65597 WBX65597:WBY65597 WLT65597:WLU65597 WVP65597:WVQ65597 H131133:I131133 JD131133:JE131133 SZ131133:TA131133 ACV131133:ACW131133 AMR131133:AMS131133 AWN131133:AWO131133 BGJ131133:BGK131133 BQF131133:BQG131133 CAB131133:CAC131133 CJX131133:CJY131133 CTT131133:CTU131133 DDP131133:DDQ131133 DNL131133:DNM131133 DXH131133:DXI131133 EHD131133:EHE131133 EQZ131133:ERA131133 FAV131133:FAW131133 FKR131133:FKS131133 FUN131133:FUO131133 GEJ131133:GEK131133 GOF131133:GOG131133 GYB131133:GYC131133 HHX131133:HHY131133 HRT131133:HRU131133 IBP131133:IBQ131133 ILL131133:ILM131133 IVH131133:IVI131133 JFD131133:JFE131133 JOZ131133:JPA131133 JYV131133:JYW131133 KIR131133:KIS131133 KSN131133:KSO131133 LCJ131133:LCK131133 LMF131133:LMG131133 LWB131133:LWC131133 MFX131133:MFY131133 MPT131133:MPU131133 MZP131133:MZQ131133 NJL131133:NJM131133 NTH131133:NTI131133 ODD131133:ODE131133 OMZ131133:ONA131133 OWV131133:OWW131133 PGR131133:PGS131133 PQN131133:PQO131133 QAJ131133:QAK131133 QKF131133:QKG131133 QUB131133:QUC131133 RDX131133:RDY131133 RNT131133:RNU131133 RXP131133:RXQ131133 SHL131133:SHM131133 SRH131133:SRI131133 TBD131133:TBE131133 TKZ131133:TLA131133 TUV131133:TUW131133 UER131133:UES131133 UON131133:UOO131133 UYJ131133:UYK131133 VIF131133:VIG131133 VSB131133:VSC131133 WBX131133:WBY131133 WLT131133:WLU131133 WVP131133:WVQ131133 H196669:I196669 JD196669:JE196669 SZ196669:TA196669 ACV196669:ACW196669 AMR196669:AMS196669 AWN196669:AWO196669 BGJ196669:BGK196669 BQF196669:BQG196669 CAB196669:CAC196669 CJX196669:CJY196669 CTT196669:CTU196669 DDP196669:DDQ196669 DNL196669:DNM196669 DXH196669:DXI196669 EHD196669:EHE196669 EQZ196669:ERA196669 FAV196669:FAW196669 FKR196669:FKS196669 FUN196669:FUO196669 GEJ196669:GEK196669 GOF196669:GOG196669 GYB196669:GYC196669 HHX196669:HHY196669 HRT196669:HRU196669 IBP196669:IBQ196669 ILL196669:ILM196669 IVH196669:IVI196669 JFD196669:JFE196669 JOZ196669:JPA196669 JYV196669:JYW196669 KIR196669:KIS196669 KSN196669:KSO196669 LCJ196669:LCK196669 LMF196669:LMG196669 LWB196669:LWC196669 MFX196669:MFY196669 MPT196669:MPU196669 MZP196669:MZQ196669 NJL196669:NJM196669 NTH196669:NTI196669 ODD196669:ODE196669 OMZ196669:ONA196669 OWV196669:OWW196669 PGR196669:PGS196669 PQN196669:PQO196669 QAJ196669:QAK196669 QKF196669:QKG196669 QUB196669:QUC196669 RDX196669:RDY196669 RNT196669:RNU196669 RXP196669:RXQ196669 SHL196669:SHM196669 SRH196669:SRI196669 TBD196669:TBE196669 TKZ196669:TLA196669 TUV196669:TUW196669 UER196669:UES196669 UON196669:UOO196669 UYJ196669:UYK196669 VIF196669:VIG196669 VSB196669:VSC196669 WBX196669:WBY196669 WLT196669:WLU196669 WVP196669:WVQ196669 H262205:I262205 JD262205:JE262205 SZ262205:TA262205 ACV262205:ACW262205 AMR262205:AMS262205 AWN262205:AWO262205 BGJ262205:BGK262205 BQF262205:BQG262205 CAB262205:CAC262205 CJX262205:CJY262205 CTT262205:CTU262205 DDP262205:DDQ262205 DNL262205:DNM262205 DXH262205:DXI262205 EHD262205:EHE262205 EQZ262205:ERA262205 FAV262205:FAW262205 FKR262205:FKS262205 FUN262205:FUO262205 GEJ262205:GEK262205 GOF262205:GOG262205 GYB262205:GYC262205 HHX262205:HHY262205 HRT262205:HRU262205 IBP262205:IBQ262205 ILL262205:ILM262205 IVH262205:IVI262205 JFD262205:JFE262205 JOZ262205:JPA262205 JYV262205:JYW262205 KIR262205:KIS262205 KSN262205:KSO262205 LCJ262205:LCK262205 LMF262205:LMG262205 LWB262205:LWC262205 MFX262205:MFY262205 MPT262205:MPU262205 MZP262205:MZQ262205 NJL262205:NJM262205 NTH262205:NTI262205 ODD262205:ODE262205 OMZ262205:ONA262205 OWV262205:OWW262205 PGR262205:PGS262205 PQN262205:PQO262205 QAJ262205:QAK262205 QKF262205:QKG262205 QUB262205:QUC262205 RDX262205:RDY262205 RNT262205:RNU262205 RXP262205:RXQ262205 SHL262205:SHM262205 SRH262205:SRI262205 TBD262205:TBE262205 TKZ262205:TLA262205 TUV262205:TUW262205 UER262205:UES262205 UON262205:UOO262205 UYJ262205:UYK262205 VIF262205:VIG262205 VSB262205:VSC262205 WBX262205:WBY262205 WLT262205:WLU262205 WVP262205:WVQ262205 H327741:I327741 JD327741:JE327741 SZ327741:TA327741 ACV327741:ACW327741 AMR327741:AMS327741 AWN327741:AWO327741 BGJ327741:BGK327741 BQF327741:BQG327741 CAB327741:CAC327741 CJX327741:CJY327741 CTT327741:CTU327741 DDP327741:DDQ327741 DNL327741:DNM327741 DXH327741:DXI327741 EHD327741:EHE327741 EQZ327741:ERA327741 FAV327741:FAW327741 FKR327741:FKS327741 FUN327741:FUO327741 GEJ327741:GEK327741 GOF327741:GOG327741 GYB327741:GYC327741 HHX327741:HHY327741 HRT327741:HRU327741 IBP327741:IBQ327741 ILL327741:ILM327741 IVH327741:IVI327741 JFD327741:JFE327741 JOZ327741:JPA327741 JYV327741:JYW327741 KIR327741:KIS327741 KSN327741:KSO327741 LCJ327741:LCK327741 LMF327741:LMG327741 LWB327741:LWC327741 MFX327741:MFY327741 MPT327741:MPU327741 MZP327741:MZQ327741 NJL327741:NJM327741 NTH327741:NTI327741 ODD327741:ODE327741 OMZ327741:ONA327741 OWV327741:OWW327741 PGR327741:PGS327741 PQN327741:PQO327741 QAJ327741:QAK327741 QKF327741:QKG327741 QUB327741:QUC327741 RDX327741:RDY327741 RNT327741:RNU327741 RXP327741:RXQ327741 SHL327741:SHM327741 SRH327741:SRI327741 TBD327741:TBE327741 TKZ327741:TLA327741 TUV327741:TUW327741 UER327741:UES327741 UON327741:UOO327741 UYJ327741:UYK327741 VIF327741:VIG327741 VSB327741:VSC327741 WBX327741:WBY327741 WLT327741:WLU327741 WVP327741:WVQ327741 H393277:I393277 JD393277:JE393277 SZ393277:TA393277 ACV393277:ACW393277 AMR393277:AMS393277 AWN393277:AWO393277 BGJ393277:BGK393277 BQF393277:BQG393277 CAB393277:CAC393277 CJX393277:CJY393277 CTT393277:CTU393277 DDP393277:DDQ393277 DNL393277:DNM393277 DXH393277:DXI393277 EHD393277:EHE393277 EQZ393277:ERA393277 FAV393277:FAW393277 FKR393277:FKS393277 FUN393277:FUO393277 GEJ393277:GEK393277 GOF393277:GOG393277 GYB393277:GYC393277 HHX393277:HHY393277 HRT393277:HRU393277 IBP393277:IBQ393277 ILL393277:ILM393277 IVH393277:IVI393277 JFD393277:JFE393277 JOZ393277:JPA393277 JYV393277:JYW393277 KIR393277:KIS393277 KSN393277:KSO393277 LCJ393277:LCK393277 LMF393277:LMG393277 LWB393277:LWC393277 MFX393277:MFY393277 MPT393277:MPU393277 MZP393277:MZQ393277 NJL393277:NJM393277 NTH393277:NTI393277 ODD393277:ODE393277 OMZ393277:ONA393277 OWV393277:OWW393277 PGR393277:PGS393277 PQN393277:PQO393277 QAJ393277:QAK393277 QKF393277:QKG393277 QUB393277:QUC393277 RDX393277:RDY393277 RNT393277:RNU393277 RXP393277:RXQ393277 SHL393277:SHM393277 SRH393277:SRI393277 TBD393277:TBE393277 TKZ393277:TLA393277 TUV393277:TUW393277 UER393277:UES393277 UON393277:UOO393277 UYJ393277:UYK393277 VIF393277:VIG393277 VSB393277:VSC393277 WBX393277:WBY393277 WLT393277:WLU393277 WVP393277:WVQ393277 H458813:I458813 JD458813:JE458813 SZ458813:TA458813 ACV458813:ACW458813 AMR458813:AMS458813 AWN458813:AWO458813 BGJ458813:BGK458813 BQF458813:BQG458813 CAB458813:CAC458813 CJX458813:CJY458813 CTT458813:CTU458813 DDP458813:DDQ458813 DNL458813:DNM458813 DXH458813:DXI458813 EHD458813:EHE458813 EQZ458813:ERA458813 FAV458813:FAW458813 FKR458813:FKS458813 FUN458813:FUO458813 GEJ458813:GEK458813 GOF458813:GOG458813 GYB458813:GYC458813 HHX458813:HHY458813 HRT458813:HRU458813 IBP458813:IBQ458813 ILL458813:ILM458813 IVH458813:IVI458813 JFD458813:JFE458813 JOZ458813:JPA458813 JYV458813:JYW458813 KIR458813:KIS458813 KSN458813:KSO458813 LCJ458813:LCK458813 LMF458813:LMG458813 LWB458813:LWC458813 MFX458813:MFY458813 MPT458813:MPU458813 MZP458813:MZQ458813 NJL458813:NJM458813 NTH458813:NTI458813 ODD458813:ODE458813 OMZ458813:ONA458813 OWV458813:OWW458813 PGR458813:PGS458813 PQN458813:PQO458813 QAJ458813:QAK458813 QKF458813:QKG458813 QUB458813:QUC458813 RDX458813:RDY458813 RNT458813:RNU458813 RXP458813:RXQ458813 SHL458813:SHM458813 SRH458813:SRI458813 TBD458813:TBE458813 TKZ458813:TLA458813 TUV458813:TUW458813 UER458813:UES458813 UON458813:UOO458813 UYJ458813:UYK458813 VIF458813:VIG458813 VSB458813:VSC458813 WBX458813:WBY458813 WLT458813:WLU458813 WVP458813:WVQ458813 H524349:I524349 JD524349:JE524349 SZ524349:TA524349 ACV524349:ACW524349 AMR524349:AMS524349 AWN524349:AWO524349 BGJ524349:BGK524349 BQF524349:BQG524349 CAB524349:CAC524349 CJX524349:CJY524349 CTT524349:CTU524349 DDP524349:DDQ524349 DNL524349:DNM524349 DXH524349:DXI524349 EHD524349:EHE524349 EQZ524349:ERA524349 FAV524349:FAW524349 FKR524349:FKS524349 FUN524349:FUO524349 GEJ524349:GEK524349 GOF524349:GOG524349 GYB524349:GYC524349 HHX524349:HHY524349 HRT524349:HRU524349 IBP524349:IBQ524349 ILL524349:ILM524349 IVH524349:IVI524349 JFD524349:JFE524349 JOZ524349:JPA524349 JYV524349:JYW524349 KIR524349:KIS524349 KSN524349:KSO524349 LCJ524349:LCK524349 LMF524349:LMG524349 LWB524349:LWC524349 MFX524349:MFY524349 MPT524349:MPU524349 MZP524349:MZQ524349 NJL524349:NJM524349 NTH524349:NTI524349 ODD524349:ODE524349 OMZ524349:ONA524349 OWV524349:OWW524349 PGR524349:PGS524349 PQN524349:PQO524349 QAJ524349:QAK524349 QKF524349:QKG524349 QUB524349:QUC524349 RDX524349:RDY524349 RNT524349:RNU524349 RXP524349:RXQ524349 SHL524349:SHM524349 SRH524349:SRI524349 TBD524349:TBE524349 TKZ524349:TLA524349 TUV524349:TUW524349 UER524349:UES524349 UON524349:UOO524349 UYJ524349:UYK524349 VIF524349:VIG524349 VSB524349:VSC524349 WBX524349:WBY524349 WLT524349:WLU524349 WVP524349:WVQ524349 H589885:I589885 JD589885:JE589885 SZ589885:TA589885 ACV589885:ACW589885 AMR589885:AMS589885 AWN589885:AWO589885 BGJ589885:BGK589885 BQF589885:BQG589885 CAB589885:CAC589885 CJX589885:CJY589885 CTT589885:CTU589885 DDP589885:DDQ589885 DNL589885:DNM589885 DXH589885:DXI589885 EHD589885:EHE589885 EQZ589885:ERA589885 FAV589885:FAW589885 FKR589885:FKS589885 FUN589885:FUO589885 GEJ589885:GEK589885 GOF589885:GOG589885 GYB589885:GYC589885 HHX589885:HHY589885 HRT589885:HRU589885 IBP589885:IBQ589885 ILL589885:ILM589885 IVH589885:IVI589885 JFD589885:JFE589885 JOZ589885:JPA589885 JYV589885:JYW589885 KIR589885:KIS589885 KSN589885:KSO589885 LCJ589885:LCK589885 LMF589885:LMG589885 LWB589885:LWC589885 MFX589885:MFY589885 MPT589885:MPU589885 MZP589885:MZQ589885 NJL589885:NJM589885 NTH589885:NTI589885 ODD589885:ODE589885 OMZ589885:ONA589885 OWV589885:OWW589885 PGR589885:PGS589885 PQN589885:PQO589885 QAJ589885:QAK589885 QKF589885:QKG589885 QUB589885:QUC589885 RDX589885:RDY589885 RNT589885:RNU589885 RXP589885:RXQ589885 SHL589885:SHM589885 SRH589885:SRI589885 TBD589885:TBE589885 TKZ589885:TLA589885 TUV589885:TUW589885 UER589885:UES589885 UON589885:UOO589885 UYJ589885:UYK589885 VIF589885:VIG589885 VSB589885:VSC589885 WBX589885:WBY589885 WLT589885:WLU589885 WVP589885:WVQ589885 H655421:I655421 JD655421:JE655421 SZ655421:TA655421 ACV655421:ACW655421 AMR655421:AMS655421 AWN655421:AWO655421 BGJ655421:BGK655421 BQF655421:BQG655421 CAB655421:CAC655421 CJX655421:CJY655421 CTT655421:CTU655421 DDP655421:DDQ655421 DNL655421:DNM655421 DXH655421:DXI655421 EHD655421:EHE655421 EQZ655421:ERA655421 FAV655421:FAW655421 FKR655421:FKS655421 FUN655421:FUO655421 GEJ655421:GEK655421 GOF655421:GOG655421 GYB655421:GYC655421 HHX655421:HHY655421 HRT655421:HRU655421 IBP655421:IBQ655421 ILL655421:ILM655421 IVH655421:IVI655421 JFD655421:JFE655421 JOZ655421:JPA655421 JYV655421:JYW655421 KIR655421:KIS655421 KSN655421:KSO655421 LCJ655421:LCK655421 LMF655421:LMG655421 LWB655421:LWC655421 MFX655421:MFY655421 MPT655421:MPU655421 MZP655421:MZQ655421 NJL655421:NJM655421 NTH655421:NTI655421 ODD655421:ODE655421 OMZ655421:ONA655421 OWV655421:OWW655421 PGR655421:PGS655421 PQN655421:PQO655421 QAJ655421:QAK655421 QKF655421:QKG655421 QUB655421:QUC655421 RDX655421:RDY655421 RNT655421:RNU655421 RXP655421:RXQ655421 SHL655421:SHM655421 SRH655421:SRI655421 TBD655421:TBE655421 TKZ655421:TLA655421 TUV655421:TUW655421 UER655421:UES655421 UON655421:UOO655421 UYJ655421:UYK655421 VIF655421:VIG655421 VSB655421:VSC655421 WBX655421:WBY655421 WLT655421:WLU655421 WVP655421:WVQ655421 H720957:I720957 JD720957:JE720957 SZ720957:TA720957 ACV720957:ACW720957 AMR720957:AMS720957 AWN720957:AWO720957 BGJ720957:BGK720957 BQF720957:BQG720957 CAB720957:CAC720957 CJX720957:CJY720957 CTT720957:CTU720957 DDP720957:DDQ720957 DNL720957:DNM720957 DXH720957:DXI720957 EHD720957:EHE720957 EQZ720957:ERA720957 FAV720957:FAW720957 FKR720957:FKS720957 FUN720957:FUO720957 GEJ720957:GEK720957 GOF720957:GOG720957 GYB720957:GYC720957 HHX720957:HHY720957 HRT720957:HRU720957 IBP720957:IBQ720957 ILL720957:ILM720957 IVH720957:IVI720957 JFD720957:JFE720957 JOZ720957:JPA720957 JYV720957:JYW720957 KIR720957:KIS720957 KSN720957:KSO720957 LCJ720957:LCK720957 LMF720957:LMG720957 LWB720957:LWC720957 MFX720957:MFY720957 MPT720957:MPU720957 MZP720957:MZQ720957 NJL720957:NJM720957 NTH720957:NTI720957 ODD720957:ODE720957 OMZ720957:ONA720957 OWV720957:OWW720957 PGR720957:PGS720957 PQN720957:PQO720957 QAJ720957:QAK720957 QKF720957:QKG720957 QUB720957:QUC720957 RDX720957:RDY720957 RNT720957:RNU720957 RXP720957:RXQ720957 SHL720957:SHM720957 SRH720957:SRI720957 TBD720957:TBE720957 TKZ720957:TLA720957 TUV720957:TUW720957 UER720957:UES720957 UON720957:UOO720957 UYJ720957:UYK720957 VIF720957:VIG720957 VSB720957:VSC720957 WBX720957:WBY720957 WLT720957:WLU720957 WVP720957:WVQ720957 H786493:I786493 JD786493:JE786493 SZ786493:TA786493 ACV786493:ACW786493 AMR786493:AMS786493 AWN786493:AWO786493 BGJ786493:BGK786493 BQF786493:BQG786493 CAB786493:CAC786493 CJX786493:CJY786493 CTT786493:CTU786493 DDP786493:DDQ786493 DNL786493:DNM786493 DXH786493:DXI786493 EHD786493:EHE786493 EQZ786493:ERA786493 FAV786493:FAW786493 FKR786493:FKS786493 FUN786493:FUO786493 GEJ786493:GEK786493 GOF786493:GOG786493 GYB786493:GYC786493 HHX786493:HHY786493 HRT786493:HRU786493 IBP786493:IBQ786493 ILL786493:ILM786493 IVH786493:IVI786493 JFD786493:JFE786493 JOZ786493:JPA786493 JYV786493:JYW786493 KIR786493:KIS786493 KSN786493:KSO786493 LCJ786493:LCK786493 LMF786493:LMG786493 LWB786493:LWC786493 MFX786493:MFY786493 MPT786493:MPU786493 MZP786493:MZQ786493 NJL786493:NJM786493 NTH786493:NTI786493 ODD786493:ODE786493 OMZ786493:ONA786493 OWV786493:OWW786493 PGR786493:PGS786493 PQN786493:PQO786493 QAJ786493:QAK786493 QKF786493:QKG786493 QUB786493:QUC786493 RDX786493:RDY786493 RNT786493:RNU786493 RXP786493:RXQ786493 SHL786493:SHM786493 SRH786493:SRI786493 TBD786493:TBE786493 TKZ786493:TLA786493 TUV786493:TUW786493 UER786493:UES786493 UON786493:UOO786493 UYJ786493:UYK786493 VIF786493:VIG786493 VSB786493:VSC786493 WBX786493:WBY786493 WLT786493:WLU786493 WVP786493:WVQ786493 H852029:I852029 JD852029:JE852029 SZ852029:TA852029 ACV852029:ACW852029 AMR852029:AMS852029 AWN852029:AWO852029 BGJ852029:BGK852029 BQF852029:BQG852029 CAB852029:CAC852029 CJX852029:CJY852029 CTT852029:CTU852029 DDP852029:DDQ852029 DNL852029:DNM852029 DXH852029:DXI852029 EHD852029:EHE852029 EQZ852029:ERA852029 FAV852029:FAW852029 FKR852029:FKS852029 FUN852029:FUO852029 GEJ852029:GEK852029 GOF852029:GOG852029 GYB852029:GYC852029 HHX852029:HHY852029 HRT852029:HRU852029 IBP852029:IBQ852029 ILL852029:ILM852029 IVH852029:IVI852029 JFD852029:JFE852029 JOZ852029:JPA852029 JYV852029:JYW852029 KIR852029:KIS852029 KSN852029:KSO852029 LCJ852029:LCK852029 LMF852029:LMG852029 LWB852029:LWC852029 MFX852029:MFY852029 MPT852029:MPU852029 MZP852029:MZQ852029 NJL852029:NJM852029 NTH852029:NTI852029 ODD852029:ODE852029 OMZ852029:ONA852029 OWV852029:OWW852029 PGR852029:PGS852029 PQN852029:PQO852029 QAJ852029:QAK852029 QKF852029:QKG852029 QUB852029:QUC852029 RDX852029:RDY852029 RNT852029:RNU852029 RXP852029:RXQ852029 SHL852029:SHM852029 SRH852029:SRI852029 TBD852029:TBE852029 TKZ852029:TLA852029 TUV852029:TUW852029 UER852029:UES852029 UON852029:UOO852029 UYJ852029:UYK852029 VIF852029:VIG852029 VSB852029:VSC852029 WBX852029:WBY852029 WLT852029:WLU852029 WVP852029:WVQ852029 H917565:I917565 JD917565:JE917565 SZ917565:TA917565 ACV917565:ACW917565 AMR917565:AMS917565 AWN917565:AWO917565 BGJ917565:BGK917565 BQF917565:BQG917565 CAB917565:CAC917565 CJX917565:CJY917565 CTT917565:CTU917565 DDP917565:DDQ917565 DNL917565:DNM917565 DXH917565:DXI917565 EHD917565:EHE917565 EQZ917565:ERA917565 FAV917565:FAW917565 FKR917565:FKS917565 FUN917565:FUO917565 GEJ917565:GEK917565 GOF917565:GOG917565 GYB917565:GYC917565 HHX917565:HHY917565 HRT917565:HRU917565 IBP917565:IBQ917565 ILL917565:ILM917565 IVH917565:IVI917565 JFD917565:JFE917565 JOZ917565:JPA917565 JYV917565:JYW917565 KIR917565:KIS917565 KSN917565:KSO917565 LCJ917565:LCK917565 LMF917565:LMG917565 LWB917565:LWC917565 MFX917565:MFY917565 MPT917565:MPU917565 MZP917565:MZQ917565 NJL917565:NJM917565 NTH917565:NTI917565 ODD917565:ODE917565 OMZ917565:ONA917565 OWV917565:OWW917565 PGR917565:PGS917565 PQN917565:PQO917565 QAJ917565:QAK917565 QKF917565:QKG917565 QUB917565:QUC917565 RDX917565:RDY917565 RNT917565:RNU917565 RXP917565:RXQ917565 SHL917565:SHM917565 SRH917565:SRI917565 TBD917565:TBE917565 TKZ917565:TLA917565 TUV917565:TUW917565 UER917565:UES917565 UON917565:UOO917565 UYJ917565:UYK917565 VIF917565:VIG917565 VSB917565:VSC917565 WBX917565:WBY917565 WLT917565:WLU917565 WVP917565:WVQ917565 H983101:I983101 JD983101:JE983101 SZ983101:TA983101 ACV983101:ACW983101 AMR983101:AMS983101 AWN983101:AWO983101 BGJ983101:BGK983101 BQF983101:BQG983101 CAB983101:CAC983101 CJX983101:CJY983101 CTT983101:CTU983101 DDP983101:DDQ983101 DNL983101:DNM983101 DXH983101:DXI983101 EHD983101:EHE983101 EQZ983101:ERA983101 FAV983101:FAW983101 FKR983101:FKS983101 FUN983101:FUO983101 GEJ983101:GEK983101 GOF983101:GOG983101 GYB983101:GYC983101 HHX983101:HHY983101 HRT983101:HRU983101 IBP983101:IBQ983101 ILL983101:ILM983101 IVH983101:IVI983101 JFD983101:JFE983101 JOZ983101:JPA983101 JYV983101:JYW983101 KIR983101:KIS983101 KSN983101:KSO983101 LCJ983101:LCK983101 LMF983101:LMG983101 LWB983101:LWC983101 MFX983101:MFY983101 MPT983101:MPU983101 MZP983101:MZQ983101 NJL983101:NJM983101 NTH983101:NTI983101 ODD983101:ODE983101 OMZ983101:ONA983101 OWV983101:OWW983101 PGR983101:PGS983101 PQN983101:PQO983101 QAJ983101:QAK983101 QKF983101:QKG983101 QUB983101:QUC983101 RDX983101:RDY983101 RNT983101:RNU983101 RXP983101:RXQ983101 SHL983101:SHM983101 SRH983101:SRI983101 TBD983101:TBE983101 TKZ983101:TLA983101 TUV983101:TUW983101 UER983101:UES983101 UON983101:UOO983101 UYJ983101:UYK983101 VIF983101:VIG983101 VSB983101:VSC983101 WBX983101:WBY983101 WLT983101:WLU983101 WVP983101:WVQ983101 H46:I51 JD46:JE51 SZ46:TA51 ACV46:ACW51 AMR46:AMS51 AWN46:AWO51 BGJ46:BGK51 BQF46:BQG51 CAB46:CAC51 CJX46:CJY51 CTT46:CTU51 DDP46:DDQ51 DNL46:DNM51 DXH46:DXI51 EHD46:EHE51 EQZ46:ERA51 FAV46:FAW51 FKR46:FKS51 FUN46:FUO51 GEJ46:GEK51 GOF46:GOG51 GYB46:GYC51 HHX46:HHY51 HRT46:HRU51 IBP46:IBQ51 ILL46:ILM51 IVH46:IVI51 JFD46:JFE51 JOZ46:JPA51 JYV46:JYW51 KIR46:KIS51 KSN46:KSO51 LCJ46:LCK51 LMF46:LMG51 LWB46:LWC51 MFX46:MFY51 MPT46:MPU51 MZP46:MZQ51 NJL46:NJM51 NTH46:NTI51 ODD46:ODE51 OMZ46:ONA51 OWV46:OWW51 PGR46:PGS51 PQN46:PQO51 QAJ46:QAK51 QKF46:QKG51 QUB46:QUC51 RDX46:RDY51 RNT46:RNU51 RXP46:RXQ51 SHL46:SHM51 SRH46:SRI51 TBD46:TBE51 TKZ46:TLA51 TUV46:TUW51 UER46:UES51 UON46:UOO51 UYJ46:UYK51 VIF46:VIG51 VSB46:VSC51 WBX46:WBY51 WLT46:WLU51 WVP46:WVQ51 H65582:I65587 JD65582:JE65587 SZ65582:TA65587 ACV65582:ACW65587 AMR65582:AMS65587 AWN65582:AWO65587 BGJ65582:BGK65587 BQF65582:BQG65587 CAB65582:CAC65587 CJX65582:CJY65587 CTT65582:CTU65587 DDP65582:DDQ65587 DNL65582:DNM65587 DXH65582:DXI65587 EHD65582:EHE65587 EQZ65582:ERA65587 FAV65582:FAW65587 FKR65582:FKS65587 FUN65582:FUO65587 GEJ65582:GEK65587 GOF65582:GOG65587 GYB65582:GYC65587 HHX65582:HHY65587 HRT65582:HRU65587 IBP65582:IBQ65587 ILL65582:ILM65587 IVH65582:IVI65587 JFD65582:JFE65587 JOZ65582:JPA65587 JYV65582:JYW65587 KIR65582:KIS65587 KSN65582:KSO65587 LCJ65582:LCK65587 LMF65582:LMG65587 LWB65582:LWC65587 MFX65582:MFY65587 MPT65582:MPU65587 MZP65582:MZQ65587 NJL65582:NJM65587 NTH65582:NTI65587 ODD65582:ODE65587 OMZ65582:ONA65587 OWV65582:OWW65587 PGR65582:PGS65587 PQN65582:PQO65587 QAJ65582:QAK65587 QKF65582:QKG65587 QUB65582:QUC65587 RDX65582:RDY65587 RNT65582:RNU65587 RXP65582:RXQ65587 SHL65582:SHM65587 SRH65582:SRI65587 TBD65582:TBE65587 TKZ65582:TLA65587 TUV65582:TUW65587 UER65582:UES65587 UON65582:UOO65587 UYJ65582:UYK65587 VIF65582:VIG65587 VSB65582:VSC65587 WBX65582:WBY65587 WLT65582:WLU65587 WVP65582:WVQ65587 H131118:I131123 JD131118:JE131123 SZ131118:TA131123 ACV131118:ACW131123 AMR131118:AMS131123 AWN131118:AWO131123 BGJ131118:BGK131123 BQF131118:BQG131123 CAB131118:CAC131123 CJX131118:CJY131123 CTT131118:CTU131123 DDP131118:DDQ131123 DNL131118:DNM131123 DXH131118:DXI131123 EHD131118:EHE131123 EQZ131118:ERA131123 FAV131118:FAW131123 FKR131118:FKS131123 FUN131118:FUO131123 GEJ131118:GEK131123 GOF131118:GOG131123 GYB131118:GYC131123 HHX131118:HHY131123 HRT131118:HRU131123 IBP131118:IBQ131123 ILL131118:ILM131123 IVH131118:IVI131123 JFD131118:JFE131123 JOZ131118:JPA131123 JYV131118:JYW131123 KIR131118:KIS131123 KSN131118:KSO131123 LCJ131118:LCK131123 LMF131118:LMG131123 LWB131118:LWC131123 MFX131118:MFY131123 MPT131118:MPU131123 MZP131118:MZQ131123 NJL131118:NJM131123 NTH131118:NTI131123 ODD131118:ODE131123 OMZ131118:ONA131123 OWV131118:OWW131123 PGR131118:PGS131123 PQN131118:PQO131123 QAJ131118:QAK131123 QKF131118:QKG131123 QUB131118:QUC131123 RDX131118:RDY131123 RNT131118:RNU131123 RXP131118:RXQ131123 SHL131118:SHM131123 SRH131118:SRI131123 TBD131118:TBE131123 TKZ131118:TLA131123 TUV131118:TUW131123 UER131118:UES131123 UON131118:UOO131123 UYJ131118:UYK131123 VIF131118:VIG131123 VSB131118:VSC131123 WBX131118:WBY131123 WLT131118:WLU131123 WVP131118:WVQ131123 H196654:I196659 JD196654:JE196659 SZ196654:TA196659 ACV196654:ACW196659 AMR196654:AMS196659 AWN196654:AWO196659 BGJ196654:BGK196659 BQF196654:BQG196659 CAB196654:CAC196659 CJX196654:CJY196659 CTT196654:CTU196659 DDP196654:DDQ196659 DNL196654:DNM196659 DXH196654:DXI196659 EHD196654:EHE196659 EQZ196654:ERA196659 FAV196654:FAW196659 FKR196654:FKS196659 FUN196654:FUO196659 GEJ196654:GEK196659 GOF196654:GOG196659 GYB196654:GYC196659 HHX196654:HHY196659 HRT196654:HRU196659 IBP196654:IBQ196659 ILL196654:ILM196659 IVH196654:IVI196659 JFD196654:JFE196659 JOZ196654:JPA196659 JYV196654:JYW196659 KIR196654:KIS196659 KSN196654:KSO196659 LCJ196654:LCK196659 LMF196654:LMG196659 LWB196654:LWC196659 MFX196654:MFY196659 MPT196654:MPU196659 MZP196654:MZQ196659 NJL196654:NJM196659 NTH196654:NTI196659 ODD196654:ODE196659 OMZ196654:ONA196659 OWV196654:OWW196659 PGR196654:PGS196659 PQN196654:PQO196659 QAJ196654:QAK196659 QKF196654:QKG196659 QUB196654:QUC196659 RDX196654:RDY196659 RNT196654:RNU196659 RXP196654:RXQ196659 SHL196654:SHM196659 SRH196654:SRI196659 TBD196654:TBE196659 TKZ196654:TLA196659 TUV196654:TUW196659 UER196654:UES196659 UON196654:UOO196659 UYJ196654:UYK196659 VIF196654:VIG196659 VSB196654:VSC196659 WBX196654:WBY196659 WLT196654:WLU196659 WVP196654:WVQ196659 H262190:I262195 JD262190:JE262195 SZ262190:TA262195 ACV262190:ACW262195 AMR262190:AMS262195 AWN262190:AWO262195 BGJ262190:BGK262195 BQF262190:BQG262195 CAB262190:CAC262195 CJX262190:CJY262195 CTT262190:CTU262195 DDP262190:DDQ262195 DNL262190:DNM262195 DXH262190:DXI262195 EHD262190:EHE262195 EQZ262190:ERA262195 FAV262190:FAW262195 FKR262190:FKS262195 FUN262190:FUO262195 GEJ262190:GEK262195 GOF262190:GOG262195 GYB262190:GYC262195 HHX262190:HHY262195 HRT262190:HRU262195 IBP262190:IBQ262195 ILL262190:ILM262195 IVH262190:IVI262195 JFD262190:JFE262195 JOZ262190:JPA262195 JYV262190:JYW262195 KIR262190:KIS262195 KSN262190:KSO262195 LCJ262190:LCK262195 LMF262190:LMG262195 LWB262190:LWC262195 MFX262190:MFY262195 MPT262190:MPU262195 MZP262190:MZQ262195 NJL262190:NJM262195 NTH262190:NTI262195 ODD262190:ODE262195 OMZ262190:ONA262195 OWV262190:OWW262195 PGR262190:PGS262195 PQN262190:PQO262195 QAJ262190:QAK262195 QKF262190:QKG262195 QUB262190:QUC262195 RDX262190:RDY262195 RNT262190:RNU262195 RXP262190:RXQ262195 SHL262190:SHM262195 SRH262190:SRI262195 TBD262190:TBE262195 TKZ262190:TLA262195 TUV262190:TUW262195 UER262190:UES262195 UON262190:UOO262195 UYJ262190:UYK262195 VIF262190:VIG262195 VSB262190:VSC262195 WBX262190:WBY262195 WLT262190:WLU262195 WVP262190:WVQ262195 H327726:I327731 JD327726:JE327731 SZ327726:TA327731 ACV327726:ACW327731 AMR327726:AMS327731 AWN327726:AWO327731 BGJ327726:BGK327731 BQF327726:BQG327731 CAB327726:CAC327731 CJX327726:CJY327731 CTT327726:CTU327731 DDP327726:DDQ327731 DNL327726:DNM327731 DXH327726:DXI327731 EHD327726:EHE327731 EQZ327726:ERA327731 FAV327726:FAW327731 FKR327726:FKS327731 FUN327726:FUO327731 GEJ327726:GEK327731 GOF327726:GOG327731 GYB327726:GYC327731 HHX327726:HHY327731 HRT327726:HRU327731 IBP327726:IBQ327731 ILL327726:ILM327731 IVH327726:IVI327731 JFD327726:JFE327731 JOZ327726:JPA327731 JYV327726:JYW327731 KIR327726:KIS327731 KSN327726:KSO327731 LCJ327726:LCK327731 LMF327726:LMG327731 LWB327726:LWC327731 MFX327726:MFY327731 MPT327726:MPU327731 MZP327726:MZQ327731 NJL327726:NJM327731 NTH327726:NTI327731 ODD327726:ODE327731 OMZ327726:ONA327731 OWV327726:OWW327731 PGR327726:PGS327731 PQN327726:PQO327731 QAJ327726:QAK327731 QKF327726:QKG327731 QUB327726:QUC327731 RDX327726:RDY327731 RNT327726:RNU327731 RXP327726:RXQ327731 SHL327726:SHM327731 SRH327726:SRI327731 TBD327726:TBE327731 TKZ327726:TLA327731 TUV327726:TUW327731 UER327726:UES327731 UON327726:UOO327731 UYJ327726:UYK327731 VIF327726:VIG327731 VSB327726:VSC327731 WBX327726:WBY327731 WLT327726:WLU327731 WVP327726:WVQ327731 H393262:I393267 JD393262:JE393267 SZ393262:TA393267 ACV393262:ACW393267 AMR393262:AMS393267 AWN393262:AWO393267 BGJ393262:BGK393267 BQF393262:BQG393267 CAB393262:CAC393267 CJX393262:CJY393267 CTT393262:CTU393267 DDP393262:DDQ393267 DNL393262:DNM393267 DXH393262:DXI393267 EHD393262:EHE393267 EQZ393262:ERA393267 FAV393262:FAW393267 FKR393262:FKS393267 FUN393262:FUO393267 GEJ393262:GEK393267 GOF393262:GOG393267 GYB393262:GYC393267 HHX393262:HHY393267 HRT393262:HRU393267 IBP393262:IBQ393267 ILL393262:ILM393267 IVH393262:IVI393267 JFD393262:JFE393267 JOZ393262:JPA393267 JYV393262:JYW393267 KIR393262:KIS393267 KSN393262:KSO393267 LCJ393262:LCK393267 LMF393262:LMG393267 LWB393262:LWC393267 MFX393262:MFY393267 MPT393262:MPU393267 MZP393262:MZQ393267 NJL393262:NJM393267 NTH393262:NTI393267 ODD393262:ODE393267 OMZ393262:ONA393267 OWV393262:OWW393267 PGR393262:PGS393267 PQN393262:PQO393267 QAJ393262:QAK393267 QKF393262:QKG393267 QUB393262:QUC393267 RDX393262:RDY393267 RNT393262:RNU393267 RXP393262:RXQ393267 SHL393262:SHM393267 SRH393262:SRI393267 TBD393262:TBE393267 TKZ393262:TLA393267 TUV393262:TUW393267 UER393262:UES393267 UON393262:UOO393267 UYJ393262:UYK393267 VIF393262:VIG393267 VSB393262:VSC393267 WBX393262:WBY393267 WLT393262:WLU393267 WVP393262:WVQ393267 H458798:I458803 JD458798:JE458803 SZ458798:TA458803 ACV458798:ACW458803 AMR458798:AMS458803 AWN458798:AWO458803 BGJ458798:BGK458803 BQF458798:BQG458803 CAB458798:CAC458803 CJX458798:CJY458803 CTT458798:CTU458803 DDP458798:DDQ458803 DNL458798:DNM458803 DXH458798:DXI458803 EHD458798:EHE458803 EQZ458798:ERA458803 FAV458798:FAW458803 FKR458798:FKS458803 FUN458798:FUO458803 GEJ458798:GEK458803 GOF458798:GOG458803 GYB458798:GYC458803 HHX458798:HHY458803 HRT458798:HRU458803 IBP458798:IBQ458803 ILL458798:ILM458803 IVH458798:IVI458803 JFD458798:JFE458803 JOZ458798:JPA458803 JYV458798:JYW458803 KIR458798:KIS458803 KSN458798:KSO458803 LCJ458798:LCK458803 LMF458798:LMG458803 LWB458798:LWC458803 MFX458798:MFY458803 MPT458798:MPU458803 MZP458798:MZQ458803 NJL458798:NJM458803 NTH458798:NTI458803 ODD458798:ODE458803 OMZ458798:ONA458803 OWV458798:OWW458803 PGR458798:PGS458803 PQN458798:PQO458803 QAJ458798:QAK458803 QKF458798:QKG458803 QUB458798:QUC458803 RDX458798:RDY458803 RNT458798:RNU458803 RXP458798:RXQ458803 SHL458798:SHM458803 SRH458798:SRI458803 TBD458798:TBE458803 TKZ458798:TLA458803 TUV458798:TUW458803 UER458798:UES458803 UON458798:UOO458803 UYJ458798:UYK458803 VIF458798:VIG458803 VSB458798:VSC458803 WBX458798:WBY458803 WLT458798:WLU458803 WVP458798:WVQ458803 H524334:I524339 JD524334:JE524339 SZ524334:TA524339 ACV524334:ACW524339 AMR524334:AMS524339 AWN524334:AWO524339 BGJ524334:BGK524339 BQF524334:BQG524339 CAB524334:CAC524339 CJX524334:CJY524339 CTT524334:CTU524339 DDP524334:DDQ524339 DNL524334:DNM524339 DXH524334:DXI524339 EHD524334:EHE524339 EQZ524334:ERA524339 FAV524334:FAW524339 FKR524334:FKS524339 FUN524334:FUO524339 GEJ524334:GEK524339 GOF524334:GOG524339 GYB524334:GYC524339 HHX524334:HHY524339 HRT524334:HRU524339 IBP524334:IBQ524339 ILL524334:ILM524339 IVH524334:IVI524339 JFD524334:JFE524339 JOZ524334:JPA524339 JYV524334:JYW524339 KIR524334:KIS524339 KSN524334:KSO524339 LCJ524334:LCK524339 LMF524334:LMG524339 LWB524334:LWC524339 MFX524334:MFY524339 MPT524334:MPU524339 MZP524334:MZQ524339 NJL524334:NJM524339 NTH524334:NTI524339 ODD524334:ODE524339 OMZ524334:ONA524339 OWV524334:OWW524339 PGR524334:PGS524339 PQN524334:PQO524339 QAJ524334:QAK524339 QKF524334:QKG524339 QUB524334:QUC524339 RDX524334:RDY524339 RNT524334:RNU524339 RXP524334:RXQ524339 SHL524334:SHM524339 SRH524334:SRI524339 TBD524334:TBE524339 TKZ524334:TLA524339 TUV524334:TUW524339 UER524334:UES524339 UON524334:UOO524339 UYJ524334:UYK524339 VIF524334:VIG524339 VSB524334:VSC524339 WBX524334:WBY524339 WLT524334:WLU524339 WVP524334:WVQ524339 H589870:I589875 JD589870:JE589875 SZ589870:TA589875 ACV589870:ACW589875 AMR589870:AMS589875 AWN589870:AWO589875 BGJ589870:BGK589875 BQF589870:BQG589875 CAB589870:CAC589875 CJX589870:CJY589875 CTT589870:CTU589875 DDP589870:DDQ589875 DNL589870:DNM589875 DXH589870:DXI589875 EHD589870:EHE589875 EQZ589870:ERA589875 FAV589870:FAW589875 FKR589870:FKS589875 FUN589870:FUO589875 GEJ589870:GEK589875 GOF589870:GOG589875 GYB589870:GYC589875 HHX589870:HHY589875 HRT589870:HRU589875 IBP589870:IBQ589875 ILL589870:ILM589875 IVH589870:IVI589875 JFD589870:JFE589875 JOZ589870:JPA589875 JYV589870:JYW589875 KIR589870:KIS589875 KSN589870:KSO589875 LCJ589870:LCK589875 LMF589870:LMG589875 LWB589870:LWC589875 MFX589870:MFY589875 MPT589870:MPU589875 MZP589870:MZQ589875 NJL589870:NJM589875 NTH589870:NTI589875 ODD589870:ODE589875 OMZ589870:ONA589875 OWV589870:OWW589875 PGR589870:PGS589875 PQN589870:PQO589875 QAJ589870:QAK589875 QKF589870:QKG589875 QUB589870:QUC589875 RDX589870:RDY589875 RNT589870:RNU589875 RXP589870:RXQ589875 SHL589870:SHM589875 SRH589870:SRI589875 TBD589870:TBE589875 TKZ589870:TLA589875 TUV589870:TUW589875 UER589870:UES589875 UON589870:UOO589875 UYJ589870:UYK589875 VIF589870:VIG589875 VSB589870:VSC589875 WBX589870:WBY589875 WLT589870:WLU589875 WVP589870:WVQ589875 H655406:I655411 JD655406:JE655411 SZ655406:TA655411 ACV655406:ACW655411 AMR655406:AMS655411 AWN655406:AWO655411 BGJ655406:BGK655411 BQF655406:BQG655411 CAB655406:CAC655411 CJX655406:CJY655411 CTT655406:CTU655411 DDP655406:DDQ655411 DNL655406:DNM655411 DXH655406:DXI655411 EHD655406:EHE655411 EQZ655406:ERA655411 FAV655406:FAW655411 FKR655406:FKS655411 FUN655406:FUO655411 GEJ655406:GEK655411 GOF655406:GOG655411 GYB655406:GYC655411 HHX655406:HHY655411 HRT655406:HRU655411 IBP655406:IBQ655411 ILL655406:ILM655411 IVH655406:IVI655411 JFD655406:JFE655411 JOZ655406:JPA655411 JYV655406:JYW655411 KIR655406:KIS655411 KSN655406:KSO655411 LCJ655406:LCK655411 LMF655406:LMG655411 LWB655406:LWC655411 MFX655406:MFY655411 MPT655406:MPU655411 MZP655406:MZQ655411 NJL655406:NJM655411 NTH655406:NTI655411 ODD655406:ODE655411 OMZ655406:ONA655411 OWV655406:OWW655411 PGR655406:PGS655411 PQN655406:PQO655411 QAJ655406:QAK655411 QKF655406:QKG655411 QUB655406:QUC655411 RDX655406:RDY655411 RNT655406:RNU655411 RXP655406:RXQ655411 SHL655406:SHM655411 SRH655406:SRI655411 TBD655406:TBE655411 TKZ655406:TLA655411 TUV655406:TUW655411 UER655406:UES655411 UON655406:UOO655411 UYJ655406:UYK655411 VIF655406:VIG655411 VSB655406:VSC655411 WBX655406:WBY655411 WLT655406:WLU655411 WVP655406:WVQ655411 H720942:I720947 JD720942:JE720947 SZ720942:TA720947 ACV720942:ACW720947 AMR720942:AMS720947 AWN720942:AWO720947 BGJ720942:BGK720947 BQF720942:BQG720947 CAB720942:CAC720947 CJX720942:CJY720947 CTT720942:CTU720947 DDP720942:DDQ720947 DNL720942:DNM720947 DXH720942:DXI720947 EHD720942:EHE720947 EQZ720942:ERA720947 FAV720942:FAW720947 FKR720942:FKS720947 FUN720942:FUO720947 GEJ720942:GEK720947 GOF720942:GOG720947 GYB720942:GYC720947 HHX720942:HHY720947 HRT720942:HRU720947 IBP720942:IBQ720947 ILL720942:ILM720947 IVH720942:IVI720947 JFD720942:JFE720947 JOZ720942:JPA720947 JYV720942:JYW720947 KIR720942:KIS720947 KSN720942:KSO720947 LCJ720942:LCK720947 LMF720942:LMG720947 LWB720942:LWC720947 MFX720942:MFY720947 MPT720942:MPU720947 MZP720942:MZQ720947 NJL720942:NJM720947 NTH720942:NTI720947 ODD720942:ODE720947 OMZ720942:ONA720947 OWV720942:OWW720947 PGR720942:PGS720947 PQN720942:PQO720947 QAJ720942:QAK720947 QKF720942:QKG720947 QUB720942:QUC720947 RDX720942:RDY720947 RNT720942:RNU720947 RXP720942:RXQ720947 SHL720942:SHM720947 SRH720942:SRI720947 TBD720942:TBE720947 TKZ720942:TLA720947 TUV720942:TUW720947 UER720942:UES720947 UON720942:UOO720947 UYJ720942:UYK720947 VIF720942:VIG720947 VSB720942:VSC720947 WBX720942:WBY720947 WLT720942:WLU720947 WVP720942:WVQ720947 H786478:I786483 JD786478:JE786483 SZ786478:TA786483 ACV786478:ACW786483 AMR786478:AMS786483 AWN786478:AWO786483 BGJ786478:BGK786483 BQF786478:BQG786483 CAB786478:CAC786483 CJX786478:CJY786483 CTT786478:CTU786483 DDP786478:DDQ786483 DNL786478:DNM786483 DXH786478:DXI786483 EHD786478:EHE786483 EQZ786478:ERA786483 FAV786478:FAW786483 FKR786478:FKS786483 FUN786478:FUO786483 GEJ786478:GEK786483 GOF786478:GOG786483 GYB786478:GYC786483 HHX786478:HHY786483 HRT786478:HRU786483 IBP786478:IBQ786483 ILL786478:ILM786483 IVH786478:IVI786483 JFD786478:JFE786483 JOZ786478:JPA786483 JYV786478:JYW786483 KIR786478:KIS786483 KSN786478:KSO786483 LCJ786478:LCK786483 LMF786478:LMG786483 LWB786478:LWC786483 MFX786478:MFY786483 MPT786478:MPU786483 MZP786478:MZQ786483 NJL786478:NJM786483 NTH786478:NTI786483 ODD786478:ODE786483 OMZ786478:ONA786483 OWV786478:OWW786483 PGR786478:PGS786483 PQN786478:PQO786483 QAJ786478:QAK786483 QKF786478:QKG786483 QUB786478:QUC786483 RDX786478:RDY786483 RNT786478:RNU786483 RXP786478:RXQ786483 SHL786478:SHM786483 SRH786478:SRI786483 TBD786478:TBE786483 TKZ786478:TLA786483 TUV786478:TUW786483 UER786478:UES786483 UON786478:UOO786483 UYJ786478:UYK786483 VIF786478:VIG786483 VSB786478:VSC786483 WBX786478:WBY786483 WLT786478:WLU786483 WVP786478:WVQ786483 H852014:I852019 JD852014:JE852019 SZ852014:TA852019 ACV852014:ACW852019 AMR852014:AMS852019 AWN852014:AWO852019 BGJ852014:BGK852019 BQF852014:BQG852019 CAB852014:CAC852019 CJX852014:CJY852019 CTT852014:CTU852019 DDP852014:DDQ852019 DNL852014:DNM852019 DXH852014:DXI852019 EHD852014:EHE852019 EQZ852014:ERA852019 FAV852014:FAW852019 FKR852014:FKS852019 FUN852014:FUO852019 GEJ852014:GEK852019 GOF852014:GOG852019 GYB852014:GYC852019 HHX852014:HHY852019 HRT852014:HRU852019 IBP852014:IBQ852019 ILL852014:ILM852019 IVH852014:IVI852019 JFD852014:JFE852019 JOZ852014:JPA852019 JYV852014:JYW852019 KIR852014:KIS852019 KSN852014:KSO852019 LCJ852014:LCK852019 LMF852014:LMG852019 LWB852014:LWC852019 MFX852014:MFY852019 MPT852014:MPU852019 MZP852014:MZQ852019 NJL852014:NJM852019 NTH852014:NTI852019 ODD852014:ODE852019 OMZ852014:ONA852019 OWV852014:OWW852019 PGR852014:PGS852019 PQN852014:PQO852019 QAJ852014:QAK852019 QKF852014:QKG852019 QUB852014:QUC852019 RDX852014:RDY852019 RNT852014:RNU852019 RXP852014:RXQ852019 SHL852014:SHM852019 SRH852014:SRI852019 TBD852014:TBE852019 TKZ852014:TLA852019 TUV852014:TUW852019 UER852014:UES852019 UON852014:UOO852019 UYJ852014:UYK852019 VIF852014:VIG852019 VSB852014:VSC852019 WBX852014:WBY852019 WLT852014:WLU852019 WVP852014:WVQ852019 H917550:I917555 JD917550:JE917555 SZ917550:TA917555 ACV917550:ACW917555 AMR917550:AMS917555 AWN917550:AWO917555 BGJ917550:BGK917555 BQF917550:BQG917555 CAB917550:CAC917555 CJX917550:CJY917555 CTT917550:CTU917555 DDP917550:DDQ917555 DNL917550:DNM917555 DXH917550:DXI917555 EHD917550:EHE917555 EQZ917550:ERA917555 FAV917550:FAW917555 FKR917550:FKS917555 FUN917550:FUO917555 GEJ917550:GEK917555 GOF917550:GOG917555 GYB917550:GYC917555 HHX917550:HHY917555 HRT917550:HRU917555 IBP917550:IBQ917555 ILL917550:ILM917555 IVH917550:IVI917555 JFD917550:JFE917555 JOZ917550:JPA917555 JYV917550:JYW917555 KIR917550:KIS917555 KSN917550:KSO917555 LCJ917550:LCK917555 LMF917550:LMG917555 LWB917550:LWC917555 MFX917550:MFY917555 MPT917550:MPU917555 MZP917550:MZQ917555 NJL917550:NJM917555 NTH917550:NTI917555 ODD917550:ODE917555 OMZ917550:ONA917555 OWV917550:OWW917555 PGR917550:PGS917555 PQN917550:PQO917555 QAJ917550:QAK917555 QKF917550:QKG917555 QUB917550:QUC917555 RDX917550:RDY917555 RNT917550:RNU917555 RXP917550:RXQ917555 SHL917550:SHM917555 SRH917550:SRI917555 TBD917550:TBE917555 TKZ917550:TLA917555 TUV917550:TUW917555 UER917550:UES917555 UON917550:UOO917555 UYJ917550:UYK917555 VIF917550:VIG917555 VSB917550:VSC917555 WBX917550:WBY917555 WLT917550:WLU917555 WVP917550:WVQ917555 H983086:I983091 JD983086:JE983091 SZ983086:TA983091 ACV983086:ACW983091 AMR983086:AMS983091 AWN983086:AWO983091 BGJ983086:BGK983091 BQF983086:BQG983091 CAB983086:CAC983091 CJX983086:CJY983091 CTT983086:CTU983091 DDP983086:DDQ983091 DNL983086:DNM983091 DXH983086:DXI983091 EHD983086:EHE983091 EQZ983086:ERA983091 FAV983086:FAW983091 FKR983086:FKS983091 FUN983086:FUO983091 GEJ983086:GEK983091 GOF983086:GOG983091 GYB983086:GYC983091 HHX983086:HHY983091 HRT983086:HRU983091 IBP983086:IBQ983091 ILL983086:ILM983091 IVH983086:IVI983091 JFD983086:JFE983091 JOZ983086:JPA983091 JYV983086:JYW983091 KIR983086:KIS983091 KSN983086:KSO983091 LCJ983086:LCK983091 LMF983086:LMG983091 LWB983086:LWC983091 MFX983086:MFY983091 MPT983086:MPU983091 MZP983086:MZQ983091 NJL983086:NJM983091 NTH983086:NTI983091 ODD983086:ODE983091 OMZ983086:ONA983091 OWV983086:OWW983091 PGR983086:PGS983091 PQN983086:PQO983091 QAJ983086:QAK983091 QKF983086:QKG983091 QUB983086:QUC983091 RDX983086:RDY983091 RNT983086:RNU983091 RXP983086:RXQ983091 SHL983086:SHM983091 SRH983086:SRI983091 TBD983086:TBE983091 TKZ983086:TLA983091 TUV983086:TUW983091 UER983086:UES983091 UON983086:UOO983091 UYJ983086:UYK983091 VIF983086:VIG983091 VSB983086:VSC983091 WBX983086:WBY983091 WLT983086:WLU983091 WVP983086:WVQ983091 H37:I44 JD37:JE44 SZ37:TA44 ACV37:ACW44 AMR37:AMS44 AWN37:AWO44 BGJ37:BGK44 BQF37:BQG44 CAB37:CAC44 CJX37:CJY44 CTT37:CTU44 DDP37:DDQ44 DNL37:DNM44 DXH37:DXI44 EHD37:EHE44 EQZ37:ERA44 FAV37:FAW44 FKR37:FKS44 FUN37:FUO44 GEJ37:GEK44 GOF37:GOG44 GYB37:GYC44 HHX37:HHY44 HRT37:HRU44 IBP37:IBQ44 ILL37:ILM44 IVH37:IVI44 JFD37:JFE44 JOZ37:JPA44 JYV37:JYW44 KIR37:KIS44 KSN37:KSO44 LCJ37:LCK44 LMF37:LMG44 LWB37:LWC44 MFX37:MFY44 MPT37:MPU44 MZP37:MZQ44 NJL37:NJM44 NTH37:NTI44 ODD37:ODE44 OMZ37:ONA44 OWV37:OWW44 PGR37:PGS44 PQN37:PQO44 QAJ37:QAK44 QKF37:QKG44 QUB37:QUC44 RDX37:RDY44 RNT37:RNU44 RXP37:RXQ44 SHL37:SHM44 SRH37:SRI44 TBD37:TBE44 TKZ37:TLA44 TUV37:TUW44 UER37:UES44 UON37:UOO44 UYJ37:UYK44 VIF37:VIG44 VSB37:VSC44 WBX37:WBY44 WLT37:WLU44 WVP37:WVQ44 H65573:I65580 JD65573:JE65580 SZ65573:TA65580 ACV65573:ACW65580 AMR65573:AMS65580 AWN65573:AWO65580 BGJ65573:BGK65580 BQF65573:BQG65580 CAB65573:CAC65580 CJX65573:CJY65580 CTT65573:CTU65580 DDP65573:DDQ65580 DNL65573:DNM65580 DXH65573:DXI65580 EHD65573:EHE65580 EQZ65573:ERA65580 FAV65573:FAW65580 FKR65573:FKS65580 FUN65573:FUO65580 GEJ65573:GEK65580 GOF65573:GOG65580 GYB65573:GYC65580 HHX65573:HHY65580 HRT65573:HRU65580 IBP65573:IBQ65580 ILL65573:ILM65580 IVH65573:IVI65580 JFD65573:JFE65580 JOZ65573:JPA65580 JYV65573:JYW65580 KIR65573:KIS65580 KSN65573:KSO65580 LCJ65573:LCK65580 LMF65573:LMG65580 LWB65573:LWC65580 MFX65573:MFY65580 MPT65573:MPU65580 MZP65573:MZQ65580 NJL65573:NJM65580 NTH65573:NTI65580 ODD65573:ODE65580 OMZ65573:ONA65580 OWV65573:OWW65580 PGR65573:PGS65580 PQN65573:PQO65580 QAJ65573:QAK65580 QKF65573:QKG65580 QUB65573:QUC65580 RDX65573:RDY65580 RNT65573:RNU65580 RXP65573:RXQ65580 SHL65573:SHM65580 SRH65573:SRI65580 TBD65573:TBE65580 TKZ65573:TLA65580 TUV65573:TUW65580 UER65573:UES65580 UON65573:UOO65580 UYJ65573:UYK65580 VIF65573:VIG65580 VSB65573:VSC65580 WBX65573:WBY65580 WLT65573:WLU65580 WVP65573:WVQ65580 H131109:I131116 JD131109:JE131116 SZ131109:TA131116 ACV131109:ACW131116 AMR131109:AMS131116 AWN131109:AWO131116 BGJ131109:BGK131116 BQF131109:BQG131116 CAB131109:CAC131116 CJX131109:CJY131116 CTT131109:CTU131116 DDP131109:DDQ131116 DNL131109:DNM131116 DXH131109:DXI131116 EHD131109:EHE131116 EQZ131109:ERA131116 FAV131109:FAW131116 FKR131109:FKS131116 FUN131109:FUO131116 GEJ131109:GEK131116 GOF131109:GOG131116 GYB131109:GYC131116 HHX131109:HHY131116 HRT131109:HRU131116 IBP131109:IBQ131116 ILL131109:ILM131116 IVH131109:IVI131116 JFD131109:JFE131116 JOZ131109:JPA131116 JYV131109:JYW131116 KIR131109:KIS131116 KSN131109:KSO131116 LCJ131109:LCK131116 LMF131109:LMG131116 LWB131109:LWC131116 MFX131109:MFY131116 MPT131109:MPU131116 MZP131109:MZQ131116 NJL131109:NJM131116 NTH131109:NTI131116 ODD131109:ODE131116 OMZ131109:ONA131116 OWV131109:OWW131116 PGR131109:PGS131116 PQN131109:PQO131116 QAJ131109:QAK131116 QKF131109:QKG131116 QUB131109:QUC131116 RDX131109:RDY131116 RNT131109:RNU131116 RXP131109:RXQ131116 SHL131109:SHM131116 SRH131109:SRI131116 TBD131109:TBE131116 TKZ131109:TLA131116 TUV131109:TUW131116 UER131109:UES131116 UON131109:UOO131116 UYJ131109:UYK131116 VIF131109:VIG131116 VSB131109:VSC131116 WBX131109:WBY131116 WLT131109:WLU131116 WVP131109:WVQ131116 H196645:I196652 JD196645:JE196652 SZ196645:TA196652 ACV196645:ACW196652 AMR196645:AMS196652 AWN196645:AWO196652 BGJ196645:BGK196652 BQF196645:BQG196652 CAB196645:CAC196652 CJX196645:CJY196652 CTT196645:CTU196652 DDP196645:DDQ196652 DNL196645:DNM196652 DXH196645:DXI196652 EHD196645:EHE196652 EQZ196645:ERA196652 FAV196645:FAW196652 FKR196645:FKS196652 FUN196645:FUO196652 GEJ196645:GEK196652 GOF196645:GOG196652 GYB196645:GYC196652 HHX196645:HHY196652 HRT196645:HRU196652 IBP196645:IBQ196652 ILL196645:ILM196652 IVH196645:IVI196652 JFD196645:JFE196652 JOZ196645:JPA196652 JYV196645:JYW196652 KIR196645:KIS196652 KSN196645:KSO196652 LCJ196645:LCK196652 LMF196645:LMG196652 LWB196645:LWC196652 MFX196645:MFY196652 MPT196645:MPU196652 MZP196645:MZQ196652 NJL196645:NJM196652 NTH196645:NTI196652 ODD196645:ODE196652 OMZ196645:ONA196652 OWV196645:OWW196652 PGR196645:PGS196652 PQN196645:PQO196652 QAJ196645:QAK196652 QKF196645:QKG196652 QUB196645:QUC196652 RDX196645:RDY196652 RNT196645:RNU196652 RXP196645:RXQ196652 SHL196645:SHM196652 SRH196645:SRI196652 TBD196645:TBE196652 TKZ196645:TLA196652 TUV196645:TUW196652 UER196645:UES196652 UON196645:UOO196652 UYJ196645:UYK196652 VIF196645:VIG196652 VSB196645:VSC196652 WBX196645:WBY196652 WLT196645:WLU196652 WVP196645:WVQ196652 H262181:I262188 JD262181:JE262188 SZ262181:TA262188 ACV262181:ACW262188 AMR262181:AMS262188 AWN262181:AWO262188 BGJ262181:BGK262188 BQF262181:BQG262188 CAB262181:CAC262188 CJX262181:CJY262188 CTT262181:CTU262188 DDP262181:DDQ262188 DNL262181:DNM262188 DXH262181:DXI262188 EHD262181:EHE262188 EQZ262181:ERA262188 FAV262181:FAW262188 FKR262181:FKS262188 FUN262181:FUO262188 GEJ262181:GEK262188 GOF262181:GOG262188 GYB262181:GYC262188 HHX262181:HHY262188 HRT262181:HRU262188 IBP262181:IBQ262188 ILL262181:ILM262188 IVH262181:IVI262188 JFD262181:JFE262188 JOZ262181:JPA262188 JYV262181:JYW262188 KIR262181:KIS262188 KSN262181:KSO262188 LCJ262181:LCK262188 LMF262181:LMG262188 LWB262181:LWC262188 MFX262181:MFY262188 MPT262181:MPU262188 MZP262181:MZQ262188 NJL262181:NJM262188 NTH262181:NTI262188 ODD262181:ODE262188 OMZ262181:ONA262188 OWV262181:OWW262188 PGR262181:PGS262188 PQN262181:PQO262188 QAJ262181:QAK262188 QKF262181:QKG262188 QUB262181:QUC262188 RDX262181:RDY262188 RNT262181:RNU262188 RXP262181:RXQ262188 SHL262181:SHM262188 SRH262181:SRI262188 TBD262181:TBE262188 TKZ262181:TLA262188 TUV262181:TUW262188 UER262181:UES262188 UON262181:UOO262188 UYJ262181:UYK262188 VIF262181:VIG262188 VSB262181:VSC262188 WBX262181:WBY262188 WLT262181:WLU262188 WVP262181:WVQ262188 H327717:I327724 JD327717:JE327724 SZ327717:TA327724 ACV327717:ACW327724 AMR327717:AMS327724 AWN327717:AWO327724 BGJ327717:BGK327724 BQF327717:BQG327724 CAB327717:CAC327724 CJX327717:CJY327724 CTT327717:CTU327724 DDP327717:DDQ327724 DNL327717:DNM327724 DXH327717:DXI327724 EHD327717:EHE327724 EQZ327717:ERA327724 FAV327717:FAW327724 FKR327717:FKS327724 FUN327717:FUO327724 GEJ327717:GEK327724 GOF327717:GOG327724 GYB327717:GYC327724 HHX327717:HHY327724 HRT327717:HRU327724 IBP327717:IBQ327724 ILL327717:ILM327724 IVH327717:IVI327724 JFD327717:JFE327724 JOZ327717:JPA327724 JYV327717:JYW327724 KIR327717:KIS327724 KSN327717:KSO327724 LCJ327717:LCK327724 LMF327717:LMG327724 LWB327717:LWC327724 MFX327717:MFY327724 MPT327717:MPU327724 MZP327717:MZQ327724 NJL327717:NJM327724 NTH327717:NTI327724 ODD327717:ODE327724 OMZ327717:ONA327724 OWV327717:OWW327724 PGR327717:PGS327724 PQN327717:PQO327724 QAJ327717:QAK327724 QKF327717:QKG327724 QUB327717:QUC327724 RDX327717:RDY327724 RNT327717:RNU327724 RXP327717:RXQ327724 SHL327717:SHM327724 SRH327717:SRI327724 TBD327717:TBE327724 TKZ327717:TLA327724 TUV327717:TUW327724 UER327717:UES327724 UON327717:UOO327724 UYJ327717:UYK327724 VIF327717:VIG327724 VSB327717:VSC327724 WBX327717:WBY327724 WLT327717:WLU327724 WVP327717:WVQ327724 H393253:I393260 JD393253:JE393260 SZ393253:TA393260 ACV393253:ACW393260 AMR393253:AMS393260 AWN393253:AWO393260 BGJ393253:BGK393260 BQF393253:BQG393260 CAB393253:CAC393260 CJX393253:CJY393260 CTT393253:CTU393260 DDP393253:DDQ393260 DNL393253:DNM393260 DXH393253:DXI393260 EHD393253:EHE393260 EQZ393253:ERA393260 FAV393253:FAW393260 FKR393253:FKS393260 FUN393253:FUO393260 GEJ393253:GEK393260 GOF393253:GOG393260 GYB393253:GYC393260 HHX393253:HHY393260 HRT393253:HRU393260 IBP393253:IBQ393260 ILL393253:ILM393260 IVH393253:IVI393260 JFD393253:JFE393260 JOZ393253:JPA393260 JYV393253:JYW393260 KIR393253:KIS393260 KSN393253:KSO393260 LCJ393253:LCK393260 LMF393253:LMG393260 LWB393253:LWC393260 MFX393253:MFY393260 MPT393253:MPU393260 MZP393253:MZQ393260 NJL393253:NJM393260 NTH393253:NTI393260 ODD393253:ODE393260 OMZ393253:ONA393260 OWV393253:OWW393260 PGR393253:PGS393260 PQN393253:PQO393260 QAJ393253:QAK393260 QKF393253:QKG393260 QUB393253:QUC393260 RDX393253:RDY393260 RNT393253:RNU393260 RXP393253:RXQ393260 SHL393253:SHM393260 SRH393253:SRI393260 TBD393253:TBE393260 TKZ393253:TLA393260 TUV393253:TUW393260 UER393253:UES393260 UON393253:UOO393260 UYJ393253:UYK393260 VIF393253:VIG393260 VSB393253:VSC393260 WBX393253:WBY393260 WLT393253:WLU393260 WVP393253:WVQ393260 H458789:I458796 JD458789:JE458796 SZ458789:TA458796 ACV458789:ACW458796 AMR458789:AMS458796 AWN458789:AWO458796 BGJ458789:BGK458796 BQF458789:BQG458796 CAB458789:CAC458796 CJX458789:CJY458796 CTT458789:CTU458796 DDP458789:DDQ458796 DNL458789:DNM458796 DXH458789:DXI458796 EHD458789:EHE458796 EQZ458789:ERA458796 FAV458789:FAW458796 FKR458789:FKS458796 FUN458789:FUO458796 GEJ458789:GEK458796 GOF458789:GOG458796 GYB458789:GYC458796 HHX458789:HHY458796 HRT458789:HRU458796 IBP458789:IBQ458796 ILL458789:ILM458796 IVH458789:IVI458796 JFD458789:JFE458796 JOZ458789:JPA458796 JYV458789:JYW458796 KIR458789:KIS458796 KSN458789:KSO458796 LCJ458789:LCK458796 LMF458789:LMG458796 LWB458789:LWC458796 MFX458789:MFY458796 MPT458789:MPU458796 MZP458789:MZQ458796 NJL458789:NJM458796 NTH458789:NTI458796 ODD458789:ODE458796 OMZ458789:ONA458796 OWV458789:OWW458796 PGR458789:PGS458796 PQN458789:PQO458796 QAJ458789:QAK458796 QKF458789:QKG458796 QUB458789:QUC458796 RDX458789:RDY458796 RNT458789:RNU458796 RXP458789:RXQ458796 SHL458789:SHM458796 SRH458789:SRI458796 TBD458789:TBE458796 TKZ458789:TLA458796 TUV458789:TUW458796 UER458789:UES458796 UON458789:UOO458796 UYJ458789:UYK458796 VIF458789:VIG458796 VSB458789:VSC458796 WBX458789:WBY458796 WLT458789:WLU458796 WVP458789:WVQ458796 H524325:I524332 JD524325:JE524332 SZ524325:TA524332 ACV524325:ACW524332 AMR524325:AMS524332 AWN524325:AWO524332 BGJ524325:BGK524332 BQF524325:BQG524332 CAB524325:CAC524332 CJX524325:CJY524332 CTT524325:CTU524332 DDP524325:DDQ524332 DNL524325:DNM524332 DXH524325:DXI524332 EHD524325:EHE524332 EQZ524325:ERA524332 FAV524325:FAW524332 FKR524325:FKS524332 FUN524325:FUO524332 GEJ524325:GEK524332 GOF524325:GOG524332 GYB524325:GYC524332 HHX524325:HHY524332 HRT524325:HRU524332 IBP524325:IBQ524332 ILL524325:ILM524332 IVH524325:IVI524332 JFD524325:JFE524332 JOZ524325:JPA524332 JYV524325:JYW524332 KIR524325:KIS524332 KSN524325:KSO524332 LCJ524325:LCK524332 LMF524325:LMG524332 LWB524325:LWC524332 MFX524325:MFY524332 MPT524325:MPU524332 MZP524325:MZQ524332 NJL524325:NJM524332 NTH524325:NTI524332 ODD524325:ODE524332 OMZ524325:ONA524332 OWV524325:OWW524332 PGR524325:PGS524332 PQN524325:PQO524332 QAJ524325:QAK524332 QKF524325:QKG524332 QUB524325:QUC524332 RDX524325:RDY524332 RNT524325:RNU524332 RXP524325:RXQ524332 SHL524325:SHM524332 SRH524325:SRI524332 TBD524325:TBE524332 TKZ524325:TLA524332 TUV524325:TUW524332 UER524325:UES524332 UON524325:UOO524332 UYJ524325:UYK524332 VIF524325:VIG524332 VSB524325:VSC524332 WBX524325:WBY524332 WLT524325:WLU524332 WVP524325:WVQ524332 H589861:I589868 JD589861:JE589868 SZ589861:TA589868 ACV589861:ACW589868 AMR589861:AMS589868 AWN589861:AWO589868 BGJ589861:BGK589868 BQF589861:BQG589868 CAB589861:CAC589868 CJX589861:CJY589868 CTT589861:CTU589868 DDP589861:DDQ589868 DNL589861:DNM589868 DXH589861:DXI589868 EHD589861:EHE589868 EQZ589861:ERA589868 FAV589861:FAW589868 FKR589861:FKS589868 FUN589861:FUO589868 GEJ589861:GEK589868 GOF589861:GOG589868 GYB589861:GYC589868 HHX589861:HHY589868 HRT589861:HRU589868 IBP589861:IBQ589868 ILL589861:ILM589868 IVH589861:IVI589868 JFD589861:JFE589868 JOZ589861:JPA589868 JYV589861:JYW589868 KIR589861:KIS589868 KSN589861:KSO589868 LCJ589861:LCK589868 LMF589861:LMG589868 LWB589861:LWC589868 MFX589861:MFY589868 MPT589861:MPU589868 MZP589861:MZQ589868 NJL589861:NJM589868 NTH589861:NTI589868 ODD589861:ODE589868 OMZ589861:ONA589868 OWV589861:OWW589868 PGR589861:PGS589868 PQN589861:PQO589868 QAJ589861:QAK589868 QKF589861:QKG589868 QUB589861:QUC589868 RDX589861:RDY589868 RNT589861:RNU589868 RXP589861:RXQ589868 SHL589861:SHM589868 SRH589861:SRI589868 TBD589861:TBE589868 TKZ589861:TLA589868 TUV589861:TUW589868 UER589861:UES589868 UON589861:UOO589868 UYJ589861:UYK589868 VIF589861:VIG589868 VSB589861:VSC589868 WBX589861:WBY589868 WLT589861:WLU589868 WVP589861:WVQ589868 H655397:I655404 JD655397:JE655404 SZ655397:TA655404 ACV655397:ACW655404 AMR655397:AMS655404 AWN655397:AWO655404 BGJ655397:BGK655404 BQF655397:BQG655404 CAB655397:CAC655404 CJX655397:CJY655404 CTT655397:CTU655404 DDP655397:DDQ655404 DNL655397:DNM655404 DXH655397:DXI655404 EHD655397:EHE655404 EQZ655397:ERA655404 FAV655397:FAW655404 FKR655397:FKS655404 FUN655397:FUO655404 GEJ655397:GEK655404 GOF655397:GOG655404 GYB655397:GYC655404 HHX655397:HHY655404 HRT655397:HRU655404 IBP655397:IBQ655404 ILL655397:ILM655404 IVH655397:IVI655404 JFD655397:JFE655404 JOZ655397:JPA655404 JYV655397:JYW655404 KIR655397:KIS655404 KSN655397:KSO655404 LCJ655397:LCK655404 LMF655397:LMG655404 LWB655397:LWC655404 MFX655397:MFY655404 MPT655397:MPU655404 MZP655397:MZQ655404 NJL655397:NJM655404 NTH655397:NTI655404 ODD655397:ODE655404 OMZ655397:ONA655404 OWV655397:OWW655404 PGR655397:PGS655404 PQN655397:PQO655404 QAJ655397:QAK655404 QKF655397:QKG655404 QUB655397:QUC655404 RDX655397:RDY655404 RNT655397:RNU655404 RXP655397:RXQ655404 SHL655397:SHM655404 SRH655397:SRI655404 TBD655397:TBE655404 TKZ655397:TLA655404 TUV655397:TUW655404 UER655397:UES655404 UON655397:UOO655404 UYJ655397:UYK655404 VIF655397:VIG655404 VSB655397:VSC655404 WBX655397:WBY655404 WLT655397:WLU655404 WVP655397:WVQ655404 H720933:I720940 JD720933:JE720940 SZ720933:TA720940 ACV720933:ACW720940 AMR720933:AMS720940 AWN720933:AWO720940 BGJ720933:BGK720940 BQF720933:BQG720940 CAB720933:CAC720940 CJX720933:CJY720940 CTT720933:CTU720940 DDP720933:DDQ720940 DNL720933:DNM720940 DXH720933:DXI720940 EHD720933:EHE720940 EQZ720933:ERA720940 FAV720933:FAW720940 FKR720933:FKS720940 FUN720933:FUO720940 GEJ720933:GEK720940 GOF720933:GOG720940 GYB720933:GYC720940 HHX720933:HHY720940 HRT720933:HRU720940 IBP720933:IBQ720940 ILL720933:ILM720940 IVH720933:IVI720940 JFD720933:JFE720940 JOZ720933:JPA720940 JYV720933:JYW720940 KIR720933:KIS720940 KSN720933:KSO720940 LCJ720933:LCK720940 LMF720933:LMG720940 LWB720933:LWC720940 MFX720933:MFY720940 MPT720933:MPU720940 MZP720933:MZQ720940 NJL720933:NJM720940 NTH720933:NTI720940 ODD720933:ODE720940 OMZ720933:ONA720940 OWV720933:OWW720940 PGR720933:PGS720940 PQN720933:PQO720940 QAJ720933:QAK720940 QKF720933:QKG720940 QUB720933:QUC720940 RDX720933:RDY720940 RNT720933:RNU720940 RXP720933:RXQ720940 SHL720933:SHM720940 SRH720933:SRI720940 TBD720933:TBE720940 TKZ720933:TLA720940 TUV720933:TUW720940 UER720933:UES720940 UON720933:UOO720940 UYJ720933:UYK720940 VIF720933:VIG720940 VSB720933:VSC720940 WBX720933:WBY720940 WLT720933:WLU720940 WVP720933:WVQ720940 H786469:I786476 JD786469:JE786476 SZ786469:TA786476 ACV786469:ACW786476 AMR786469:AMS786476 AWN786469:AWO786476 BGJ786469:BGK786476 BQF786469:BQG786476 CAB786469:CAC786476 CJX786469:CJY786476 CTT786469:CTU786476 DDP786469:DDQ786476 DNL786469:DNM786476 DXH786469:DXI786476 EHD786469:EHE786476 EQZ786469:ERA786476 FAV786469:FAW786476 FKR786469:FKS786476 FUN786469:FUO786476 GEJ786469:GEK786476 GOF786469:GOG786476 GYB786469:GYC786476 HHX786469:HHY786476 HRT786469:HRU786476 IBP786469:IBQ786476 ILL786469:ILM786476 IVH786469:IVI786476 JFD786469:JFE786476 JOZ786469:JPA786476 JYV786469:JYW786476 KIR786469:KIS786476 KSN786469:KSO786476 LCJ786469:LCK786476 LMF786469:LMG786476 LWB786469:LWC786476 MFX786469:MFY786476 MPT786469:MPU786476 MZP786469:MZQ786476 NJL786469:NJM786476 NTH786469:NTI786476 ODD786469:ODE786476 OMZ786469:ONA786476 OWV786469:OWW786476 PGR786469:PGS786476 PQN786469:PQO786476 QAJ786469:QAK786476 QKF786469:QKG786476 QUB786469:QUC786476 RDX786469:RDY786476 RNT786469:RNU786476 RXP786469:RXQ786476 SHL786469:SHM786476 SRH786469:SRI786476 TBD786469:TBE786476 TKZ786469:TLA786476 TUV786469:TUW786476 UER786469:UES786476 UON786469:UOO786476 UYJ786469:UYK786476 VIF786469:VIG786476 VSB786469:VSC786476 WBX786469:WBY786476 WLT786469:WLU786476 WVP786469:WVQ786476 H852005:I852012 JD852005:JE852012 SZ852005:TA852012 ACV852005:ACW852012 AMR852005:AMS852012 AWN852005:AWO852012 BGJ852005:BGK852012 BQF852005:BQG852012 CAB852005:CAC852012 CJX852005:CJY852012 CTT852005:CTU852012 DDP852005:DDQ852012 DNL852005:DNM852012 DXH852005:DXI852012 EHD852005:EHE852012 EQZ852005:ERA852012 FAV852005:FAW852012 FKR852005:FKS852012 FUN852005:FUO852012 GEJ852005:GEK852012 GOF852005:GOG852012 GYB852005:GYC852012 HHX852005:HHY852012 HRT852005:HRU852012 IBP852005:IBQ852012 ILL852005:ILM852012 IVH852005:IVI852012 JFD852005:JFE852012 JOZ852005:JPA852012 JYV852005:JYW852012 KIR852005:KIS852012 KSN852005:KSO852012 LCJ852005:LCK852012 LMF852005:LMG852012 LWB852005:LWC852012 MFX852005:MFY852012 MPT852005:MPU852012 MZP852005:MZQ852012 NJL852005:NJM852012 NTH852005:NTI852012 ODD852005:ODE852012 OMZ852005:ONA852012 OWV852005:OWW852012 PGR852005:PGS852012 PQN852005:PQO852012 QAJ852005:QAK852012 QKF852005:QKG852012 QUB852005:QUC852012 RDX852005:RDY852012 RNT852005:RNU852012 RXP852005:RXQ852012 SHL852005:SHM852012 SRH852005:SRI852012 TBD852005:TBE852012 TKZ852005:TLA852012 TUV852005:TUW852012 UER852005:UES852012 UON852005:UOO852012 UYJ852005:UYK852012 VIF852005:VIG852012 VSB852005:VSC852012 WBX852005:WBY852012 WLT852005:WLU852012 WVP852005:WVQ852012 H917541:I917548 JD917541:JE917548 SZ917541:TA917548 ACV917541:ACW917548 AMR917541:AMS917548 AWN917541:AWO917548 BGJ917541:BGK917548 BQF917541:BQG917548 CAB917541:CAC917548 CJX917541:CJY917548 CTT917541:CTU917548 DDP917541:DDQ917548 DNL917541:DNM917548 DXH917541:DXI917548 EHD917541:EHE917548 EQZ917541:ERA917548 FAV917541:FAW917548 FKR917541:FKS917548 FUN917541:FUO917548 GEJ917541:GEK917548 GOF917541:GOG917548 GYB917541:GYC917548 HHX917541:HHY917548 HRT917541:HRU917548 IBP917541:IBQ917548 ILL917541:ILM917548 IVH917541:IVI917548 JFD917541:JFE917548 JOZ917541:JPA917548 JYV917541:JYW917548 KIR917541:KIS917548 KSN917541:KSO917548 LCJ917541:LCK917548 LMF917541:LMG917548 LWB917541:LWC917548 MFX917541:MFY917548 MPT917541:MPU917548 MZP917541:MZQ917548 NJL917541:NJM917548 NTH917541:NTI917548 ODD917541:ODE917548 OMZ917541:ONA917548 OWV917541:OWW917548 PGR917541:PGS917548 PQN917541:PQO917548 QAJ917541:QAK917548 QKF917541:QKG917548 QUB917541:QUC917548 RDX917541:RDY917548 RNT917541:RNU917548 RXP917541:RXQ917548 SHL917541:SHM917548 SRH917541:SRI917548 TBD917541:TBE917548 TKZ917541:TLA917548 TUV917541:TUW917548 UER917541:UES917548 UON917541:UOO917548 UYJ917541:UYK917548 VIF917541:VIG917548 VSB917541:VSC917548 WBX917541:WBY917548 WLT917541:WLU917548 WVP917541:WVQ917548 H983077:I983084 JD983077:JE983084 SZ983077:TA983084 ACV983077:ACW983084 AMR983077:AMS983084 AWN983077:AWO983084 BGJ983077:BGK983084 BQF983077:BQG983084 CAB983077:CAC983084 CJX983077:CJY983084 CTT983077:CTU983084 DDP983077:DDQ983084 DNL983077:DNM983084 DXH983077:DXI983084 EHD983077:EHE983084 EQZ983077:ERA983084 FAV983077:FAW983084 FKR983077:FKS983084 FUN983077:FUO983084 GEJ983077:GEK983084 GOF983077:GOG983084 GYB983077:GYC983084 HHX983077:HHY983084 HRT983077:HRU983084 IBP983077:IBQ983084 ILL983077:ILM983084 IVH983077:IVI983084 JFD983077:JFE983084 JOZ983077:JPA983084 JYV983077:JYW983084 KIR983077:KIS983084 KSN983077:KSO983084 LCJ983077:LCK983084 LMF983077:LMG983084 LWB983077:LWC983084 MFX983077:MFY983084 MPT983077:MPU983084 MZP983077:MZQ983084 NJL983077:NJM983084 NTH983077:NTI983084 ODD983077:ODE983084 OMZ983077:ONA983084 OWV983077:OWW983084 PGR983077:PGS983084 PQN983077:PQO983084 QAJ983077:QAK983084 QKF983077:QKG983084 QUB983077:QUC983084 RDX983077:RDY983084 RNT983077:RNU983084 RXP983077:RXQ983084 SHL983077:SHM983084 SRH983077:SRI983084 TBD983077:TBE983084 TKZ983077:TLA983084 TUV983077:TUW983084 UER983077:UES983084 UON983077:UOO983084 UYJ983077:UYK983084 VIF983077:VIG983084 VSB983077:VSC983084 WBX983077:WBY983084 WLT983077:WLU983084 WVP983077:WVQ983084 H63:I63 JD63:JE63 SZ63:TA63 ACV63:ACW63 AMR63:AMS63 AWN63:AWO63 BGJ63:BGK63 BQF63:BQG63 CAB63:CAC63 CJX63:CJY63 CTT63:CTU63 DDP63:DDQ63 DNL63:DNM63 DXH63:DXI63 EHD63:EHE63 EQZ63:ERA63 FAV63:FAW63 FKR63:FKS63 FUN63:FUO63 GEJ63:GEK63 GOF63:GOG63 GYB63:GYC63 HHX63:HHY63 HRT63:HRU63 IBP63:IBQ63 ILL63:ILM63 IVH63:IVI63 JFD63:JFE63 JOZ63:JPA63 JYV63:JYW63 KIR63:KIS63 KSN63:KSO63 LCJ63:LCK63 LMF63:LMG63 LWB63:LWC63 MFX63:MFY63 MPT63:MPU63 MZP63:MZQ63 NJL63:NJM63 NTH63:NTI63 ODD63:ODE63 OMZ63:ONA63 OWV63:OWW63 PGR63:PGS63 PQN63:PQO63 QAJ63:QAK63 QKF63:QKG63 QUB63:QUC63 RDX63:RDY63 RNT63:RNU63 RXP63:RXQ63 SHL63:SHM63 SRH63:SRI63 TBD63:TBE63 TKZ63:TLA63 TUV63:TUW63 UER63:UES63 UON63:UOO63 UYJ63:UYK63 VIF63:VIG63 VSB63:VSC63 WBX63:WBY63 WLT63:WLU63 WVP63:WVQ63 H65599:I65599 JD65599:JE65599 SZ65599:TA65599 ACV65599:ACW65599 AMR65599:AMS65599 AWN65599:AWO65599 BGJ65599:BGK65599 BQF65599:BQG65599 CAB65599:CAC65599 CJX65599:CJY65599 CTT65599:CTU65599 DDP65599:DDQ65599 DNL65599:DNM65599 DXH65599:DXI65599 EHD65599:EHE65599 EQZ65599:ERA65599 FAV65599:FAW65599 FKR65599:FKS65599 FUN65599:FUO65599 GEJ65599:GEK65599 GOF65599:GOG65599 GYB65599:GYC65599 HHX65599:HHY65599 HRT65599:HRU65599 IBP65599:IBQ65599 ILL65599:ILM65599 IVH65599:IVI65599 JFD65599:JFE65599 JOZ65599:JPA65599 JYV65599:JYW65599 KIR65599:KIS65599 KSN65599:KSO65599 LCJ65599:LCK65599 LMF65599:LMG65599 LWB65599:LWC65599 MFX65599:MFY65599 MPT65599:MPU65599 MZP65599:MZQ65599 NJL65599:NJM65599 NTH65599:NTI65599 ODD65599:ODE65599 OMZ65599:ONA65599 OWV65599:OWW65599 PGR65599:PGS65599 PQN65599:PQO65599 QAJ65599:QAK65599 QKF65599:QKG65599 QUB65599:QUC65599 RDX65599:RDY65599 RNT65599:RNU65599 RXP65599:RXQ65599 SHL65599:SHM65599 SRH65599:SRI65599 TBD65599:TBE65599 TKZ65599:TLA65599 TUV65599:TUW65599 UER65599:UES65599 UON65599:UOO65599 UYJ65599:UYK65599 VIF65599:VIG65599 VSB65599:VSC65599 WBX65599:WBY65599 WLT65599:WLU65599 WVP65599:WVQ65599 H131135:I131135 JD131135:JE131135 SZ131135:TA131135 ACV131135:ACW131135 AMR131135:AMS131135 AWN131135:AWO131135 BGJ131135:BGK131135 BQF131135:BQG131135 CAB131135:CAC131135 CJX131135:CJY131135 CTT131135:CTU131135 DDP131135:DDQ131135 DNL131135:DNM131135 DXH131135:DXI131135 EHD131135:EHE131135 EQZ131135:ERA131135 FAV131135:FAW131135 FKR131135:FKS131135 FUN131135:FUO131135 GEJ131135:GEK131135 GOF131135:GOG131135 GYB131135:GYC131135 HHX131135:HHY131135 HRT131135:HRU131135 IBP131135:IBQ131135 ILL131135:ILM131135 IVH131135:IVI131135 JFD131135:JFE131135 JOZ131135:JPA131135 JYV131135:JYW131135 KIR131135:KIS131135 KSN131135:KSO131135 LCJ131135:LCK131135 LMF131135:LMG131135 LWB131135:LWC131135 MFX131135:MFY131135 MPT131135:MPU131135 MZP131135:MZQ131135 NJL131135:NJM131135 NTH131135:NTI131135 ODD131135:ODE131135 OMZ131135:ONA131135 OWV131135:OWW131135 PGR131135:PGS131135 PQN131135:PQO131135 QAJ131135:QAK131135 QKF131135:QKG131135 QUB131135:QUC131135 RDX131135:RDY131135 RNT131135:RNU131135 RXP131135:RXQ131135 SHL131135:SHM131135 SRH131135:SRI131135 TBD131135:TBE131135 TKZ131135:TLA131135 TUV131135:TUW131135 UER131135:UES131135 UON131135:UOO131135 UYJ131135:UYK131135 VIF131135:VIG131135 VSB131135:VSC131135 WBX131135:WBY131135 WLT131135:WLU131135 WVP131135:WVQ131135 H196671:I196671 JD196671:JE196671 SZ196671:TA196671 ACV196671:ACW196671 AMR196671:AMS196671 AWN196671:AWO196671 BGJ196671:BGK196671 BQF196671:BQG196671 CAB196671:CAC196671 CJX196671:CJY196671 CTT196671:CTU196671 DDP196671:DDQ196671 DNL196671:DNM196671 DXH196671:DXI196671 EHD196671:EHE196671 EQZ196671:ERA196671 FAV196671:FAW196671 FKR196671:FKS196671 FUN196671:FUO196671 GEJ196671:GEK196671 GOF196671:GOG196671 GYB196671:GYC196671 HHX196671:HHY196671 HRT196671:HRU196671 IBP196671:IBQ196671 ILL196671:ILM196671 IVH196671:IVI196671 JFD196671:JFE196671 JOZ196671:JPA196671 JYV196671:JYW196671 KIR196671:KIS196671 KSN196671:KSO196671 LCJ196671:LCK196671 LMF196671:LMG196671 LWB196671:LWC196671 MFX196671:MFY196671 MPT196671:MPU196671 MZP196671:MZQ196671 NJL196671:NJM196671 NTH196671:NTI196671 ODD196671:ODE196671 OMZ196671:ONA196671 OWV196671:OWW196671 PGR196671:PGS196671 PQN196671:PQO196671 QAJ196671:QAK196671 QKF196671:QKG196671 QUB196671:QUC196671 RDX196671:RDY196671 RNT196671:RNU196671 RXP196671:RXQ196671 SHL196671:SHM196671 SRH196671:SRI196671 TBD196671:TBE196671 TKZ196671:TLA196671 TUV196671:TUW196671 UER196671:UES196671 UON196671:UOO196671 UYJ196671:UYK196671 VIF196671:VIG196671 VSB196671:VSC196671 WBX196671:WBY196671 WLT196671:WLU196671 WVP196671:WVQ196671 H262207:I262207 JD262207:JE262207 SZ262207:TA262207 ACV262207:ACW262207 AMR262207:AMS262207 AWN262207:AWO262207 BGJ262207:BGK262207 BQF262207:BQG262207 CAB262207:CAC262207 CJX262207:CJY262207 CTT262207:CTU262207 DDP262207:DDQ262207 DNL262207:DNM262207 DXH262207:DXI262207 EHD262207:EHE262207 EQZ262207:ERA262207 FAV262207:FAW262207 FKR262207:FKS262207 FUN262207:FUO262207 GEJ262207:GEK262207 GOF262207:GOG262207 GYB262207:GYC262207 HHX262207:HHY262207 HRT262207:HRU262207 IBP262207:IBQ262207 ILL262207:ILM262207 IVH262207:IVI262207 JFD262207:JFE262207 JOZ262207:JPA262207 JYV262207:JYW262207 KIR262207:KIS262207 KSN262207:KSO262207 LCJ262207:LCK262207 LMF262207:LMG262207 LWB262207:LWC262207 MFX262207:MFY262207 MPT262207:MPU262207 MZP262207:MZQ262207 NJL262207:NJM262207 NTH262207:NTI262207 ODD262207:ODE262207 OMZ262207:ONA262207 OWV262207:OWW262207 PGR262207:PGS262207 PQN262207:PQO262207 QAJ262207:QAK262207 QKF262207:QKG262207 QUB262207:QUC262207 RDX262207:RDY262207 RNT262207:RNU262207 RXP262207:RXQ262207 SHL262207:SHM262207 SRH262207:SRI262207 TBD262207:TBE262207 TKZ262207:TLA262207 TUV262207:TUW262207 UER262207:UES262207 UON262207:UOO262207 UYJ262207:UYK262207 VIF262207:VIG262207 VSB262207:VSC262207 WBX262207:WBY262207 WLT262207:WLU262207 WVP262207:WVQ262207 H327743:I327743 JD327743:JE327743 SZ327743:TA327743 ACV327743:ACW327743 AMR327743:AMS327743 AWN327743:AWO327743 BGJ327743:BGK327743 BQF327743:BQG327743 CAB327743:CAC327743 CJX327743:CJY327743 CTT327743:CTU327743 DDP327743:DDQ327743 DNL327743:DNM327743 DXH327743:DXI327743 EHD327743:EHE327743 EQZ327743:ERA327743 FAV327743:FAW327743 FKR327743:FKS327743 FUN327743:FUO327743 GEJ327743:GEK327743 GOF327743:GOG327743 GYB327743:GYC327743 HHX327743:HHY327743 HRT327743:HRU327743 IBP327743:IBQ327743 ILL327743:ILM327743 IVH327743:IVI327743 JFD327743:JFE327743 JOZ327743:JPA327743 JYV327743:JYW327743 KIR327743:KIS327743 KSN327743:KSO327743 LCJ327743:LCK327743 LMF327743:LMG327743 LWB327743:LWC327743 MFX327743:MFY327743 MPT327743:MPU327743 MZP327743:MZQ327743 NJL327743:NJM327743 NTH327743:NTI327743 ODD327743:ODE327743 OMZ327743:ONA327743 OWV327743:OWW327743 PGR327743:PGS327743 PQN327743:PQO327743 QAJ327743:QAK327743 QKF327743:QKG327743 QUB327743:QUC327743 RDX327743:RDY327743 RNT327743:RNU327743 RXP327743:RXQ327743 SHL327743:SHM327743 SRH327743:SRI327743 TBD327743:TBE327743 TKZ327743:TLA327743 TUV327743:TUW327743 UER327743:UES327743 UON327743:UOO327743 UYJ327743:UYK327743 VIF327743:VIG327743 VSB327743:VSC327743 WBX327743:WBY327743 WLT327743:WLU327743 WVP327743:WVQ327743 H393279:I393279 JD393279:JE393279 SZ393279:TA393279 ACV393279:ACW393279 AMR393279:AMS393279 AWN393279:AWO393279 BGJ393279:BGK393279 BQF393279:BQG393279 CAB393279:CAC393279 CJX393279:CJY393279 CTT393279:CTU393279 DDP393279:DDQ393279 DNL393279:DNM393279 DXH393279:DXI393279 EHD393279:EHE393279 EQZ393279:ERA393279 FAV393279:FAW393279 FKR393279:FKS393279 FUN393279:FUO393279 GEJ393279:GEK393279 GOF393279:GOG393279 GYB393279:GYC393279 HHX393279:HHY393279 HRT393279:HRU393279 IBP393279:IBQ393279 ILL393279:ILM393279 IVH393279:IVI393279 JFD393279:JFE393279 JOZ393279:JPA393279 JYV393279:JYW393279 KIR393279:KIS393279 KSN393279:KSO393279 LCJ393279:LCK393279 LMF393279:LMG393279 LWB393279:LWC393279 MFX393279:MFY393279 MPT393279:MPU393279 MZP393279:MZQ393279 NJL393279:NJM393279 NTH393279:NTI393279 ODD393279:ODE393279 OMZ393279:ONA393279 OWV393279:OWW393279 PGR393279:PGS393279 PQN393279:PQO393279 QAJ393279:QAK393279 QKF393279:QKG393279 QUB393279:QUC393279 RDX393279:RDY393279 RNT393279:RNU393279 RXP393279:RXQ393279 SHL393279:SHM393279 SRH393279:SRI393279 TBD393279:TBE393279 TKZ393279:TLA393279 TUV393279:TUW393279 UER393279:UES393279 UON393279:UOO393279 UYJ393279:UYK393279 VIF393279:VIG393279 VSB393279:VSC393279 WBX393279:WBY393279 WLT393279:WLU393279 WVP393279:WVQ393279 H458815:I458815 JD458815:JE458815 SZ458815:TA458815 ACV458815:ACW458815 AMR458815:AMS458815 AWN458815:AWO458815 BGJ458815:BGK458815 BQF458815:BQG458815 CAB458815:CAC458815 CJX458815:CJY458815 CTT458815:CTU458815 DDP458815:DDQ458815 DNL458815:DNM458815 DXH458815:DXI458815 EHD458815:EHE458815 EQZ458815:ERA458815 FAV458815:FAW458815 FKR458815:FKS458815 FUN458815:FUO458815 GEJ458815:GEK458815 GOF458815:GOG458815 GYB458815:GYC458815 HHX458815:HHY458815 HRT458815:HRU458815 IBP458815:IBQ458815 ILL458815:ILM458815 IVH458815:IVI458815 JFD458815:JFE458815 JOZ458815:JPA458815 JYV458815:JYW458815 KIR458815:KIS458815 KSN458815:KSO458815 LCJ458815:LCK458815 LMF458815:LMG458815 LWB458815:LWC458815 MFX458815:MFY458815 MPT458815:MPU458815 MZP458815:MZQ458815 NJL458815:NJM458815 NTH458815:NTI458815 ODD458815:ODE458815 OMZ458815:ONA458815 OWV458815:OWW458815 PGR458815:PGS458815 PQN458815:PQO458815 QAJ458815:QAK458815 QKF458815:QKG458815 QUB458815:QUC458815 RDX458815:RDY458815 RNT458815:RNU458815 RXP458815:RXQ458815 SHL458815:SHM458815 SRH458815:SRI458815 TBD458815:TBE458815 TKZ458815:TLA458815 TUV458815:TUW458815 UER458815:UES458815 UON458815:UOO458815 UYJ458815:UYK458815 VIF458815:VIG458815 VSB458815:VSC458815 WBX458815:WBY458815 WLT458815:WLU458815 WVP458815:WVQ458815 H524351:I524351 JD524351:JE524351 SZ524351:TA524351 ACV524351:ACW524351 AMR524351:AMS524351 AWN524351:AWO524351 BGJ524351:BGK524351 BQF524351:BQG524351 CAB524351:CAC524351 CJX524351:CJY524351 CTT524351:CTU524351 DDP524351:DDQ524351 DNL524351:DNM524351 DXH524351:DXI524351 EHD524351:EHE524351 EQZ524351:ERA524351 FAV524351:FAW524351 FKR524351:FKS524351 FUN524351:FUO524351 GEJ524351:GEK524351 GOF524351:GOG524351 GYB524351:GYC524351 HHX524351:HHY524351 HRT524351:HRU524351 IBP524351:IBQ524351 ILL524351:ILM524351 IVH524351:IVI524351 JFD524351:JFE524351 JOZ524351:JPA524351 JYV524351:JYW524351 KIR524351:KIS524351 KSN524351:KSO524351 LCJ524351:LCK524351 LMF524351:LMG524351 LWB524351:LWC524351 MFX524351:MFY524351 MPT524351:MPU524351 MZP524351:MZQ524351 NJL524351:NJM524351 NTH524351:NTI524351 ODD524351:ODE524351 OMZ524351:ONA524351 OWV524351:OWW524351 PGR524351:PGS524351 PQN524351:PQO524351 QAJ524351:QAK524351 QKF524351:QKG524351 QUB524351:QUC524351 RDX524351:RDY524351 RNT524351:RNU524351 RXP524351:RXQ524351 SHL524351:SHM524351 SRH524351:SRI524351 TBD524351:TBE524351 TKZ524351:TLA524351 TUV524351:TUW524351 UER524351:UES524351 UON524351:UOO524351 UYJ524351:UYK524351 VIF524351:VIG524351 VSB524351:VSC524351 WBX524351:WBY524351 WLT524351:WLU524351 WVP524351:WVQ524351 H589887:I589887 JD589887:JE589887 SZ589887:TA589887 ACV589887:ACW589887 AMR589887:AMS589887 AWN589887:AWO589887 BGJ589887:BGK589887 BQF589887:BQG589887 CAB589887:CAC589887 CJX589887:CJY589887 CTT589887:CTU589887 DDP589887:DDQ589887 DNL589887:DNM589887 DXH589887:DXI589887 EHD589887:EHE589887 EQZ589887:ERA589887 FAV589887:FAW589887 FKR589887:FKS589887 FUN589887:FUO589887 GEJ589887:GEK589887 GOF589887:GOG589887 GYB589887:GYC589887 HHX589887:HHY589887 HRT589887:HRU589887 IBP589887:IBQ589887 ILL589887:ILM589887 IVH589887:IVI589887 JFD589887:JFE589887 JOZ589887:JPA589887 JYV589887:JYW589887 KIR589887:KIS589887 KSN589887:KSO589887 LCJ589887:LCK589887 LMF589887:LMG589887 LWB589887:LWC589887 MFX589887:MFY589887 MPT589887:MPU589887 MZP589887:MZQ589887 NJL589887:NJM589887 NTH589887:NTI589887 ODD589887:ODE589887 OMZ589887:ONA589887 OWV589887:OWW589887 PGR589887:PGS589887 PQN589887:PQO589887 QAJ589887:QAK589887 QKF589887:QKG589887 QUB589887:QUC589887 RDX589887:RDY589887 RNT589887:RNU589887 RXP589887:RXQ589887 SHL589887:SHM589887 SRH589887:SRI589887 TBD589887:TBE589887 TKZ589887:TLA589887 TUV589887:TUW589887 UER589887:UES589887 UON589887:UOO589887 UYJ589887:UYK589887 VIF589887:VIG589887 VSB589887:VSC589887 WBX589887:WBY589887 WLT589887:WLU589887 WVP589887:WVQ589887 H655423:I655423 JD655423:JE655423 SZ655423:TA655423 ACV655423:ACW655423 AMR655423:AMS655423 AWN655423:AWO655423 BGJ655423:BGK655423 BQF655423:BQG655423 CAB655423:CAC655423 CJX655423:CJY655423 CTT655423:CTU655423 DDP655423:DDQ655423 DNL655423:DNM655423 DXH655423:DXI655423 EHD655423:EHE655423 EQZ655423:ERA655423 FAV655423:FAW655423 FKR655423:FKS655423 FUN655423:FUO655423 GEJ655423:GEK655423 GOF655423:GOG655423 GYB655423:GYC655423 HHX655423:HHY655423 HRT655423:HRU655423 IBP655423:IBQ655423 ILL655423:ILM655423 IVH655423:IVI655423 JFD655423:JFE655423 JOZ655423:JPA655423 JYV655423:JYW655423 KIR655423:KIS655423 KSN655423:KSO655423 LCJ655423:LCK655423 LMF655423:LMG655423 LWB655423:LWC655423 MFX655423:MFY655423 MPT655423:MPU655423 MZP655423:MZQ655423 NJL655423:NJM655423 NTH655423:NTI655423 ODD655423:ODE655423 OMZ655423:ONA655423 OWV655423:OWW655423 PGR655423:PGS655423 PQN655423:PQO655423 QAJ655423:QAK655423 QKF655423:QKG655423 QUB655423:QUC655423 RDX655423:RDY655423 RNT655423:RNU655423 RXP655423:RXQ655423 SHL655423:SHM655423 SRH655423:SRI655423 TBD655423:TBE655423 TKZ655423:TLA655423 TUV655423:TUW655423 UER655423:UES655423 UON655423:UOO655423 UYJ655423:UYK655423 VIF655423:VIG655423 VSB655423:VSC655423 WBX655423:WBY655423 WLT655423:WLU655423 WVP655423:WVQ655423 H720959:I720959 JD720959:JE720959 SZ720959:TA720959 ACV720959:ACW720959 AMR720959:AMS720959 AWN720959:AWO720959 BGJ720959:BGK720959 BQF720959:BQG720959 CAB720959:CAC720959 CJX720959:CJY720959 CTT720959:CTU720959 DDP720959:DDQ720959 DNL720959:DNM720959 DXH720959:DXI720959 EHD720959:EHE720959 EQZ720959:ERA720959 FAV720959:FAW720959 FKR720959:FKS720959 FUN720959:FUO720959 GEJ720959:GEK720959 GOF720959:GOG720959 GYB720959:GYC720959 HHX720959:HHY720959 HRT720959:HRU720959 IBP720959:IBQ720959 ILL720959:ILM720959 IVH720959:IVI720959 JFD720959:JFE720959 JOZ720959:JPA720959 JYV720959:JYW720959 KIR720959:KIS720959 KSN720959:KSO720959 LCJ720959:LCK720959 LMF720959:LMG720959 LWB720959:LWC720959 MFX720959:MFY720959 MPT720959:MPU720959 MZP720959:MZQ720959 NJL720959:NJM720959 NTH720959:NTI720959 ODD720959:ODE720959 OMZ720959:ONA720959 OWV720959:OWW720959 PGR720959:PGS720959 PQN720959:PQO720959 QAJ720959:QAK720959 QKF720959:QKG720959 QUB720959:QUC720959 RDX720959:RDY720959 RNT720959:RNU720959 RXP720959:RXQ720959 SHL720959:SHM720959 SRH720959:SRI720959 TBD720959:TBE720959 TKZ720959:TLA720959 TUV720959:TUW720959 UER720959:UES720959 UON720959:UOO720959 UYJ720959:UYK720959 VIF720959:VIG720959 VSB720959:VSC720959 WBX720959:WBY720959 WLT720959:WLU720959 WVP720959:WVQ720959 H786495:I786495 JD786495:JE786495 SZ786495:TA786495 ACV786495:ACW786495 AMR786495:AMS786495 AWN786495:AWO786495 BGJ786495:BGK786495 BQF786495:BQG786495 CAB786495:CAC786495 CJX786495:CJY786495 CTT786495:CTU786495 DDP786495:DDQ786495 DNL786495:DNM786495 DXH786495:DXI786495 EHD786495:EHE786495 EQZ786495:ERA786495 FAV786495:FAW786495 FKR786495:FKS786495 FUN786495:FUO786495 GEJ786495:GEK786495 GOF786495:GOG786495 GYB786495:GYC786495 HHX786495:HHY786495 HRT786495:HRU786495 IBP786495:IBQ786495 ILL786495:ILM786495 IVH786495:IVI786495 JFD786495:JFE786495 JOZ786495:JPA786495 JYV786495:JYW786495 KIR786495:KIS786495 KSN786495:KSO786495 LCJ786495:LCK786495 LMF786495:LMG786495 LWB786495:LWC786495 MFX786495:MFY786495 MPT786495:MPU786495 MZP786495:MZQ786495 NJL786495:NJM786495 NTH786495:NTI786495 ODD786495:ODE786495 OMZ786495:ONA786495 OWV786495:OWW786495 PGR786495:PGS786495 PQN786495:PQO786495 QAJ786495:QAK786495 QKF786495:QKG786495 QUB786495:QUC786495 RDX786495:RDY786495 RNT786495:RNU786495 RXP786495:RXQ786495 SHL786495:SHM786495 SRH786495:SRI786495 TBD786495:TBE786495 TKZ786495:TLA786495 TUV786495:TUW786495 UER786495:UES786495 UON786495:UOO786495 UYJ786495:UYK786495 VIF786495:VIG786495 VSB786495:VSC786495 WBX786495:WBY786495 WLT786495:WLU786495 WVP786495:WVQ786495 H852031:I852031 JD852031:JE852031 SZ852031:TA852031 ACV852031:ACW852031 AMR852031:AMS852031 AWN852031:AWO852031 BGJ852031:BGK852031 BQF852031:BQG852031 CAB852031:CAC852031 CJX852031:CJY852031 CTT852031:CTU852031 DDP852031:DDQ852031 DNL852031:DNM852031 DXH852031:DXI852031 EHD852031:EHE852031 EQZ852031:ERA852031 FAV852031:FAW852031 FKR852031:FKS852031 FUN852031:FUO852031 GEJ852031:GEK852031 GOF852031:GOG852031 GYB852031:GYC852031 HHX852031:HHY852031 HRT852031:HRU852031 IBP852031:IBQ852031 ILL852031:ILM852031 IVH852031:IVI852031 JFD852031:JFE852031 JOZ852031:JPA852031 JYV852031:JYW852031 KIR852031:KIS852031 KSN852031:KSO852031 LCJ852031:LCK852031 LMF852031:LMG852031 LWB852031:LWC852031 MFX852031:MFY852031 MPT852031:MPU852031 MZP852031:MZQ852031 NJL852031:NJM852031 NTH852031:NTI852031 ODD852031:ODE852031 OMZ852031:ONA852031 OWV852031:OWW852031 PGR852031:PGS852031 PQN852031:PQO852031 QAJ852031:QAK852031 QKF852031:QKG852031 QUB852031:QUC852031 RDX852031:RDY852031 RNT852031:RNU852031 RXP852031:RXQ852031 SHL852031:SHM852031 SRH852031:SRI852031 TBD852031:TBE852031 TKZ852031:TLA852031 TUV852031:TUW852031 UER852031:UES852031 UON852031:UOO852031 UYJ852031:UYK852031 VIF852031:VIG852031 VSB852031:VSC852031 WBX852031:WBY852031 WLT852031:WLU852031 WVP852031:WVQ852031 H917567:I917567 JD917567:JE917567 SZ917567:TA917567 ACV917567:ACW917567 AMR917567:AMS917567 AWN917567:AWO917567 BGJ917567:BGK917567 BQF917567:BQG917567 CAB917567:CAC917567 CJX917567:CJY917567 CTT917567:CTU917567 DDP917567:DDQ917567 DNL917567:DNM917567 DXH917567:DXI917567 EHD917567:EHE917567 EQZ917567:ERA917567 FAV917567:FAW917567 FKR917567:FKS917567 FUN917567:FUO917567 GEJ917567:GEK917567 GOF917567:GOG917567 GYB917567:GYC917567 HHX917567:HHY917567 HRT917567:HRU917567 IBP917567:IBQ917567 ILL917567:ILM917567 IVH917567:IVI917567 JFD917567:JFE917567 JOZ917567:JPA917567 JYV917567:JYW917567 KIR917567:KIS917567 KSN917567:KSO917567 LCJ917567:LCK917567 LMF917567:LMG917567 LWB917567:LWC917567 MFX917567:MFY917567 MPT917567:MPU917567 MZP917567:MZQ917567 NJL917567:NJM917567 NTH917567:NTI917567 ODD917567:ODE917567 OMZ917567:ONA917567 OWV917567:OWW917567 PGR917567:PGS917567 PQN917567:PQO917567 QAJ917567:QAK917567 QKF917567:QKG917567 QUB917567:QUC917567 RDX917567:RDY917567 RNT917567:RNU917567 RXP917567:RXQ917567 SHL917567:SHM917567 SRH917567:SRI917567 TBD917567:TBE917567 TKZ917567:TLA917567 TUV917567:TUW917567 UER917567:UES917567 UON917567:UOO917567 UYJ917567:UYK917567 VIF917567:VIG917567 VSB917567:VSC917567 WBX917567:WBY917567 WLT917567:WLU917567 WVP917567:WVQ917567 H983103:I983103 JD983103:JE983103 SZ983103:TA983103 ACV983103:ACW983103 AMR983103:AMS983103 AWN983103:AWO983103 BGJ983103:BGK983103 BQF983103:BQG983103 CAB983103:CAC983103 CJX983103:CJY983103 CTT983103:CTU983103 DDP983103:DDQ983103 DNL983103:DNM983103 DXH983103:DXI983103 EHD983103:EHE983103 EQZ983103:ERA983103 FAV983103:FAW983103 FKR983103:FKS983103 FUN983103:FUO983103 GEJ983103:GEK983103 GOF983103:GOG983103 GYB983103:GYC983103 HHX983103:HHY983103 HRT983103:HRU983103 IBP983103:IBQ983103 ILL983103:ILM983103 IVH983103:IVI983103 JFD983103:JFE983103 JOZ983103:JPA983103 JYV983103:JYW983103 KIR983103:KIS983103 KSN983103:KSO983103 LCJ983103:LCK983103 LMF983103:LMG983103 LWB983103:LWC983103 MFX983103:MFY983103 MPT983103:MPU983103 MZP983103:MZQ983103 NJL983103:NJM983103 NTH983103:NTI983103 ODD983103:ODE983103 OMZ983103:ONA983103 OWV983103:OWW983103 PGR983103:PGS983103 PQN983103:PQO983103 QAJ983103:QAK983103 QKF983103:QKG983103 QUB983103:QUC983103 RDX983103:RDY983103 RNT983103:RNU983103 RXP983103:RXQ983103 SHL983103:SHM983103 SRH983103:SRI983103 TBD983103:TBE983103 TKZ983103:TLA983103 TUV983103:TUW983103 UER983103:UES983103 UON983103:UOO983103 UYJ983103:UYK983103 VIF983103:VIG983103 VSB983103:VSC983103 WBX983103:WBY983103 WLT983103:WLU983103 WVP983103:WVQ983103 I70 JE70 TA70 ACW70 AMS70 AWO70 BGK70 BQG70 CAC70 CJY70 CTU70 DDQ70 DNM70 DXI70 EHE70 ERA70 FAW70 FKS70 FUO70 GEK70 GOG70 GYC70 HHY70 HRU70 IBQ70 ILM70 IVI70 JFE70 JPA70 JYW70 KIS70 KSO70 LCK70 LMG70 LWC70 MFY70 MPU70 MZQ70 NJM70 NTI70 ODE70 ONA70 OWW70 PGS70 PQO70 QAK70 QKG70 QUC70 RDY70 RNU70 RXQ70 SHM70 SRI70 TBE70 TLA70 TUW70 UES70 UOO70 UYK70 VIG70 VSC70 WBY70 WLU70 WVQ70 I65606 JE65606 TA65606 ACW65606 AMS65606 AWO65606 BGK65606 BQG65606 CAC65606 CJY65606 CTU65606 DDQ65606 DNM65606 DXI65606 EHE65606 ERA65606 FAW65606 FKS65606 FUO65606 GEK65606 GOG65606 GYC65606 HHY65606 HRU65606 IBQ65606 ILM65606 IVI65606 JFE65606 JPA65606 JYW65606 KIS65606 KSO65606 LCK65606 LMG65606 LWC65606 MFY65606 MPU65606 MZQ65606 NJM65606 NTI65606 ODE65606 ONA65606 OWW65606 PGS65606 PQO65606 QAK65606 QKG65606 QUC65606 RDY65606 RNU65606 RXQ65606 SHM65606 SRI65606 TBE65606 TLA65606 TUW65606 UES65606 UOO65606 UYK65606 VIG65606 VSC65606 WBY65606 WLU65606 WVQ65606 I131142 JE131142 TA131142 ACW131142 AMS131142 AWO131142 BGK131142 BQG131142 CAC131142 CJY131142 CTU131142 DDQ131142 DNM131142 DXI131142 EHE131142 ERA131142 FAW131142 FKS131142 FUO131142 GEK131142 GOG131142 GYC131142 HHY131142 HRU131142 IBQ131142 ILM131142 IVI131142 JFE131142 JPA131142 JYW131142 KIS131142 KSO131142 LCK131142 LMG131142 LWC131142 MFY131142 MPU131142 MZQ131142 NJM131142 NTI131142 ODE131142 ONA131142 OWW131142 PGS131142 PQO131142 QAK131142 QKG131142 QUC131142 RDY131142 RNU131142 RXQ131142 SHM131142 SRI131142 TBE131142 TLA131142 TUW131142 UES131142 UOO131142 UYK131142 VIG131142 VSC131142 WBY131142 WLU131142 WVQ131142 I196678 JE196678 TA196678 ACW196678 AMS196678 AWO196678 BGK196678 BQG196678 CAC196678 CJY196678 CTU196678 DDQ196678 DNM196678 DXI196678 EHE196678 ERA196678 FAW196678 FKS196678 FUO196678 GEK196678 GOG196678 GYC196678 HHY196678 HRU196678 IBQ196678 ILM196678 IVI196678 JFE196678 JPA196678 JYW196678 KIS196678 KSO196678 LCK196678 LMG196678 LWC196678 MFY196678 MPU196678 MZQ196678 NJM196678 NTI196678 ODE196678 ONA196678 OWW196678 PGS196678 PQO196678 QAK196678 QKG196678 QUC196678 RDY196678 RNU196678 RXQ196678 SHM196678 SRI196678 TBE196678 TLA196678 TUW196678 UES196678 UOO196678 UYK196678 VIG196678 VSC196678 WBY196678 WLU196678 WVQ196678 I262214 JE262214 TA262214 ACW262214 AMS262214 AWO262214 BGK262214 BQG262214 CAC262214 CJY262214 CTU262214 DDQ262214 DNM262214 DXI262214 EHE262214 ERA262214 FAW262214 FKS262214 FUO262214 GEK262214 GOG262214 GYC262214 HHY262214 HRU262214 IBQ262214 ILM262214 IVI262214 JFE262214 JPA262214 JYW262214 KIS262214 KSO262214 LCK262214 LMG262214 LWC262214 MFY262214 MPU262214 MZQ262214 NJM262214 NTI262214 ODE262214 ONA262214 OWW262214 PGS262214 PQO262214 QAK262214 QKG262214 QUC262214 RDY262214 RNU262214 RXQ262214 SHM262214 SRI262214 TBE262214 TLA262214 TUW262214 UES262214 UOO262214 UYK262214 VIG262214 VSC262214 WBY262214 WLU262214 WVQ262214 I327750 JE327750 TA327750 ACW327750 AMS327750 AWO327750 BGK327750 BQG327750 CAC327750 CJY327750 CTU327750 DDQ327750 DNM327750 DXI327750 EHE327750 ERA327750 FAW327750 FKS327750 FUO327750 GEK327750 GOG327750 GYC327750 HHY327750 HRU327750 IBQ327750 ILM327750 IVI327750 JFE327750 JPA327750 JYW327750 KIS327750 KSO327750 LCK327750 LMG327750 LWC327750 MFY327750 MPU327750 MZQ327750 NJM327750 NTI327750 ODE327750 ONA327750 OWW327750 PGS327750 PQO327750 QAK327750 QKG327750 QUC327750 RDY327750 RNU327750 RXQ327750 SHM327750 SRI327750 TBE327750 TLA327750 TUW327750 UES327750 UOO327750 UYK327750 VIG327750 VSC327750 WBY327750 WLU327750 WVQ327750 I393286 JE393286 TA393286 ACW393286 AMS393286 AWO393286 BGK393286 BQG393286 CAC393286 CJY393286 CTU393286 DDQ393286 DNM393286 DXI393286 EHE393286 ERA393286 FAW393286 FKS393286 FUO393286 GEK393286 GOG393286 GYC393286 HHY393286 HRU393286 IBQ393286 ILM393286 IVI393286 JFE393286 JPA393286 JYW393286 KIS393286 KSO393286 LCK393286 LMG393286 LWC393286 MFY393286 MPU393286 MZQ393286 NJM393286 NTI393286 ODE393286 ONA393286 OWW393286 PGS393286 PQO393286 QAK393286 QKG393286 QUC393286 RDY393286 RNU393286 RXQ393286 SHM393286 SRI393286 TBE393286 TLA393286 TUW393286 UES393286 UOO393286 UYK393286 VIG393286 VSC393286 WBY393286 WLU393286 WVQ393286 I458822 JE458822 TA458822 ACW458822 AMS458822 AWO458822 BGK458822 BQG458822 CAC458822 CJY458822 CTU458822 DDQ458822 DNM458822 DXI458822 EHE458822 ERA458822 FAW458822 FKS458822 FUO458822 GEK458822 GOG458822 GYC458822 HHY458822 HRU458822 IBQ458822 ILM458822 IVI458822 JFE458822 JPA458822 JYW458822 KIS458822 KSO458822 LCK458822 LMG458822 LWC458822 MFY458822 MPU458822 MZQ458822 NJM458822 NTI458822 ODE458822 ONA458822 OWW458822 PGS458822 PQO458822 QAK458822 QKG458822 QUC458822 RDY458822 RNU458822 RXQ458822 SHM458822 SRI458822 TBE458822 TLA458822 TUW458822 UES458822 UOO458822 UYK458822 VIG458822 VSC458822 WBY458822 WLU458822 WVQ458822 I524358 JE524358 TA524358 ACW524358 AMS524358 AWO524358 BGK524358 BQG524358 CAC524358 CJY524358 CTU524358 DDQ524358 DNM524358 DXI524358 EHE524358 ERA524358 FAW524358 FKS524358 FUO524358 GEK524358 GOG524358 GYC524358 HHY524358 HRU524358 IBQ524358 ILM524358 IVI524358 JFE524358 JPA524358 JYW524358 KIS524358 KSO524358 LCK524358 LMG524358 LWC524358 MFY524358 MPU524358 MZQ524358 NJM524358 NTI524358 ODE524358 ONA524358 OWW524358 PGS524358 PQO524358 QAK524358 QKG524358 QUC524358 RDY524358 RNU524358 RXQ524358 SHM524358 SRI524358 TBE524358 TLA524358 TUW524358 UES524358 UOO524358 UYK524358 VIG524358 VSC524358 WBY524358 WLU524358 WVQ524358 I589894 JE589894 TA589894 ACW589894 AMS589894 AWO589894 BGK589894 BQG589894 CAC589894 CJY589894 CTU589894 DDQ589894 DNM589894 DXI589894 EHE589894 ERA589894 FAW589894 FKS589894 FUO589894 GEK589894 GOG589894 GYC589894 HHY589894 HRU589894 IBQ589894 ILM589894 IVI589894 JFE589894 JPA589894 JYW589894 KIS589894 KSO589894 LCK589894 LMG589894 LWC589894 MFY589894 MPU589894 MZQ589894 NJM589894 NTI589894 ODE589894 ONA589894 OWW589894 PGS589894 PQO589894 QAK589894 QKG589894 QUC589894 RDY589894 RNU589894 RXQ589894 SHM589894 SRI589894 TBE589894 TLA589894 TUW589894 UES589894 UOO589894 UYK589894 VIG589894 VSC589894 WBY589894 WLU589894 WVQ589894 I655430 JE655430 TA655430 ACW655430 AMS655430 AWO655430 BGK655430 BQG655430 CAC655430 CJY655430 CTU655430 DDQ655430 DNM655430 DXI655430 EHE655430 ERA655430 FAW655430 FKS655430 FUO655430 GEK655430 GOG655430 GYC655430 HHY655430 HRU655430 IBQ655430 ILM655430 IVI655430 JFE655430 JPA655430 JYW655430 KIS655430 KSO655430 LCK655430 LMG655430 LWC655430 MFY655430 MPU655430 MZQ655430 NJM655430 NTI655430 ODE655430 ONA655430 OWW655430 PGS655430 PQO655430 QAK655430 QKG655430 QUC655430 RDY655430 RNU655430 RXQ655430 SHM655430 SRI655430 TBE655430 TLA655430 TUW655430 UES655430 UOO655430 UYK655430 VIG655430 VSC655430 WBY655430 WLU655430 WVQ655430 I720966 JE720966 TA720966 ACW720966 AMS720966 AWO720966 BGK720966 BQG720966 CAC720966 CJY720966 CTU720966 DDQ720966 DNM720966 DXI720966 EHE720966 ERA720966 FAW720966 FKS720966 FUO720966 GEK720966 GOG720966 GYC720966 HHY720966 HRU720966 IBQ720966 ILM720966 IVI720966 JFE720966 JPA720966 JYW720966 KIS720966 KSO720966 LCK720966 LMG720966 LWC720966 MFY720966 MPU720966 MZQ720966 NJM720966 NTI720966 ODE720966 ONA720966 OWW720966 PGS720966 PQO720966 QAK720966 QKG720966 QUC720966 RDY720966 RNU720966 RXQ720966 SHM720966 SRI720966 TBE720966 TLA720966 TUW720966 UES720966 UOO720966 UYK720966 VIG720966 VSC720966 WBY720966 WLU720966 WVQ720966 I786502 JE786502 TA786502 ACW786502 AMS786502 AWO786502 BGK786502 BQG786502 CAC786502 CJY786502 CTU786502 DDQ786502 DNM786502 DXI786502 EHE786502 ERA786502 FAW786502 FKS786502 FUO786502 GEK786502 GOG786502 GYC786502 HHY786502 HRU786502 IBQ786502 ILM786502 IVI786502 JFE786502 JPA786502 JYW786502 KIS786502 KSO786502 LCK786502 LMG786502 LWC786502 MFY786502 MPU786502 MZQ786502 NJM786502 NTI786502 ODE786502 ONA786502 OWW786502 PGS786502 PQO786502 QAK786502 QKG786502 QUC786502 RDY786502 RNU786502 RXQ786502 SHM786502 SRI786502 TBE786502 TLA786502 TUW786502 UES786502 UOO786502 UYK786502 VIG786502 VSC786502 WBY786502 WLU786502 WVQ786502 I852038 JE852038 TA852038 ACW852038 AMS852038 AWO852038 BGK852038 BQG852038 CAC852038 CJY852038 CTU852038 DDQ852038 DNM852038 DXI852038 EHE852038 ERA852038 FAW852038 FKS852038 FUO852038 GEK852038 GOG852038 GYC852038 HHY852038 HRU852038 IBQ852038 ILM852038 IVI852038 JFE852038 JPA852038 JYW852038 KIS852038 KSO852038 LCK852038 LMG852038 LWC852038 MFY852038 MPU852038 MZQ852038 NJM852038 NTI852038 ODE852038 ONA852038 OWW852038 PGS852038 PQO852038 QAK852038 QKG852038 QUC852038 RDY852038 RNU852038 RXQ852038 SHM852038 SRI852038 TBE852038 TLA852038 TUW852038 UES852038 UOO852038 UYK852038 VIG852038 VSC852038 WBY852038 WLU852038 WVQ852038 I917574 JE917574 TA917574 ACW917574 AMS917574 AWO917574 BGK917574 BQG917574 CAC917574 CJY917574 CTU917574 DDQ917574 DNM917574 DXI917574 EHE917574 ERA917574 FAW917574 FKS917574 FUO917574 GEK917574 GOG917574 GYC917574 HHY917574 HRU917574 IBQ917574 ILM917574 IVI917574 JFE917574 JPA917574 JYW917574 KIS917574 KSO917574 LCK917574 LMG917574 LWC917574 MFY917574 MPU917574 MZQ917574 NJM917574 NTI917574 ODE917574 ONA917574 OWW917574 PGS917574 PQO917574 QAK917574 QKG917574 QUC917574 RDY917574 RNU917574 RXQ917574 SHM917574 SRI917574 TBE917574 TLA917574 TUW917574 UES917574 UOO917574 UYK917574 VIG917574 VSC917574 WBY917574 WLU917574 WVQ917574 I983110 JE983110 TA983110 ACW983110 AMS983110 AWO983110 BGK983110 BQG983110 CAC983110 CJY983110 CTU983110 DDQ983110 DNM983110 DXI983110 EHE983110 ERA983110 FAW983110 FKS983110 FUO983110 GEK983110 GOG983110 GYC983110 HHY983110 HRU983110 IBQ983110 ILM983110 IVI983110 JFE983110 JPA983110 JYW983110 KIS983110 KSO983110 LCK983110 LMG983110 LWC983110 MFY983110 MPU983110 MZQ983110 NJM983110 NTI983110 ODE983110 ONA983110 OWW983110 PGS983110 PQO983110 QAK983110 QKG983110 QUC983110 RDY983110 RNU983110 RXQ983110 SHM983110 SRI983110 TBE983110 TLA983110 TUW983110 UES983110 UOO983110 UYK983110 VIG983110 VSC983110 WBY983110 WLU983110 WVQ983110 H53:I58 JD53:JE58 SZ53:TA58 ACV53:ACW58 AMR53:AMS58 AWN53:AWO58 BGJ53:BGK58 BQF53:BQG58 CAB53:CAC58 CJX53:CJY58 CTT53:CTU58 DDP53:DDQ58 DNL53:DNM58 DXH53:DXI58 EHD53:EHE58 EQZ53:ERA58 FAV53:FAW58 FKR53:FKS58 FUN53:FUO58 GEJ53:GEK58 GOF53:GOG58 GYB53:GYC58 HHX53:HHY58 HRT53:HRU58 IBP53:IBQ58 ILL53:ILM58 IVH53:IVI58 JFD53:JFE58 JOZ53:JPA58 JYV53:JYW58 KIR53:KIS58 KSN53:KSO58 LCJ53:LCK58 LMF53:LMG58 LWB53:LWC58 MFX53:MFY58 MPT53:MPU58 MZP53:MZQ58 NJL53:NJM58 NTH53:NTI58 ODD53:ODE58 OMZ53:ONA58 OWV53:OWW58 PGR53:PGS58 PQN53:PQO58 QAJ53:QAK58 QKF53:QKG58 QUB53:QUC58 RDX53:RDY58 RNT53:RNU58 RXP53:RXQ58 SHL53:SHM58 SRH53:SRI58 TBD53:TBE58 TKZ53:TLA58 TUV53:TUW58 UER53:UES58 UON53:UOO58 UYJ53:UYK58 VIF53:VIG58 VSB53:VSC58 WBX53:WBY58 WLT53:WLU58 WVP53:WVQ58 H65589:I65594 JD65589:JE65594 SZ65589:TA65594 ACV65589:ACW65594 AMR65589:AMS65594 AWN65589:AWO65594 BGJ65589:BGK65594 BQF65589:BQG65594 CAB65589:CAC65594 CJX65589:CJY65594 CTT65589:CTU65594 DDP65589:DDQ65594 DNL65589:DNM65594 DXH65589:DXI65594 EHD65589:EHE65594 EQZ65589:ERA65594 FAV65589:FAW65594 FKR65589:FKS65594 FUN65589:FUO65594 GEJ65589:GEK65594 GOF65589:GOG65594 GYB65589:GYC65594 HHX65589:HHY65594 HRT65589:HRU65594 IBP65589:IBQ65594 ILL65589:ILM65594 IVH65589:IVI65594 JFD65589:JFE65594 JOZ65589:JPA65594 JYV65589:JYW65594 KIR65589:KIS65594 KSN65589:KSO65594 LCJ65589:LCK65594 LMF65589:LMG65594 LWB65589:LWC65594 MFX65589:MFY65594 MPT65589:MPU65594 MZP65589:MZQ65594 NJL65589:NJM65594 NTH65589:NTI65594 ODD65589:ODE65594 OMZ65589:ONA65594 OWV65589:OWW65594 PGR65589:PGS65594 PQN65589:PQO65594 QAJ65589:QAK65594 QKF65589:QKG65594 QUB65589:QUC65594 RDX65589:RDY65594 RNT65589:RNU65594 RXP65589:RXQ65594 SHL65589:SHM65594 SRH65589:SRI65594 TBD65589:TBE65594 TKZ65589:TLA65594 TUV65589:TUW65594 UER65589:UES65594 UON65589:UOO65594 UYJ65589:UYK65594 VIF65589:VIG65594 VSB65589:VSC65594 WBX65589:WBY65594 WLT65589:WLU65594 WVP65589:WVQ65594 H131125:I131130 JD131125:JE131130 SZ131125:TA131130 ACV131125:ACW131130 AMR131125:AMS131130 AWN131125:AWO131130 BGJ131125:BGK131130 BQF131125:BQG131130 CAB131125:CAC131130 CJX131125:CJY131130 CTT131125:CTU131130 DDP131125:DDQ131130 DNL131125:DNM131130 DXH131125:DXI131130 EHD131125:EHE131130 EQZ131125:ERA131130 FAV131125:FAW131130 FKR131125:FKS131130 FUN131125:FUO131130 GEJ131125:GEK131130 GOF131125:GOG131130 GYB131125:GYC131130 HHX131125:HHY131130 HRT131125:HRU131130 IBP131125:IBQ131130 ILL131125:ILM131130 IVH131125:IVI131130 JFD131125:JFE131130 JOZ131125:JPA131130 JYV131125:JYW131130 KIR131125:KIS131130 KSN131125:KSO131130 LCJ131125:LCK131130 LMF131125:LMG131130 LWB131125:LWC131130 MFX131125:MFY131130 MPT131125:MPU131130 MZP131125:MZQ131130 NJL131125:NJM131130 NTH131125:NTI131130 ODD131125:ODE131130 OMZ131125:ONA131130 OWV131125:OWW131130 PGR131125:PGS131130 PQN131125:PQO131130 QAJ131125:QAK131130 QKF131125:QKG131130 QUB131125:QUC131130 RDX131125:RDY131130 RNT131125:RNU131130 RXP131125:RXQ131130 SHL131125:SHM131130 SRH131125:SRI131130 TBD131125:TBE131130 TKZ131125:TLA131130 TUV131125:TUW131130 UER131125:UES131130 UON131125:UOO131130 UYJ131125:UYK131130 VIF131125:VIG131130 VSB131125:VSC131130 WBX131125:WBY131130 WLT131125:WLU131130 WVP131125:WVQ131130 H196661:I196666 JD196661:JE196666 SZ196661:TA196666 ACV196661:ACW196666 AMR196661:AMS196666 AWN196661:AWO196666 BGJ196661:BGK196666 BQF196661:BQG196666 CAB196661:CAC196666 CJX196661:CJY196666 CTT196661:CTU196666 DDP196661:DDQ196666 DNL196661:DNM196666 DXH196661:DXI196666 EHD196661:EHE196666 EQZ196661:ERA196666 FAV196661:FAW196666 FKR196661:FKS196666 FUN196661:FUO196666 GEJ196661:GEK196666 GOF196661:GOG196666 GYB196661:GYC196666 HHX196661:HHY196666 HRT196661:HRU196666 IBP196661:IBQ196666 ILL196661:ILM196666 IVH196661:IVI196666 JFD196661:JFE196666 JOZ196661:JPA196666 JYV196661:JYW196666 KIR196661:KIS196666 KSN196661:KSO196666 LCJ196661:LCK196666 LMF196661:LMG196666 LWB196661:LWC196666 MFX196661:MFY196666 MPT196661:MPU196666 MZP196661:MZQ196666 NJL196661:NJM196666 NTH196661:NTI196666 ODD196661:ODE196666 OMZ196661:ONA196666 OWV196661:OWW196666 PGR196661:PGS196666 PQN196661:PQO196666 QAJ196661:QAK196666 QKF196661:QKG196666 QUB196661:QUC196666 RDX196661:RDY196666 RNT196661:RNU196666 RXP196661:RXQ196666 SHL196661:SHM196666 SRH196661:SRI196666 TBD196661:TBE196666 TKZ196661:TLA196666 TUV196661:TUW196666 UER196661:UES196666 UON196661:UOO196666 UYJ196661:UYK196666 VIF196661:VIG196666 VSB196661:VSC196666 WBX196661:WBY196666 WLT196661:WLU196666 WVP196661:WVQ196666 H262197:I262202 JD262197:JE262202 SZ262197:TA262202 ACV262197:ACW262202 AMR262197:AMS262202 AWN262197:AWO262202 BGJ262197:BGK262202 BQF262197:BQG262202 CAB262197:CAC262202 CJX262197:CJY262202 CTT262197:CTU262202 DDP262197:DDQ262202 DNL262197:DNM262202 DXH262197:DXI262202 EHD262197:EHE262202 EQZ262197:ERA262202 FAV262197:FAW262202 FKR262197:FKS262202 FUN262197:FUO262202 GEJ262197:GEK262202 GOF262197:GOG262202 GYB262197:GYC262202 HHX262197:HHY262202 HRT262197:HRU262202 IBP262197:IBQ262202 ILL262197:ILM262202 IVH262197:IVI262202 JFD262197:JFE262202 JOZ262197:JPA262202 JYV262197:JYW262202 KIR262197:KIS262202 KSN262197:KSO262202 LCJ262197:LCK262202 LMF262197:LMG262202 LWB262197:LWC262202 MFX262197:MFY262202 MPT262197:MPU262202 MZP262197:MZQ262202 NJL262197:NJM262202 NTH262197:NTI262202 ODD262197:ODE262202 OMZ262197:ONA262202 OWV262197:OWW262202 PGR262197:PGS262202 PQN262197:PQO262202 QAJ262197:QAK262202 QKF262197:QKG262202 QUB262197:QUC262202 RDX262197:RDY262202 RNT262197:RNU262202 RXP262197:RXQ262202 SHL262197:SHM262202 SRH262197:SRI262202 TBD262197:TBE262202 TKZ262197:TLA262202 TUV262197:TUW262202 UER262197:UES262202 UON262197:UOO262202 UYJ262197:UYK262202 VIF262197:VIG262202 VSB262197:VSC262202 WBX262197:WBY262202 WLT262197:WLU262202 WVP262197:WVQ262202 H327733:I327738 JD327733:JE327738 SZ327733:TA327738 ACV327733:ACW327738 AMR327733:AMS327738 AWN327733:AWO327738 BGJ327733:BGK327738 BQF327733:BQG327738 CAB327733:CAC327738 CJX327733:CJY327738 CTT327733:CTU327738 DDP327733:DDQ327738 DNL327733:DNM327738 DXH327733:DXI327738 EHD327733:EHE327738 EQZ327733:ERA327738 FAV327733:FAW327738 FKR327733:FKS327738 FUN327733:FUO327738 GEJ327733:GEK327738 GOF327733:GOG327738 GYB327733:GYC327738 HHX327733:HHY327738 HRT327733:HRU327738 IBP327733:IBQ327738 ILL327733:ILM327738 IVH327733:IVI327738 JFD327733:JFE327738 JOZ327733:JPA327738 JYV327733:JYW327738 KIR327733:KIS327738 KSN327733:KSO327738 LCJ327733:LCK327738 LMF327733:LMG327738 LWB327733:LWC327738 MFX327733:MFY327738 MPT327733:MPU327738 MZP327733:MZQ327738 NJL327733:NJM327738 NTH327733:NTI327738 ODD327733:ODE327738 OMZ327733:ONA327738 OWV327733:OWW327738 PGR327733:PGS327738 PQN327733:PQO327738 QAJ327733:QAK327738 QKF327733:QKG327738 QUB327733:QUC327738 RDX327733:RDY327738 RNT327733:RNU327738 RXP327733:RXQ327738 SHL327733:SHM327738 SRH327733:SRI327738 TBD327733:TBE327738 TKZ327733:TLA327738 TUV327733:TUW327738 UER327733:UES327738 UON327733:UOO327738 UYJ327733:UYK327738 VIF327733:VIG327738 VSB327733:VSC327738 WBX327733:WBY327738 WLT327733:WLU327738 WVP327733:WVQ327738 H393269:I393274 JD393269:JE393274 SZ393269:TA393274 ACV393269:ACW393274 AMR393269:AMS393274 AWN393269:AWO393274 BGJ393269:BGK393274 BQF393269:BQG393274 CAB393269:CAC393274 CJX393269:CJY393274 CTT393269:CTU393274 DDP393269:DDQ393274 DNL393269:DNM393274 DXH393269:DXI393274 EHD393269:EHE393274 EQZ393269:ERA393274 FAV393269:FAW393274 FKR393269:FKS393274 FUN393269:FUO393274 GEJ393269:GEK393274 GOF393269:GOG393274 GYB393269:GYC393274 HHX393269:HHY393274 HRT393269:HRU393274 IBP393269:IBQ393274 ILL393269:ILM393274 IVH393269:IVI393274 JFD393269:JFE393274 JOZ393269:JPA393274 JYV393269:JYW393274 KIR393269:KIS393274 KSN393269:KSO393274 LCJ393269:LCK393274 LMF393269:LMG393274 LWB393269:LWC393274 MFX393269:MFY393274 MPT393269:MPU393274 MZP393269:MZQ393274 NJL393269:NJM393274 NTH393269:NTI393274 ODD393269:ODE393274 OMZ393269:ONA393274 OWV393269:OWW393274 PGR393269:PGS393274 PQN393269:PQO393274 QAJ393269:QAK393274 QKF393269:QKG393274 QUB393269:QUC393274 RDX393269:RDY393274 RNT393269:RNU393274 RXP393269:RXQ393274 SHL393269:SHM393274 SRH393269:SRI393274 TBD393269:TBE393274 TKZ393269:TLA393274 TUV393269:TUW393274 UER393269:UES393274 UON393269:UOO393274 UYJ393269:UYK393274 VIF393269:VIG393274 VSB393269:VSC393274 WBX393269:WBY393274 WLT393269:WLU393274 WVP393269:WVQ393274 H458805:I458810 JD458805:JE458810 SZ458805:TA458810 ACV458805:ACW458810 AMR458805:AMS458810 AWN458805:AWO458810 BGJ458805:BGK458810 BQF458805:BQG458810 CAB458805:CAC458810 CJX458805:CJY458810 CTT458805:CTU458810 DDP458805:DDQ458810 DNL458805:DNM458810 DXH458805:DXI458810 EHD458805:EHE458810 EQZ458805:ERA458810 FAV458805:FAW458810 FKR458805:FKS458810 FUN458805:FUO458810 GEJ458805:GEK458810 GOF458805:GOG458810 GYB458805:GYC458810 HHX458805:HHY458810 HRT458805:HRU458810 IBP458805:IBQ458810 ILL458805:ILM458810 IVH458805:IVI458810 JFD458805:JFE458810 JOZ458805:JPA458810 JYV458805:JYW458810 KIR458805:KIS458810 KSN458805:KSO458810 LCJ458805:LCK458810 LMF458805:LMG458810 LWB458805:LWC458810 MFX458805:MFY458810 MPT458805:MPU458810 MZP458805:MZQ458810 NJL458805:NJM458810 NTH458805:NTI458810 ODD458805:ODE458810 OMZ458805:ONA458810 OWV458805:OWW458810 PGR458805:PGS458810 PQN458805:PQO458810 QAJ458805:QAK458810 QKF458805:QKG458810 QUB458805:QUC458810 RDX458805:RDY458810 RNT458805:RNU458810 RXP458805:RXQ458810 SHL458805:SHM458810 SRH458805:SRI458810 TBD458805:TBE458810 TKZ458805:TLA458810 TUV458805:TUW458810 UER458805:UES458810 UON458805:UOO458810 UYJ458805:UYK458810 VIF458805:VIG458810 VSB458805:VSC458810 WBX458805:WBY458810 WLT458805:WLU458810 WVP458805:WVQ458810 H524341:I524346 JD524341:JE524346 SZ524341:TA524346 ACV524341:ACW524346 AMR524341:AMS524346 AWN524341:AWO524346 BGJ524341:BGK524346 BQF524341:BQG524346 CAB524341:CAC524346 CJX524341:CJY524346 CTT524341:CTU524346 DDP524341:DDQ524346 DNL524341:DNM524346 DXH524341:DXI524346 EHD524341:EHE524346 EQZ524341:ERA524346 FAV524341:FAW524346 FKR524341:FKS524346 FUN524341:FUO524346 GEJ524341:GEK524346 GOF524341:GOG524346 GYB524341:GYC524346 HHX524341:HHY524346 HRT524341:HRU524346 IBP524341:IBQ524346 ILL524341:ILM524346 IVH524341:IVI524346 JFD524341:JFE524346 JOZ524341:JPA524346 JYV524341:JYW524346 KIR524341:KIS524346 KSN524341:KSO524346 LCJ524341:LCK524346 LMF524341:LMG524346 LWB524341:LWC524346 MFX524341:MFY524346 MPT524341:MPU524346 MZP524341:MZQ524346 NJL524341:NJM524346 NTH524341:NTI524346 ODD524341:ODE524346 OMZ524341:ONA524346 OWV524341:OWW524346 PGR524341:PGS524346 PQN524341:PQO524346 QAJ524341:QAK524346 QKF524341:QKG524346 QUB524341:QUC524346 RDX524341:RDY524346 RNT524341:RNU524346 RXP524341:RXQ524346 SHL524341:SHM524346 SRH524341:SRI524346 TBD524341:TBE524346 TKZ524341:TLA524346 TUV524341:TUW524346 UER524341:UES524346 UON524341:UOO524346 UYJ524341:UYK524346 VIF524341:VIG524346 VSB524341:VSC524346 WBX524341:WBY524346 WLT524341:WLU524346 WVP524341:WVQ524346 H589877:I589882 JD589877:JE589882 SZ589877:TA589882 ACV589877:ACW589882 AMR589877:AMS589882 AWN589877:AWO589882 BGJ589877:BGK589882 BQF589877:BQG589882 CAB589877:CAC589882 CJX589877:CJY589882 CTT589877:CTU589882 DDP589877:DDQ589882 DNL589877:DNM589882 DXH589877:DXI589882 EHD589877:EHE589882 EQZ589877:ERA589882 FAV589877:FAW589882 FKR589877:FKS589882 FUN589877:FUO589882 GEJ589877:GEK589882 GOF589877:GOG589882 GYB589877:GYC589882 HHX589877:HHY589882 HRT589877:HRU589882 IBP589877:IBQ589882 ILL589877:ILM589882 IVH589877:IVI589882 JFD589877:JFE589882 JOZ589877:JPA589882 JYV589877:JYW589882 KIR589877:KIS589882 KSN589877:KSO589882 LCJ589877:LCK589882 LMF589877:LMG589882 LWB589877:LWC589882 MFX589877:MFY589882 MPT589877:MPU589882 MZP589877:MZQ589882 NJL589877:NJM589882 NTH589877:NTI589882 ODD589877:ODE589882 OMZ589877:ONA589882 OWV589877:OWW589882 PGR589877:PGS589882 PQN589877:PQO589882 QAJ589877:QAK589882 QKF589877:QKG589882 QUB589877:QUC589882 RDX589877:RDY589882 RNT589877:RNU589882 RXP589877:RXQ589882 SHL589877:SHM589882 SRH589877:SRI589882 TBD589877:TBE589882 TKZ589877:TLA589882 TUV589877:TUW589882 UER589877:UES589882 UON589877:UOO589882 UYJ589877:UYK589882 VIF589877:VIG589882 VSB589877:VSC589882 WBX589877:WBY589882 WLT589877:WLU589882 WVP589877:WVQ589882 H655413:I655418 JD655413:JE655418 SZ655413:TA655418 ACV655413:ACW655418 AMR655413:AMS655418 AWN655413:AWO655418 BGJ655413:BGK655418 BQF655413:BQG655418 CAB655413:CAC655418 CJX655413:CJY655418 CTT655413:CTU655418 DDP655413:DDQ655418 DNL655413:DNM655418 DXH655413:DXI655418 EHD655413:EHE655418 EQZ655413:ERA655418 FAV655413:FAW655418 FKR655413:FKS655418 FUN655413:FUO655418 GEJ655413:GEK655418 GOF655413:GOG655418 GYB655413:GYC655418 HHX655413:HHY655418 HRT655413:HRU655418 IBP655413:IBQ655418 ILL655413:ILM655418 IVH655413:IVI655418 JFD655413:JFE655418 JOZ655413:JPA655418 JYV655413:JYW655418 KIR655413:KIS655418 KSN655413:KSO655418 LCJ655413:LCK655418 LMF655413:LMG655418 LWB655413:LWC655418 MFX655413:MFY655418 MPT655413:MPU655418 MZP655413:MZQ655418 NJL655413:NJM655418 NTH655413:NTI655418 ODD655413:ODE655418 OMZ655413:ONA655418 OWV655413:OWW655418 PGR655413:PGS655418 PQN655413:PQO655418 QAJ655413:QAK655418 QKF655413:QKG655418 QUB655413:QUC655418 RDX655413:RDY655418 RNT655413:RNU655418 RXP655413:RXQ655418 SHL655413:SHM655418 SRH655413:SRI655418 TBD655413:TBE655418 TKZ655413:TLA655418 TUV655413:TUW655418 UER655413:UES655418 UON655413:UOO655418 UYJ655413:UYK655418 VIF655413:VIG655418 VSB655413:VSC655418 WBX655413:WBY655418 WLT655413:WLU655418 WVP655413:WVQ655418 H720949:I720954 JD720949:JE720954 SZ720949:TA720954 ACV720949:ACW720954 AMR720949:AMS720954 AWN720949:AWO720954 BGJ720949:BGK720954 BQF720949:BQG720954 CAB720949:CAC720954 CJX720949:CJY720954 CTT720949:CTU720954 DDP720949:DDQ720954 DNL720949:DNM720954 DXH720949:DXI720954 EHD720949:EHE720954 EQZ720949:ERA720954 FAV720949:FAW720954 FKR720949:FKS720954 FUN720949:FUO720954 GEJ720949:GEK720954 GOF720949:GOG720954 GYB720949:GYC720954 HHX720949:HHY720954 HRT720949:HRU720954 IBP720949:IBQ720954 ILL720949:ILM720954 IVH720949:IVI720954 JFD720949:JFE720954 JOZ720949:JPA720954 JYV720949:JYW720954 KIR720949:KIS720954 KSN720949:KSO720954 LCJ720949:LCK720954 LMF720949:LMG720954 LWB720949:LWC720954 MFX720949:MFY720954 MPT720949:MPU720954 MZP720949:MZQ720954 NJL720949:NJM720954 NTH720949:NTI720954 ODD720949:ODE720954 OMZ720949:ONA720954 OWV720949:OWW720954 PGR720949:PGS720954 PQN720949:PQO720954 QAJ720949:QAK720954 QKF720949:QKG720954 QUB720949:QUC720954 RDX720949:RDY720954 RNT720949:RNU720954 RXP720949:RXQ720954 SHL720949:SHM720954 SRH720949:SRI720954 TBD720949:TBE720954 TKZ720949:TLA720954 TUV720949:TUW720954 UER720949:UES720954 UON720949:UOO720954 UYJ720949:UYK720954 VIF720949:VIG720954 VSB720949:VSC720954 WBX720949:WBY720954 WLT720949:WLU720954 WVP720949:WVQ720954 H786485:I786490 JD786485:JE786490 SZ786485:TA786490 ACV786485:ACW786490 AMR786485:AMS786490 AWN786485:AWO786490 BGJ786485:BGK786490 BQF786485:BQG786490 CAB786485:CAC786490 CJX786485:CJY786490 CTT786485:CTU786490 DDP786485:DDQ786490 DNL786485:DNM786490 DXH786485:DXI786490 EHD786485:EHE786490 EQZ786485:ERA786490 FAV786485:FAW786490 FKR786485:FKS786490 FUN786485:FUO786490 GEJ786485:GEK786490 GOF786485:GOG786490 GYB786485:GYC786490 HHX786485:HHY786490 HRT786485:HRU786490 IBP786485:IBQ786490 ILL786485:ILM786490 IVH786485:IVI786490 JFD786485:JFE786490 JOZ786485:JPA786490 JYV786485:JYW786490 KIR786485:KIS786490 KSN786485:KSO786490 LCJ786485:LCK786490 LMF786485:LMG786490 LWB786485:LWC786490 MFX786485:MFY786490 MPT786485:MPU786490 MZP786485:MZQ786490 NJL786485:NJM786490 NTH786485:NTI786490 ODD786485:ODE786490 OMZ786485:ONA786490 OWV786485:OWW786490 PGR786485:PGS786490 PQN786485:PQO786490 QAJ786485:QAK786490 QKF786485:QKG786490 QUB786485:QUC786490 RDX786485:RDY786490 RNT786485:RNU786490 RXP786485:RXQ786490 SHL786485:SHM786490 SRH786485:SRI786490 TBD786485:TBE786490 TKZ786485:TLA786490 TUV786485:TUW786490 UER786485:UES786490 UON786485:UOO786490 UYJ786485:UYK786490 VIF786485:VIG786490 VSB786485:VSC786490 WBX786485:WBY786490 WLT786485:WLU786490 WVP786485:WVQ786490 H852021:I852026 JD852021:JE852026 SZ852021:TA852026 ACV852021:ACW852026 AMR852021:AMS852026 AWN852021:AWO852026 BGJ852021:BGK852026 BQF852021:BQG852026 CAB852021:CAC852026 CJX852021:CJY852026 CTT852021:CTU852026 DDP852021:DDQ852026 DNL852021:DNM852026 DXH852021:DXI852026 EHD852021:EHE852026 EQZ852021:ERA852026 FAV852021:FAW852026 FKR852021:FKS852026 FUN852021:FUO852026 GEJ852021:GEK852026 GOF852021:GOG852026 GYB852021:GYC852026 HHX852021:HHY852026 HRT852021:HRU852026 IBP852021:IBQ852026 ILL852021:ILM852026 IVH852021:IVI852026 JFD852021:JFE852026 JOZ852021:JPA852026 JYV852021:JYW852026 KIR852021:KIS852026 KSN852021:KSO852026 LCJ852021:LCK852026 LMF852021:LMG852026 LWB852021:LWC852026 MFX852021:MFY852026 MPT852021:MPU852026 MZP852021:MZQ852026 NJL852021:NJM852026 NTH852021:NTI852026 ODD852021:ODE852026 OMZ852021:ONA852026 OWV852021:OWW852026 PGR852021:PGS852026 PQN852021:PQO852026 QAJ852021:QAK852026 QKF852021:QKG852026 QUB852021:QUC852026 RDX852021:RDY852026 RNT852021:RNU852026 RXP852021:RXQ852026 SHL852021:SHM852026 SRH852021:SRI852026 TBD852021:TBE852026 TKZ852021:TLA852026 TUV852021:TUW852026 UER852021:UES852026 UON852021:UOO852026 UYJ852021:UYK852026 VIF852021:VIG852026 VSB852021:VSC852026 WBX852021:WBY852026 WLT852021:WLU852026 WVP852021:WVQ852026 H917557:I917562 JD917557:JE917562 SZ917557:TA917562 ACV917557:ACW917562 AMR917557:AMS917562 AWN917557:AWO917562 BGJ917557:BGK917562 BQF917557:BQG917562 CAB917557:CAC917562 CJX917557:CJY917562 CTT917557:CTU917562 DDP917557:DDQ917562 DNL917557:DNM917562 DXH917557:DXI917562 EHD917557:EHE917562 EQZ917557:ERA917562 FAV917557:FAW917562 FKR917557:FKS917562 FUN917557:FUO917562 GEJ917557:GEK917562 GOF917557:GOG917562 GYB917557:GYC917562 HHX917557:HHY917562 HRT917557:HRU917562 IBP917557:IBQ917562 ILL917557:ILM917562 IVH917557:IVI917562 JFD917557:JFE917562 JOZ917557:JPA917562 JYV917557:JYW917562 KIR917557:KIS917562 KSN917557:KSO917562 LCJ917557:LCK917562 LMF917557:LMG917562 LWB917557:LWC917562 MFX917557:MFY917562 MPT917557:MPU917562 MZP917557:MZQ917562 NJL917557:NJM917562 NTH917557:NTI917562 ODD917557:ODE917562 OMZ917557:ONA917562 OWV917557:OWW917562 PGR917557:PGS917562 PQN917557:PQO917562 QAJ917557:QAK917562 QKF917557:QKG917562 QUB917557:QUC917562 RDX917557:RDY917562 RNT917557:RNU917562 RXP917557:RXQ917562 SHL917557:SHM917562 SRH917557:SRI917562 TBD917557:TBE917562 TKZ917557:TLA917562 TUV917557:TUW917562 UER917557:UES917562 UON917557:UOO917562 UYJ917557:UYK917562 VIF917557:VIG917562 VSB917557:VSC917562 WBX917557:WBY917562 WLT917557:WLU917562 WVP917557:WVQ917562 H983093:I983098 JD983093:JE983098 SZ983093:TA983098 ACV983093:ACW983098 AMR983093:AMS983098 AWN983093:AWO983098 BGJ983093:BGK983098 BQF983093:BQG983098 CAB983093:CAC983098 CJX983093:CJY983098 CTT983093:CTU983098 DDP983093:DDQ983098 DNL983093:DNM983098 DXH983093:DXI983098 EHD983093:EHE983098 EQZ983093:ERA983098 FAV983093:FAW983098 FKR983093:FKS983098 FUN983093:FUO983098 GEJ983093:GEK983098 GOF983093:GOG983098 GYB983093:GYC983098 HHX983093:HHY983098 HRT983093:HRU983098 IBP983093:IBQ983098 ILL983093:ILM983098 IVH983093:IVI983098 JFD983093:JFE983098 JOZ983093:JPA983098 JYV983093:JYW983098 KIR983093:KIS983098 KSN983093:KSO983098 LCJ983093:LCK983098 LMF983093:LMG983098 LWB983093:LWC983098 MFX983093:MFY983098 MPT983093:MPU983098 MZP983093:MZQ983098 NJL983093:NJM983098 NTH983093:NTI983098 ODD983093:ODE983098 OMZ983093:ONA983098 OWV983093:OWW983098 PGR983093:PGS983098 PQN983093:PQO983098 QAJ983093:QAK983098 QKF983093:QKG983098 QUB983093:QUC983098 RDX983093:RDY983098 RNT983093:RNU983098 RXP983093:RXQ983098 SHL983093:SHM983098 SRH983093:SRI983098 TBD983093:TBE983098 TKZ983093:TLA983098 TUV983093:TUW983098 UER983093:UES983098 UON983093:UOO983098 UYJ983093:UYK983098 VIF983093:VIG983098 VSB983093:VSC983098 WBX983093:WBY983098 WLT983093:WLU983098 WVP983093:WVQ983098</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9FF99"/>
    <pageSetUpPr fitToPage="1"/>
  </sheetPr>
  <dimension ref="A1:CO188"/>
  <sheetViews>
    <sheetView showGridLines="0" view="pageBreakPreview" zoomScale="90" zoomScaleNormal="75" zoomScaleSheetLayoutView="90" workbookViewId="0">
      <selection activeCell="C1" sqref="C1"/>
    </sheetView>
  </sheetViews>
  <sheetFormatPr defaultRowHeight="12.75"/>
  <cols>
    <col min="1" max="1" width="9.140625" style="1324"/>
    <col min="2" max="2" width="20" style="1324" customWidth="1"/>
    <col min="3" max="4" width="15.7109375" style="1324" customWidth="1"/>
    <col min="5" max="5" width="18.85546875" style="1324" customWidth="1"/>
    <col min="6" max="6" width="35.7109375" style="1324" customWidth="1"/>
    <col min="7" max="7" width="10.7109375" style="1324" customWidth="1"/>
    <col min="8" max="8" width="6.28515625" style="1324" customWidth="1"/>
    <col min="9" max="9" width="11" style="1324" customWidth="1"/>
    <col min="10" max="10" width="35.85546875" style="1324" customWidth="1"/>
    <col min="11" max="11" width="9.140625" style="1552"/>
    <col min="12" max="12" width="65.28515625" style="1324" customWidth="1"/>
    <col min="13" max="13" width="24.7109375" style="1324" customWidth="1"/>
    <col min="14" max="14" width="16.28515625" style="1324" bestFit="1" customWidth="1"/>
    <col min="15" max="15" width="9.28515625" style="1552" customWidth="1"/>
    <col min="16" max="16" width="11.42578125" style="1552" customWidth="1"/>
    <col min="17" max="17" width="9.140625" style="1324" hidden="1" customWidth="1"/>
    <col min="18" max="16384" width="9.140625" style="1324"/>
  </cols>
  <sheetData>
    <row r="1" spans="1:93" ht="26.25" customHeight="1">
      <c r="A1" s="1534" t="s">
        <v>1408</v>
      </c>
      <c r="B1" s="1138"/>
      <c r="C1" s="1137"/>
      <c r="D1" s="1138"/>
      <c r="E1" s="1138"/>
      <c r="F1" s="1140"/>
      <c r="G1" s="1138"/>
      <c r="H1" s="795"/>
      <c r="I1" s="795"/>
      <c r="J1" s="795"/>
      <c r="K1" s="1324"/>
      <c r="O1" s="1324"/>
      <c r="P1" s="1324"/>
    </row>
    <row r="2" spans="1:93" ht="26.25" customHeight="1">
      <c r="B2" s="1138"/>
      <c r="C2" s="1137" t="str">
        <f>'1.1 - APPLIANCES'!C2</f>
        <v>MULTIFAMILY PERFORMANCE PROGRAM</v>
      </c>
      <c r="D2" s="1138"/>
      <c r="E2" s="1138"/>
      <c r="F2" s="1140"/>
      <c r="G2" s="1138"/>
      <c r="H2" s="795"/>
      <c r="I2" s="795"/>
      <c r="J2" s="795"/>
      <c r="K2" s="1324"/>
      <c r="O2" s="1324"/>
      <c r="P2" s="1324"/>
    </row>
    <row r="3" spans="1:93" ht="26.25" customHeight="1">
      <c r="B3" s="1138"/>
      <c r="C3" s="1139" t="s">
        <v>368</v>
      </c>
      <c r="D3" s="1139">
        <f>'Project Info'!C3</f>
        <v>0</v>
      </c>
      <c r="E3" s="1138"/>
      <c r="F3" s="1140"/>
      <c r="G3" s="1138"/>
      <c r="H3" s="795"/>
      <c r="I3" s="795"/>
      <c r="J3" s="795"/>
      <c r="K3" s="1324"/>
      <c r="O3" s="1324"/>
      <c r="P3" s="1324"/>
    </row>
    <row r="4" spans="1:93" ht="26.25" customHeight="1">
      <c r="A4" s="1551"/>
      <c r="B4" s="1138"/>
      <c r="C4" s="790"/>
      <c r="D4" s="1138"/>
      <c r="E4" s="1138"/>
      <c r="F4" s="1138"/>
      <c r="G4" s="1138"/>
      <c r="H4" s="795"/>
      <c r="I4" s="795"/>
      <c r="J4" s="1636"/>
      <c r="Q4" s="795"/>
      <c r="R4" s="795"/>
      <c r="S4" s="795"/>
      <c r="T4" s="795"/>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c r="AT4" s="795"/>
      <c r="AU4" s="795"/>
      <c r="AV4" s="795"/>
      <c r="AW4" s="795"/>
      <c r="AX4" s="795"/>
      <c r="AY4" s="795"/>
      <c r="AZ4" s="795"/>
      <c r="BA4" s="795"/>
      <c r="BB4" s="795"/>
      <c r="BC4" s="795"/>
      <c r="BD4" s="795"/>
      <c r="BE4" s="795"/>
      <c r="BF4" s="795"/>
      <c r="BG4" s="795"/>
      <c r="BH4" s="795"/>
      <c r="BI4" s="795"/>
      <c r="BJ4" s="795"/>
      <c r="BK4" s="795"/>
      <c r="BL4" s="795"/>
      <c r="BM4" s="795"/>
      <c r="BN4" s="795"/>
      <c r="BO4" s="795"/>
      <c r="BP4" s="795"/>
      <c r="BQ4" s="795"/>
      <c r="BR4" s="795"/>
      <c r="BS4" s="795"/>
      <c r="BT4" s="795"/>
      <c r="BU4" s="795"/>
      <c r="BV4" s="795"/>
      <c r="BW4" s="795"/>
      <c r="BX4" s="795"/>
      <c r="BY4" s="795"/>
      <c r="BZ4" s="795"/>
      <c r="CA4" s="795"/>
      <c r="CB4" s="795"/>
      <c r="CC4" s="795"/>
      <c r="CD4" s="795"/>
      <c r="CE4" s="795"/>
      <c r="CF4" s="795"/>
      <c r="CG4" s="795"/>
      <c r="CH4" s="795"/>
      <c r="CI4" s="795"/>
      <c r="CJ4" s="795"/>
      <c r="CK4" s="795"/>
      <c r="CL4" s="795"/>
      <c r="CM4" s="795"/>
      <c r="CN4" s="795"/>
      <c r="CO4" s="795"/>
    </row>
    <row r="5" spans="1:93" s="1629" customFormat="1" ht="15.75">
      <c r="A5" s="1533"/>
      <c r="B5" s="1141" t="s">
        <v>1528</v>
      </c>
      <c r="C5" s="1142"/>
      <c r="D5" s="1142"/>
      <c r="E5" s="1143"/>
      <c r="F5" s="1166"/>
      <c r="G5" s="1189"/>
      <c r="H5" s="2723" t="s">
        <v>1411</v>
      </c>
      <c r="I5" s="2723"/>
      <c r="J5" s="1352" t="s">
        <v>1412</v>
      </c>
      <c r="K5" s="1635"/>
      <c r="L5" s="1533"/>
      <c r="M5" s="1533"/>
      <c r="N5" s="1533"/>
      <c r="O5" s="1635"/>
      <c r="P5" s="1635"/>
      <c r="Q5" s="1540"/>
      <c r="R5" s="1540"/>
      <c r="S5" s="1540"/>
      <c r="T5" s="1540"/>
      <c r="U5" s="1540"/>
      <c r="V5" s="1540"/>
      <c r="W5" s="1540"/>
      <c r="X5" s="1540"/>
      <c r="Y5" s="1540"/>
      <c r="Z5" s="1540"/>
      <c r="AA5" s="1540"/>
      <c r="AB5" s="1540"/>
      <c r="AC5" s="1540"/>
      <c r="AD5" s="1540"/>
      <c r="AE5" s="1540"/>
      <c r="AF5" s="1540"/>
      <c r="AG5" s="1540"/>
      <c r="AH5" s="1540"/>
      <c r="AI5" s="1540"/>
      <c r="AJ5" s="1540"/>
      <c r="AK5" s="1540"/>
      <c r="AL5" s="1540"/>
      <c r="AM5" s="1540"/>
      <c r="AN5" s="1540"/>
      <c r="AO5" s="1540"/>
      <c r="AP5" s="1540"/>
      <c r="AQ5" s="1540"/>
      <c r="AR5" s="1540"/>
      <c r="AS5" s="1540"/>
      <c r="AT5" s="1540"/>
      <c r="AU5" s="1540"/>
      <c r="AV5" s="1540"/>
      <c r="AW5" s="1540"/>
      <c r="AX5" s="1540"/>
      <c r="AY5" s="1540"/>
      <c r="AZ5" s="1540"/>
      <c r="BA5" s="1540"/>
      <c r="BB5" s="1540"/>
      <c r="BC5" s="1540"/>
      <c r="BD5" s="1540"/>
      <c r="BE5" s="1540"/>
      <c r="BF5" s="1540"/>
      <c r="BG5" s="1540"/>
      <c r="BH5" s="1540"/>
      <c r="BI5" s="1540"/>
      <c r="BJ5" s="1540"/>
      <c r="BK5" s="1540"/>
      <c r="BL5" s="1540"/>
      <c r="BM5" s="1540"/>
      <c r="BN5" s="1540"/>
      <c r="BO5" s="1540"/>
      <c r="BP5" s="1540"/>
      <c r="BQ5" s="1540"/>
      <c r="BR5" s="1540"/>
      <c r="BS5" s="1540"/>
      <c r="BT5" s="1540"/>
      <c r="BU5" s="1540"/>
      <c r="BV5" s="1540"/>
      <c r="BW5" s="1540"/>
      <c r="BX5" s="1540"/>
      <c r="BY5" s="1540"/>
      <c r="BZ5" s="1540"/>
      <c r="CA5" s="1540"/>
      <c r="CB5" s="1540"/>
      <c r="CC5" s="1540"/>
      <c r="CD5" s="1540"/>
      <c r="CE5" s="1540"/>
      <c r="CF5" s="1540"/>
      <c r="CG5" s="1540"/>
      <c r="CH5" s="1540"/>
      <c r="CI5" s="1540"/>
      <c r="CJ5" s="1540"/>
      <c r="CK5" s="1540"/>
      <c r="CL5" s="1540"/>
      <c r="CM5" s="1540"/>
      <c r="CN5" s="1540"/>
      <c r="CO5" s="1540"/>
    </row>
    <row r="6" spans="1:93" s="1561" customFormat="1" ht="30" customHeight="1">
      <c r="B6" s="1145"/>
      <c r="C6" s="1145"/>
      <c r="D6" s="1145"/>
      <c r="E6" s="1145"/>
      <c r="F6" s="1145"/>
      <c r="G6" s="1145"/>
      <c r="H6" s="2756" t="s">
        <v>1413</v>
      </c>
      <c r="I6" s="2719"/>
      <c r="J6" s="913"/>
      <c r="K6" s="1562"/>
      <c r="L6" s="1172" t="s">
        <v>1467</v>
      </c>
      <c r="M6" s="1173" t="s">
        <v>1468</v>
      </c>
      <c r="N6" s="1172" t="s">
        <v>1469</v>
      </c>
      <c r="O6" s="1562"/>
      <c r="P6" s="1562"/>
      <c r="Q6" s="1634"/>
      <c r="R6" s="1634"/>
      <c r="S6" s="1634"/>
      <c r="T6" s="1634"/>
      <c r="U6" s="1634"/>
      <c r="V6" s="1634"/>
      <c r="W6" s="1634"/>
      <c r="X6" s="1634"/>
      <c r="Y6" s="1634"/>
      <c r="Z6" s="1634"/>
      <c r="AA6" s="1634"/>
      <c r="AB6" s="1634"/>
      <c r="AC6" s="1634"/>
      <c r="AD6" s="1634"/>
      <c r="AE6" s="1634"/>
      <c r="AF6" s="1634"/>
      <c r="AG6" s="1634"/>
      <c r="AH6" s="1634"/>
      <c r="AI6" s="1634"/>
      <c r="AJ6" s="1634"/>
      <c r="AK6" s="1634"/>
      <c r="AL6" s="1634"/>
      <c r="AM6" s="1634"/>
      <c r="AN6" s="1634"/>
      <c r="AO6" s="1634"/>
      <c r="AP6" s="1634"/>
      <c r="AQ6" s="1634"/>
      <c r="AR6" s="1634"/>
      <c r="AS6" s="1634"/>
      <c r="AT6" s="1634"/>
      <c r="AU6" s="1634"/>
      <c r="AV6" s="1634"/>
      <c r="AW6" s="1634"/>
      <c r="AX6" s="1634"/>
      <c r="AY6" s="1634"/>
      <c r="AZ6" s="1634"/>
      <c r="BA6" s="1634"/>
      <c r="BB6" s="1634"/>
      <c r="BC6" s="1634"/>
      <c r="BD6" s="1634"/>
      <c r="BE6" s="1634"/>
      <c r="BF6" s="1634"/>
      <c r="BG6" s="1634"/>
      <c r="BH6" s="1634"/>
      <c r="BI6" s="1634"/>
      <c r="BJ6" s="1634"/>
      <c r="BK6" s="1634"/>
      <c r="BL6" s="1634"/>
      <c r="BM6" s="1634"/>
      <c r="BN6" s="1634"/>
      <c r="BO6" s="1634"/>
      <c r="BP6" s="1634"/>
      <c r="BQ6" s="1634"/>
      <c r="BR6" s="1634"/>
      <c r="BS6" s="1634"/>
      <c r="BT6" s="1634"/>
      <c r="BU6" s="1634"/>
      <c r="BV6" s="1634"/>
      <c r="BW6" s="1634"/>
      <c r="BX6" s="1634"/>
      <c r="BY6" s="1634"/>
      <c r="BZ6" s="1634"/>
      <c r="CA6" s="1634"/>
      <c r="CB6" s="1634"/>
      <c r="CC6" s="1634"/>
      <c r="CD6" s="1634"/>
      <c r="CE6" s="1634"/>
      <c r="CF6" s="1634"/>
      <c r="CG6" s="1634"/>
      <c r="CH6" s="1634"/>
      <c r="CI6" s="1634"/>
      <c r="CJ6" s="1634"/>
      <c r="CK6" s="1634"/>
      <c r="CL6" s="1634"/>
      <c r="CM6" s="1634"/>
      <c r="CN6" s="1634"/>
      <c r="CO6" s="1634"/>
    </row>
    <row r="7" spans="1:93" s="1561" customFormat="1">
      <c r="B7" s="1191"/>
      <c r="C7" s="1191"/>
      <c r="D7" s="1191"/>
      <c r="E7" s="1191"/>
      <c r="F7" s="1191"/>
      <c r="G7" s="1191"/>
      <c r="H7" s="2719"/>
      <c r="I7" s="2719"/>
      <c r="J7" s="890"/>
      <c r="K7" s="1562"/>
      <c r="L7" s="1174" t="s">
        <v>1471</v>
      </c>
      <c r="M7" s="1175">
        <v>5</v>
      </c>
      <c r="N7" s="1174" t="s">
        <v>1472</v>
      </c>
      <c r="O7" s="1562"/>
      <c r="P7" s="1562"/>
      <c r="Q7" s="1634"/>
      <c r="R7" s="1634"/>
      <c r="S7" s="1634"/>
      <c r="T7" s="1634"/>
      <c r="U7" s="1634"/>
      <c r="V7" s="1634"/>
      <c r="W7" s="1634"/>
      <c r="X7" s="1634"/>
      <c r="Y7" s="1634"/>
      <c r="Z7" s="1634"/>
      <c r="AA7" s="1634"/>
      <c r="AB7" s="1634"/>
      <c r="AC7" s="1634"/>
      <c r="AD7" s="1634"/>
      <c r="AE7" s="1634"/>
      <c r="AF7" s="1634"/>
      <c r="AG7" s="1634"/>
      <c r="AH7" s="1634"/>
      <c r="AI7" s="1634"/>
      <c r="AJ7" s="1634"/>
      <c r="AK7" s="1634"/>
      <c r="AL7" s="1634"/>
      <c r="AM7" s="1634"/>
      <c r="AN7" s="1634"/>
      <c r="AO7" s="1634"/>
      <c r="AP7" s="1634"/>
      <c r="AQ7" s="1634"/>
      <c r="AR7" s="1634"/>
      <c r="AS7" s="1634"/>
      <c r="AT7" s="1634"/>
      <c r="AU7" s="1634"/>
      <c r="AV7" s="1634"/>
      <c r="AW7" s="1634"/>
      <c r="AX7" s="1634"/>
      <c r="AY7" s="1634"/>
      <c r="AZ7" s="1634"/>
      <c r="BA7" s="1634"/>
      <c r="BB7" s="1634"/>
      <c r="BC7" s="1634"/>
      <c r="BD7" s="1634"/>
      <c r="BE7" s="1634"/>
      <c r="BF7" s="1634"/>
      <c r="BG7" s="1634"/>
      <c r="BH7" s="1634"/>
      <c r="BI7" s="1634"/>
      <c r="BJ7" s="1634"/>
      <c r="BK7" s="1634"/>
      <c r="BL7" s="1634"/>
      <c r="BM7" s="1634"/>
      <c r="BN7" s="1634"/>
      <c r="BO7" s="1634"/>
      <c r="BP7" s="1634"/>
      <c r="BQ7" s="1634"/>
      <c r="BR7" s="1634"/>
      <c r="BS7" s="1634"/>
      <c r="BT7" s="1634"/>
      <c r="BU7" s="1634"/>
      <c r="BV7" s="1634"/>
      <c r="BW7" s="1634"/>
      <c r="BX7" s="1634"/>
      <c r="BY7" s="1634"/>
      <c r="BZ7" s="1634"/>
      <c r="CA7" s="1634"/>
      <c r="CB7" s="1634"/>
      <c r="CC7" s="1634"/>
      <c r="CD7" s="1634"/>
      <c r="CE7" s="1634"/>
      <c r="CF7" s="1634"/>
      <c r="CG7" s="1634"/>
      <c r="CH7" s="1634"/>
      <c r="CI7" s="1634"/>
      <c r="CJ7" s="1634"/>
      <c r="CK7" s="1634"/>
      <c r="CL7" s="1634"/>
      <c r="CM7" s="1634"/>
      <c r="CN7" s="1634"/>
      <c r="CO7" s="1634"/>
    </row>
    <row r="8" spans="1:93">
      <c r="A8" s="1430"/>
      <c r="B8" s="1148" t="s">
        <v>1414</v>
      </c>
      <c r="C8" s="1169"/>
      <c r="D8" s="1170"/>
      <c r="E8" s="1170"/>
      <c r="F8" s="1170"/>
      <c r="G8" s="1170"/>
      <c r="H8" s="2719"/>
      <c r="I8" s="2719"/>
      <c r="J8" s="890"/>
      <c r="K8" s="1430"/>
      <c r="L8" s="1174" t="s">
        <v>1474</v>
      </c>
      <c r="M8" s="1176">
        <v>5.6</v>
      </c>
      <c r="N8" s="1174" t="s">
        <v>1475</v>
      </c>
      <c r="O8" s="1430"/>
      <c r="P8" s="1430"/>
      <c r="Q8" s="1430"/>
      <c r="R8" s="1430"/>
      <c r="S8" s="1430"/>
      <c r="T8" s="1430"/>
      <c r="U8" s="1430"/>
      <c r="V8" s="1430"/>
      <c r="W8" s="1430"/>
      <c r="X8" s="1430"/>
      <c r="Y8" s="1430"/>
      <c r="Z8" s="1430"/>
      <c r="AA8" s="1430"/>
      <c r="AB8" s="1430"/>
      <c r="AC8" s="1430"/>
      <c r="AD8" s="1430"/>
      <c r="AE8" s="1430"/>
      <c r="AF8" s="1430"/>
      <c r="AG8" s="1430"/>
      <c r="AH8" s="1430"/>
      <c r="AI8" s="1430"/>
      <c r="AJ8" s="1430"/>
      <c r="AK8" s="1430"/>
      <c r="AL8" s="1430"/>
      <c r="AM8" s="1430"/>
      <c r="AN8" s="1430"/>
      <c r="AO8" s="1430"/>
      <c r="AP8" s="1430"/>
      <c r="AQ8" s="1430"/>
      <c r="AR8" s="1430"/>
      <c r="AS8" s="1430"/>
      <c r="AT8" s="1430"/>
      <c r="AU8" s="1430"/>
      <c r="AV8" s="1430"/>
      <c r="AW8" s="1430"/>
      <c r="AX8" s="1430"/>
      <c r="AY8" s="1430"/>
      <c r="AZ8" s="1430"/>
      <c r="BA8" s="1430"/>
      <c r="BB8" s="1430"/>
    </row>
    <row r="9" spans="1:93" ht="29.25" customHeight="1">
      <c r="A9" s="1430"/>
      <c r="B9" s="2673" t="s">
        <v>1529</v>
      </c>
      <c r="C9" s="2673"/>
      <c r="D9" s="2673"/>
      <c r="E9" s="2673"/>
      <c r="F9" s="2673"/>
      <c r="G9" s="2673"/>
      <c r="H9" s="1529"/>
      <c r="I9" s="1529"/>
      <c r="J9" s="1530"/>
      <c r="K9" s="1430"/>
      <c r="L9" s="1174" t="s">
        <v>1476</v>
      </c>
      <c r="M9" s="1176">
        <v>3.4</v>
      </c>
      <c r="N9" s="1174" t="s">
        <v>1477</v>
      </c>
      <c r="O9" s="1430"/>
      <c r="P9" s="1430"/>
      <c r="Q9" s="1430"/>
      <c r="R9" s="1430"/>
      <c r="S9" s="1430"/>
      <c r="T9" s="1430"/>
      <c r="U9" s="1430"/>
      <c r="V9" s="1430"/>
      <c r="W9" s="1430"/>
      <c r="X9" s="1430"/>
      <c r="Y9" s="1430"/>
      <c r="Z9" s="1430"/>
      <c r="AA9" s="1430"/>
      <c r="AB9" s="1430"/>
      <c r="AC9" s="1430"/>
      <c r="AD9" s="1430"/>
      <c r="AE9" s="1430"/>
      <c r="AF9" s="1430"/>
      <c r="AG9" s="1430"/>
      <c r="AH9" s="1430"/>
      <c r="AI9" s="1430"/>
      <c r="AJ9" s="1430"/>
      <c r="AK9" s="1430"/>
      <c r="AL9" s="1430"/>
      <c r="AM9" s="1430"/>
      <c r="AN9" s="1430"/>
      <c r="AO9" s="1430"/>
      <c r="AP9" s="1430"/>
      <c r="AQ9" s="1430"/>
      <c r="AR9" s="1430"/>
      <c r="AS9" s="1430"/>
      <c r="AT9" s="1430"/>
      <c r="AU9" s="1430"/>
      <c r="AV9" s="1430"/>
      <c r="AW9" s="1430"/>
      <c r="AX9" s="1430"/>
      <c r="AY9" s="1430"/>
      <c r="AZ9" s="1430"/>
      <c r="BA9" s="1430"/>
      <c r="BB9" s="1430"/>
    </row>
    <row r="10" spans="1:93">
      <c r="A10" s="1430"/>
      <c r="B10" s="1170"/>
      <c r="C10" s="1169"/>
      <c r="D10" s="1170"/>
      <c r="E10" s="1170"/>
      <c r="F10" s="1170"/>
      <c r="G10" s="1170"/>
      <c r="H10" s="1529"/>
      <c r="I10" s="1529"/>
      <c r="J10" s="1530"/>
      <c r="K10" s="1324"/>
      <c r="L10" s="1174" t="s">
        <v>1478</v>
      </c>
      <c r="M10" s="1176">
        <v>3.4</v>
      </c>
      <c r="N10" s="1174" t="s">
        <v>1477</v>
      </c>
      <c r="O10" s="1324"/>
      <c r="P10" s="1324"/>
    </row>
    <row r="11" spans="1:93">
      <c r="A11" s="1430"/>
      <c r="B11" s="1148" t="s">
        <v>1416</v>
      </c>
      <c r="C11" s="1169"/>
      <c r="D11" s="1170"/>
      <c r="E11" s="1170"/>
      <c r="F11" s="1170"/>
      <c r="G11" s="1170"/>
      <c r="H11" s="1529"/>
      <c r="I11" s="1529"/>
      <c r="J11" s="1530"/>
      <c r="K11" s="1324"/>
      <c r="L11" s="1177" t="s">
        <v>1480</v>
      </c>
      <c r="M11" s="1175">
        <v>3.2</v>
      </c>
      <c r="N11" s="1174" t="s">
        <v>1477</v>
      </c>
      <c r="O11" s="1324"/>
      <c r="P11" s="1324"/>
    </row>
    <row r="12" spans="1:93">
      <c r="A12" s="1430"/>
      <c r="B12" s="1170" t="s">
        <v>1417</v>
      </c>
      <c r="C12" s="1169"/>
      <c r="D12" s="1170"/>
      <c r="E12" s="1170"/>
      <c r="F12" s="1170"/>
      <c r="G12" s="1170"/>
      <c r="H12" s="1529"/>
      <c r="I12" s="1529"/>
      <c r="J12" s="1529"/>
      <c r="K12" s="1324"/>
      <c r="L12" s="1177" t="s">
        <v>1482</v>
      </c>
      <c r="M12" s="1175" t="s">
        <v>1483</v>
      </c>
      <c r="N12" s="1174" t="s">
        <v>1477</v>
      </c>
      <c r="O12" s="1324"/>
      <c r="P12" s="1324"/>
    </row>
    <row r="13" spans="1:93">
      <c r="A13" s="1430"/>
      <c r="B13" s="1171" t="s">
        <v>1466</v>
      </c>
      <c r="C13" s="1169"/>
      <c r="D13" s="1170"/>
      <c r="E13" s="1170"/>
      <c r="F13" s="1170"/>
      <c r="G13" s="1170"/>
      <c r="H13" s="1529"/>
      <c r="I13" s="1529"/>
      <c r="J13" s="1529"/>
      <c r="K13" s="1324"/>
      <c r="L13" s="1177" t="s">
        <v>1485</v>
      </c>
      <c r="M13" s="1175">
        <v>3.2</v>
      </c>
      <c r="N13" s="1174" t="s">
        <v>1477</v>
      </c>
      <c r="O13" s="1324"/>
      <c r="P13" s="1324"/>
    </row>
    <row r="14" spans="1:93">
      <c r="A14" s="1430"/>
      <c r="B14" s="1171" t="s">
        <v>1530</v>
      </c>
      <c r="C14" s="1169"/>
      <c r="D14" s="1170"/>
      <c r="E14" s="1170"/>
      <c r="F14" s="1170"/>
      <c r="G14" s="1170"/>
      <c r="H14" s="1529"/>
      <c r="I14" s="1529"/>
      <c r="J14" s="1529"/>
      <c r="K14" s="1324"/>
      <c r="L14" s="1174" t="s">
        <v>1487</v>
      </c>
      <c r="M14" s="1176">
        <v>6.5</v>
      </c>
      <c r="N14" s="1174" t="s">
        <v>1488</v>
      </c>
      <c r="O14" s="1324"/>
      <c r="P14" s="1324"/>
    </row>
    <row r="15" spans="1:93">
      <c r="A15" s="1430"/>
      <c r="B15" s="1171" t="s">
        <v>1531</v>
      </c>
      <c r="C15" s="1169"/>
      <c r="D15" s="1170"/>
      <c r="E15" s="1170"/>
      <c r="F15" s="1170"/>
      <c r="G15" s="1170"/>
      <c r="H15" s="1529"/>
      <c r="I15" s="1529"/>
      <c r="J15" s="1529"/>
      <c r="K15" s="1324"/>
      <c r="L15" s="1174" t="s">
        <v>1490</v>
      </c>
      <c r="M15" s="1175">
        <v>4</v>
      </c>
      <c r="N15" s="1174" t="s">
        <v>1491</v>
      </c>
      <c r="O15" s="1324"/>
      <c r="P15" s="1324"/>
    </row>
    <row r="16" spans="1:93">
      <c r="A16" s="1430"/>
      <c r="B16" s="1170"/>
      <c r="C16" s="1169"/>
      <c r="D16" s="1170"/>
      <c r="E16" s="1170"/>
      <c r="F16" s="1170"/>
      <c r="G16" s="1170"/>
      <c r="H16" s="1529"/>
      <c r="I16" s="1529"/>
      <c r="J16" s="1529"/>
      <c r="K16" s="1324"/>
      <c r="O16" s="1324"/>
      <c r="P16" s="1324"/>
    </row>
    <row r="17" spans="1:18">
      <c r="A17" s="1430"/>
      <c r="B17" s="1148" t="s">
        <v>1420</v>
      </c>
      <c r="C17" s="1169"/>
      <c r="D17" s="1170"/>
      <c r="E17" s="1170"/>
      <c r="F17" s="1170"/>
      <c r="G17" s="1170"/>
      <c r="H17" s="1529"/>
      <c r="I17" s="1529"/>
      <c r="J17" s="1529"/>
      <c r="K17" s="1324"/>
      <c r="O17" s="1324"/>
      <c r="P17" s="1324"/>
    </row>
    <row r="18" spans="1:18" ht="39.75" customHeight="1">
      <c r="A18" s="1430"/>
      <c r="B18" s="2673" t="s">
        <v>1532</v>
      </c>
      <c r="C18" s="2673"/>
      <c r="D18" s="2673"/>
      <c r="E18" s="2673"/>
      <c r="F18" s="2673"/>
      <c r="G18" s="2673"/>
      <c r="H18" s="1529"/>
      <c r="I18" s="1529"/>
      <c r="J18" s="1529"/>
      <c r="K18" s="1324"/>
      <c r="O18" s="1324"/>
      <c r="P18" s="1324"/>
    </row>
    <row r="19" spans="1:18" ht="80.099999999999994" customHeight="1">
      <c r="A19" s="1430"/>
      <c r="B19" s="2673" t="s">
        <v>1533</v>
      </c>
      <c r="C19" s="2673"/>
      <c r="D19" s="2673"/>
      <c r="E19" s="2673"/>
      <c r="F19" s="2673"/>
      <c r="G19" s="2673"/>
      <c r="H19" s="1529"/>
      <c r="I19" s="1529"/>
      <c r="J19" s="1529"/>
      <c r="K19" s="1324"/>
      <c r="O19" s="1324"/>
      <c r="P19" s="1324"/>
    </row>
    <row r="20" spans="1:18" ht="52.5" customHeight="1">
      <c r="A20" s="1430"/>
      <c r="B20" s="2673" t="s">
        <v>1534</v>
      </c>
      <c r="C20" s="2673"/>
      <c r="D20" s="2673"/>
      <c r="E20" s="2673"/>
      <c r="F20" s="2673"/>
      <c r="G20" s="2673"/>
      <c r="H20" s="1529"/>
      <c r="I20" s="1529"/>
      <c r="J20" s="1529"/>
      <c r="K20" s="1324"/>
      <c r="O20" s="1324"/>
      <c r="P20" s="1324"/>
    </row>
    <row r="21" spans="1:18" ht="52.5" customHeight="1">
      <c r="A21" s="1430"/>
      <c r="B21" s="2673" t="s">
        <v>1535</v>
      </c>
      <c r="C21" s="2673"/>
      <c r="D21" s="2673"/>
      <c r="E21" s="2673"/>
      <c r="F21" s="2673"/>
      <c r="G21" s="2673"/>
      <c r="H21" s="1529"/>
      <c r="I21" s="1529"/>
      <c r="J21" s="1529"/>
      <c r="K21" s="1324"/>
      <c r="O21" s="1324"/>
      <c r="P21" s="1324"/>
    </row>
    <row r="22" spans="1:18" ht="18" customHeight="1">
      <c r="A22" s="1430"/>
      <c r="B22" s="2743" t="s">
        <v>1536</v>
      </c>
      <c r="C22" s="2743"/>
      <c r="D22" s="2743"/>
      <c r="E22" s="2743"/>
      <c r="F22" s="2743"/>
      <c r="G22" s="2743"/>
      <c r="H22" s="1529"/>
      <c r="I22" s="1529"/>
      <c r="J22" s="1529"/>
      <c r="K22" s="1528"/>
      <c r="L22" s="1528"/>
      <c r="M22" s="1528"/>
      <c r="N22" s="1528"/>
      <c r="O22" s="1528"/>
      <c r="P22" s="1528"/>
    </row>
    <row r="23" spans="1:18" ht="84" customHeight="1">
      <c r="A23" s="1430"/>
      <c r="B23" s="2716" t="s">
        <v>1537</v>
      </c>
      <c r="C23" s="2744"/>
      <c r="D23" s="2744"/>
      <c r="E23" s="2744"/>
      <c r="F23" s="2744"/>
      <c r="G23" s="2744"/>
      <c r="H23" s="1529"/>
      <c r="I23" s="1529"/>
      <c r="J23" s="1529"/>
      <c r="K23" s="1528"/>
      <c r="L23" s="1579"/>
      <c r="M23" s="1579"/>
      <c r="N23" s="1579"/>
      <c r="O23" s="1528"/>
      <c r="P23" s="1528"/>
    </row>
    <row r="24" spans="1:18" ht="16.5" customHeight="1">
      <c r="A24" s="1430"/>
      <c r="B24" s="1633"/>
      <c r="C24" s="1632"/>
      <c r="D24" s="1632"/>
      <c r="E24" s="1632"/>
      <c r="F24" s="1632"/>
      <c r="G24" s="1632"/>
      <c r="H24" s="1529"/>
      <c r="I24" s="1529"/>
      <c r="J24" s="1529"/>
      <c r="K24" s="1528"/>
      <c r="L24" s="1528"/>
      <c r="M24" s="1528"/>
      <c r="N24" s="1528"/>
      <c r="O24" s="1528"/>
      <c r="P24" s="1528"/>
    </row>
    <row r="25" spans="1:18" s="1526" customFormat="1" ht="80.099999999999994" customHeight="1">
      <c r="A25" s="1527"/>
      <c r="B25" s="1391" t="s">
        <v>1425</v>
      </c>
      <c r="C25" s="1342"/>
      <c r="D25" s="1342"/>
      <c r="E25" s="1342"/>
      <c r="F25" s="1342" t="s">
        <v>1433</v>
      </c>
      <c r="G25" s="1342" t="s">
        <v>1434</v>
      </c>
      <c r="H25" s="1155" t="s">
        <v>1435</v>
      </c>
      <c r="I25" s="1626"/>
      <c r="J25" s="1564"/>
      <c r="K25" s="1564"/>
      <c r="L25" s="1528"/>
      <c r="M25" s="1528"/>
      <c r="N25" s="1528"/>
    </row>
    <row r="26" spans="1:18" ht="293.25" customHeight="1">
      <c r="B26" s="2680" t="s">
        <v>2148</v>
      </c>
      <c r="C26" s="2694"/>
      <c r="D26" s="2694"/>
      <c r="E26" s="2733"/>
      <c r="F26" s="1366"/>
      <c r="G26" s="1359"/>
      <c r="H26" s="1344"/>
      <c r="K26" s="1324"/>
      <c r="O26" s="1324"/>
      <c r="P26" s="1324"/>
    </row>
    <row r="27" spans="1:18" ht="80.099999999999994" customHeight="1">
      <c r="A27" s="1430"/>
      <c r="B27" s="2741" t="s">
        <v>1538</v>
      </c>
      <c r="C27" s="2741"/>
      <c r="D27" s="2741"/>
      <c r="E27" s="2741"/>
      <c r="F27" s="1342" t="s">
        <v>2145</v>
      </c>
      <c r="G27" s="1342" t="s">
        <v>1434</v>
      </c>
      <c r="H27" s="1155" t="s">
        <v>1435</v>
      </c>
      <c r="I27" s="1155" t="s">
        <v>1436</v>
      </c>
      <c r="J27" s="1342" t="s">
        <v>1437</v>
      </c>
    </row>
    <row r="28" spans="1:18" s="1561" customFormat="1">
      <c r="A28" s="1574"/>
      <c r="B28" s="1178" t="s">
        <v>1539</v>
      </c>
      <c r="C28" s="1568"/>
      <c r="D28" s="1194" t="s">
        <v>1540</v>
      </c>
      <c r="E28" s="1179"/>
      <c r="F28" s="797"/>
      <c r="G28" s="2735"/>
      <c r="H28" s="914"/>
      <c r="I28" s="915"/>
      <c r="J28" s="1390"/>
      <c r="K28" s="1562"/>
      <c r="O28" s="1559"/>
      <c r="P28" s="1559"/>
      <c r="Q28" s="1558"/>
      <c r="R28" s="1559"/>
    </row>
    <row r="29" spans="1:18" s="1561" customFormat="1">
      <c r="A29" s="1565"/>
      <c r="B29" s="1567" t="s">
        <v>1520</v>
      </c>
      <c r="C29" s="1376"/>
      <c r="D29" s="1566"/>
      <c r="E29" s="1188" t="s">
        <v>1496</v>
      </c>
      <c r="F29" s="916"/>
      <c r="G29" s="2736"/>
      <c r="H29" s="914"/>
      <c r="I29" s="915"/>
      <c r="J29" s="1390"/>
      <c r="K29" s="1562"/>
      <c r="O29" s="1559"/>
      <c r="P29" s="1559"/>
      <c r="Q29" s="1558"/>
      <c r="R29" s="1559"/>
    </row>
    <row r="30" spans="1:18" s="1561" customFormat="1">
      <c r="A30" s="1565"/>
      <c r="B30" s="1567" t="s">
        <v>1521</v>
      </c>
      <c r="C30" s="1376"/>
      <c r="D30" s="1566"/>
      <c r="E30" s="1181" t="s">
        <v>1497</v>
      </c>
      <c r="F30" s="916"/>
      <c r="G30" s="2736"/>
      <c r="H30" s="914"/>
      <c r="I30" s="915"/>
      <c r="J30" s="1390"/>
      <c r="K30" s="1562"/>
      <c r="O30" s="1559"/>
      <c r="P30" s="1559"/>
      <c r="Q30" s="1558"/>
      <c r="R30" s="1559"/>
    </row>
    <row r="31" spans="1:18" s="1561" customFormat="1">
      <c r="A31" s="1565"/>
      <c r="B31" s="1185" t="s">
        <v>2147</v>
      </c>
      <c r="C31" s="1376"/>
      <c r="D31" s="1566"/>
      <c r="E31" s="1181" t="s">
        <v>1498</v>
      </c>
      <c r="F31" s="1376"/>
      <c r="G31" s="2736"/>
      <c r="H31" s="914"/>
      <c r="I31" s="915"/>
      <c r="J31" s="1390"/>
      <c r="K31" s="1562"/>
      <c r="O31" s="1559"/>
      <c r="P31" s="1559"/>
      <c r="Q31" s="1558"/>
      <c r="R31" s="1559"/>
    </row>
    <row r="32" spans="1:18" s="1561" customFormat="1" ht="25.5">
      <c r="A32" s="1565"/>
      <c r="B32" s="1192" t="s">
        <v>2132</v>
      </c>
      <c r="C32" s="1376"/>
      <c r="D32" s="1566"/>
      <c r="E32" s="1181" t="s">
        <v>1499</v>
      </c>
      <c r="F32" s="902"/>
      <c r="G32" s="2736"/>
      <c r="H32" s="914"/>
      <c r="I32" s="915"/>
      <c r="J32" s="1390"/>
      <c r="K32" s="1562"/>
      <c r="O32" s="1559"/>
      <c r="P32" s="1559"/>
      <c r="Q32" s="1558"/>
      <c r="R32" s="1559"/>
    </row>
    <row r="33" spans="1:18" s="1561" customFormat="1">
      <c r="A33" s="1574"/>
      <c r="B33" s="1180"/>
      <c r="C33" s="1566"/>
      <c r="D33" s="1566"/>
      <c r="E33" s="1181" t="s">
        <v>1500</v>
      </c>
      <c r="F33" s="896"/>
      <c r="G33" s="2736"/>
      <c r="H33" s="917"/>
      <c r="I33" s="915"/>
      <c r="J33" s="903"/>
      <c r="K33" s="1562"/>
      <c r="O33" s="1559"/>
      <c r="P33" s="1559"/>
      <c r="Q33" s="1558"/>
      <c r="R33" s="1559"/>
    </row>
    <row r="34" spans="1:18" s="1561" customFormat="1">
      <c r="A34" s="1565"/>
      <c r="B34" s="1182"/>
      <c r="C34" s="1564"/>
      <c r="D34" s="1564"/>
      <c r="E34" s="1563"/>
      <c r="F34" s="1376"/>
      <c r="G34" s="2736"/>
      <c r="H34" s="917"/>
      <c r="I34" s="915"/>
      <c r="J34" s="1390"/>
      <c r="K34" s="1562"/>
      <c r="O34" s="1559"/>
      <c r="P34" s="1559"/>
      <c r="Q34" s="1558"/>
      <c r="R34" s="1559"/>
    </row>
    <row r="35" spans="1:18" s="1561" customFormat="1">
      <c r="A35" s="1565"/>
      <c r="B35" s="1183" t="s">
        <v>1541</v>
      </c>
      <c r="C35" s="1560"/>
      <c r="D35" s="1560"/>
      <c r="E35" s="1184" t="s">
        <v>1502</v>
      </c>
      <c r="F35" s="1376"/>
      <c r="G35" s="2737"/>
      <c r="H35" s="917"/>
      <c r="I35" s="915"/>
      <c r="J35" s="1390"/>
      <c r="K35" s="1562"/>
      <c r="O35" s="1559"/>
      <c r="P35" s="1559"/>
      <c r="Q35" s="1558"/>
      <c r="R35" s="1559"/>
    </row>
    <row r="36" spans="1:18" s="1561" customFormat="1" ht="12.75" customHeight="1">
      <c r="A36" s="1565"/>
      <c r="B36" s="1573"/>
      <c r="C36" s="1571"/>
      <c r="D36" s="1571"/>
      <c r="E36" s="1572"/>
      <c r="F36" s="1570"/>
      <c r="G36" s="1571"/>
      <c r="H36" s="1570"/>
      <c r="I36" s="1570"/>
      <c r="J36" s="1569"/>
      <c r="K36" s="1562"/>
      <c r="O36" s="1559"/>
      <c r="P36" s="1559"/>
      <c r="Q36" s="1558"/>
      <c r="R36" s="1559"/>
    </row>
    <row r="37" spans="1:18" s="1561" customFormat="1">
      <c r="A37" s="1574"/>
      <c r="B37" s="1178" t="s">
        <v>1542</v>
      </c>
      <c r="C37" s="1568"/>
      <c r="D37" s="1194" t="s">
        <v>1540</v>
      </c>
      <c r="E37" s="1179"/>
      <c r="F37" s="896"/>
      <c r="G37" s="2762"/>
      <c r="H37" s="917"/>
      <c r="I37" s="915"/>
      <c r="J37" s="1390"/>
      <c r="K37" s="1562"/>
      <c r="O37" s="1559"/>
      <c r="P37" s="1559"/>
      <c r="Q37" s="1558"/>
      <c r="R37" s="1559"/>
    </row>
    <row r="38" spans="1:18" s="1561" customFormat="1">
      <c r="A38" s="1565"/>
      <c r="B38" s="1567" t="s">
        <v>1520</v>
      </c>
      <c r="C38" s="1376"/>
      <c r="D38" s="1566"/>
      <c r="E38" s="1188" t="s">
        <v>1496</v>
      </c>
      <c r="F38" s="896"/>
      <c r="G38" s="2763"/>
      <c r="H38" s="917"/>
      <c r="I38" s="915"/>
      <c r="J38" s="1390"/>
      <c r="K38" s="1562"/>
      <c r="O38" s="1559"/>
      <c r="P38" s="1559"/>
      <c r="Q38" s="1558"/>
      <c r="R38" s="1559"/>
    </row>
    <row r="39" spans="1:18" s="1561" customFormat="1" ht="18.75" customHeight="1">
      <c r="A39" s="1565"/>
      <c r="B39" s="1567" t="s">
        <v>1521</v>
      </c>
      <c r="C39" s="1376"/>
      <c r="D39" s="1566"/>
      <c r="E39" s="1181" t="s">
        <v>1497</v>
      </c>
      <c r="F39" s="1376"/>
      <c r="G39" s="2763"/>
      <c r="H39" s="917"/>
      <c r="I39" s="915"/>
      <c r="J39" s="1390"/>
      <c r="K39" s="1562"/>
      <c r="O39" s="1559"/>
      <c r="P39" s="1559"/>
      <c r="Q39" s="1559"/>
      <c r="R39" s="1559"/>
    </row>
    <row r="40" spans="1:18" s="1561" customFormat="1" ht="15.75" customHeight="1">
      <c r="A40" s="1565"/>
      <c r="B40" s="1185" t="s">
        <v>2147</v>
      </c>
      <c r="C40" s="1376"/>
      <c r="D40" s="1566"/>
      <c r="E40" s="1181" t="s">
        <v>1498</v>
      </c>
      <c r="F40" s="1376"/>
      <c r="G40" s="2763"/>
      <c r="H40" s="917"/>
      <c r="I40" s="915"/>
      <c r="J40" s="1390"/>
      <c r="K40" s="1562"/>
      <c r="O40" s="1559"/>
      <c r="P40" s="1559"/>
      <c r="Q40" s="1559"/>
      <c r="R40" s="1559"/>
    </row>
    <row r="41" spans="1:18" s="1561" customFormat="1" ht="25.5">
      <c r="A41" s="1565"/>
      <c r="B41" s="1192" t="s">
        <v>2132</v>
      </c>
      <c r="C41" s="1376"/>
      <c r="D41" s="1566"/>
      <c r="E41" s="1181" t="s">
        <v>1499</v>
      </c>
      <c r="F41" s="902"/>
      <c r="G41" s="2763"/>
      <c r="H41" s="917"/>
      <c r="I41" s="915"/>
      <c r="J41" s="1390"/>
      <c r="K41" s="1562"/>
      <c r="O41" s="1559"/>
      <c r="P41" s="1559"/>
      <c r="Q41" s="1559"/>
      <c r="R41" s="1559"/>
    </row>
    <row r="42" spans="1:18" s="1561" customFormat="1">
      <c r="A42" s="1565"/>
      <c r="B42" s="1180"/>
      <c r="C42" s="1566"/>
      <c r="D42" s="1566"/>
      <c r="E42" s="1181" t="s">
        <v>1500</v>
      </c>
      <c r="F42" s="896"/>
      <c r="G42" s="2763"/>
      <c r="H42" s="917"/>
      <c r="I42" s="915"/>
      <c r="J42" s="903"/>
      <c r="K42" s="1562"/>
      <c r="O42" s="1559"/>
      <c r="P42" s="1559"/>
      <c r="Q42" s="1559"/>
      <c r="R42" s="1559"/>
    </row>
    <row r="43" spans="1:18" ht="20.25" customHeight="1">
      <c r="A43" s="1430"/>
      <c r="B43" s="1182"/>
      <c r="C43" s="1564"/>
      <c r="D43" s="1564"/>
      <c r="E43" s="1563"/>
      <c r="F43" s="1376"/>
      <c r="G43" s="2763"/>
      <c r="H43" s="917"/>
      <c r="I43" s="915"/>
      <c r="J43" s="1390"/>
      <c r="L43" s="1559"/>
      <c r="M43" s="1559"/>
      <c r="N43" s="1559"/>
      <c r="O43" s="1559"/>
      <c r="P43" s="1559"/>
      <c r="Q43" s="1558"/>
      <c r="R43" s="1528"/>
    </row>
    <row r="44" spans="1:18">
      <c r="A44" s="1430"/>
      <c r="B44" s="1183" t="s">
        <v>1543</v>
      </c>
      <c r="C44" s="1560"/>
      <c r="D44" s="1560"/>
      <c r="E44" s="1184" t="s">
        <v>1502</v>
      </c>
      <c r="F44" s="1376"/>
      <c r="G44" s="2764"/>
      <c r="H44" s="917"/>
      <c r="I44" s="915"/>
      <c r="J44" s="1390"/>
      <c r="L44" s="1528"/>
      <c r="M44" s="1528"/>
      <c r="N44" s="1528"/>
      <c r="O44" s="1528"/>
      <c r="P44" s="1528"/>
      <c r="Q44" s="1528"/>
      <c r="R44" s="1528"/>
    </row>
    <row r="45" spans="1:18" ht="80.099999999999994" customHeight="1">
      <c r="A45" s="1553"/>
      <c r="B45" s="2742" t="s">
        <v>1426</v>
      </c>
      <c r="C45" s="2742"/>
      <c r="D45" s="2741" t="s">
        <v>1504</v>
      </c>
      <c r="E45" s="2741"/>
      <c r="F45" s="1391" t="s">
        <v>1544</v>
      </c>
      <c r="G45" s="1342" t="s">
        <v>1493</v>
      </c>
      <c r="H45" s="1155" t="s">
        <v>1435</v>
      </c>
      <c r="I45" s="1155" t="s">
        <v>1436</v>
      </c>
      <c r="J45" s="1187"/>
      <c r="L45" s="1557"/>
      <c r="M45" s="1557"/>
      <c r="N45" s="1557"/>
      <c r="O45" s="1557"/>
      <c r="P45" s="1557"/>
      <c r="Q45" s="1528"/>
      <c r="R45" s="1528"/>
    </row>
    <row r="46" spans="1:18" ht="118.5" customHeight="1">
      <c r="B46" s="2676" t="str">
        <f>IF('Project Info'!$C$4='Project Info'!$P$32,'Prescriptive Path Checklist'!C27,IF('Project Info'!C4='Project Info'!P33,#REF!,"&lt;Select compliance path on the 'Project Info' tab&gt;"))</f>
        <v>Assembly U-value determinations must follow ASHRAE 90.1-2010, Appendix A.
See Tables 2 and 3 for climate specific envelope requirements for the following components: roof insulation; above grade and below grade wall insulation; floor and slab insulation; exterior doors; and vertical glazing.</v>
      </c>
      <c r="C46" s="2676"/>
      <c r="D46" s="2700">
        <f>ERMs!B26</f>
        <v>0</v>
      </c>
      <c r="E46" s="2702"/>
      <c r="F46" s="1388"/>
      <c r="G46" s="1388"/>
      <c r="H46" s="1344"/>
      <c r="I46" s="918"/>
      <c r="J46" s="1341"/>
      <c r="K46" s="1631"/>
      <c r="L46" s="1559"/>
      <c r="M46" s="1559"/>
      <c r="N46" s="1559"/>
      <c r="O46" s="1631"/>
      <c r="P46" s="1631"/>
      <c r="Q46" s="1550"/>
    </row>
    <row r="47" spans="1:18" ht="80.099999999999994" customHeight="1">
      <c r="B47" s="1342" t="s">
        <v>1439</v>
      </c>
      <c r="C47" s="790"/>
      <c r="D47" s="2760" t="s">
        <v>1426</v>
      </c>
      <c r="E47" s="2760"/>
      <c r="F47" s="1342" t="s">
        <v>1433</v>
      </c>
      <c r="G47" s="1342" t="s">
        <v>1434</v>
      </c>
      <c r="H47" s="1155" t="s">
        <v>1435</v>
      </c>
      <c r="I47" s="1155" t="s">
        <v>1436</v>
      </c>
      <c r="J47" s="1342" t="s">
        <v>1437</v>
      </c>
      <c r="K47" s="1630"/>
      <c r="L47" s="1557"/>
      <c r="M47" s="1557"/>
      <c r="N47" s="1557"/>
      <c r="O47" s="1630"/>
      <c r="P47" s="1630"/>
      <c r="Q47" s="1550"/>
    </row>
    <row r="48" spans="1:18" ht="66.75" customHeight="1">
      <c r="A48" s="1426"/>
      <c r="B48" s="2757" t="s">
        <v>1545</v>
      </c>
      <c r="C48" s="2758"/>
      <c r="D48" s="2758"/>
      <c r="E48" s="2759"/>
      <c r="F48" s="1388"/>
      <c r="G48" s="1388"/>
      <c r="H48" s="1344"/>
      <c r="I48" s="918"/>
      <c r="J48" s="1386"/>
      <c r="K48" s="1630"/>
      <c r="L48" s="1528"/>
      <c r="M48" s="1528"/>
      <c r="N48" s="1528"/>
      <c r="O48" s="1630"/>
      <c r="P48" s="1630"/>
      <c r="Q48" s="1550"/>
    </row>
    <row r="49" spans="1:17" ht="147.75" customHeight="1">
      <c r="A49" s="1430"/>
      <c r="B49" s="2703" t="s">
        <v>1546</v>
      </c>
      <c r="C49" s="2761"/>
      <c r="D49" s="2700" t="str">
        <f>IF('Project Info'!C4='Project Info'!P32,'Prescriptive Path Checklist'!C37,IF('Project Info'!C4='Project Info'!P33,#REF!,"&lt;Select compliance path on the 'Project Info' tab&gt;"))</f>
        <v>The envelope components must comply with ASHRAE 90.1-2010 Sections 5.4.
All roof, wall, floor and slab insulation shall achieve RESNET-defined Grade I installation or, alternatively, Grade II for surfaces that contain a layer of continuous, air impermeable insulation (≥R-3 in CZ1-4 and ≥R-5 in CZ 5-8).</v>
      </c>
      <c r="E49" s="2702"/>
      <c r="F49" s="1388"/>
      <c r="G49" s="1388"/>
      <c r="H49" s="1344"/>
      <c r="I49" s="918"/>
      <c r="J49" s="1386"/>
      <c r="K49" s="1556"/>
      <c r="L49" s="1528"/>
      <c r="M49" s="1528"/>
      <c r="N49" s="1528"/>
      <c r="O49" s="1528"/>
      <c r="P49" s="1528"/>
      <c r="Q49" s="1528"/>
    </row>
    <row r="50" spans="1:17" ht="54.75" customHeight="1">
      <c r="A50" s="1525"/>
      <c r="B50" s="2680" t="s">
        <v>2129</v>
      </c>
      <c r="C50" s="2681"/>
      <c r="D50" s="2681"/>
      <c r="E50" s="2738"/>
      <c r="F50" s="1388"/>
      <c r="G50" s="1388"/>
      <c r="H50" s="1343"/>
      <c r="I50" s="1383"/>
      <c r="J50" s="1383"/>
      <c r="O50" s="1528"/>
      <c r="P50" s="1528"/>
      <c r="Q50" s="1528"/>
    </row>
    <row r="51" spans="1:17" ht="30" customHeight="1">
      <c r="A51" s="1553"/>
      <c r="B51" s="2680" t="s">
        <v>1508</v>
      </c>
      <c r="C51" s="2681"/>
      <c r="D51" s="2681"/>
      <c r="E51" s="2681"/>
      <c r="F51" s="2683"/>
      <c r="G51" s="2683"/>
      <c r="H51" s="2683"/>
      <c r="I51" s="1383"/>
      <c r="J51" s="1383"/>
      <c r="O51" s="1528"/>
      <c r="P51" s="1528"/>
      <c r="Q51" s="1528"/>
    </row>
    <row r="52" spans="1:17" ht="27" customHeight="1">
      <c r="B52" s="2673" t="s">
        <v>1509</v>
      </c>
      <c r="C52" s="2673"/>
      <c r="D52" s="2673"/>
      <c r="E52" s="2673"/>
      <c r="F52" s="2673"/>
      <c r="G52" s="2673"/>
      <c r="H52" s="2673"/>
      <c r="I52" s="2673"/>
      <c r="J52" s="2673"/>
    </row>
    <row r="53" spans="1:17" ht="40.5" customHeight="1"/>
    <row r="54" spans="1:17">
      <c r="K54" s="1324"/>
      <c r="O54" s="1324"/>
      <c r="P54" s="1324"/>
    </row>
    <row r="55" spans="1:17">
      <c r="K55" s="1324"/>
      <c r="O55" s="1324"/>
      <c r="P55" s="1324"/>
    </row>
    <row r="56" spans="1:17" ht="25.5">
      <c r="C56" s="1524"/>
      <c r="K56" s="1324"/>
      <c r="O56" s="1324"/>
      <c r="P56" s="1324"/>
      <c r="Q56" s="1426" t="s">
        <v>362</v>
      </c>
    </row>
    <row r="57" spans="1:17" ht="25.5">
      <c r="C57" s="1524"/>
      <c r="K57" s="1324"/>
      <c r="O57" s="1324"/>
      <c r="P57" s="1324"/>
      <c r="Q57" s="1426" t="s">
        <v>364</v>
      </c>
    </row>
    <row r="58" spans="1:17" ht="25.5">
      <c r="C58" s="1524"/>
      <c r="Q58" s="1426" t="s">
        <v>363</v>
      </c>
    </row>
    <row r="188" spans="2:2" ht="18">
      <c r="B188" s="794"/>
    </row>
  </sheetData>
  <sheetProtection formatCells="0" formatColumns="0" formatRows="0" insertColumns="0" insertRows="0"/>
  <mergeCells count="26">
    <mergeCell ref="B52:J52"/>
    <mergeCell ref="B19:G19"/>
    <mergeCell ref="B27:E27"/>
    <mergeCell ref="B26:E26"/>
    <mergeCell ref="B23:G23"/>
    <mergeCell ref="B48:E48"/>
    <mergeCell ref="D47:E47"/>
    <mergeCell ref="D49:E49"/>
    <mergeCell ref="B22:G22"/>
    <mergeCell ref="B49:C49"/>
    <mergeCell ref="G28:G35"/>
    <mergeCell ref="G37:G44"/>
    <mergeCell ref="B51:H51"/>
    <mergeCell ref="B20:G20"/>
    <mergeCell ref="B45:C45"/>
    <mergeCell ref="B46:C46"/>
    <mergeCell ref="B50:E50"/>
    <mergeCell ref="D45:E45"/>
    <mergeCell ref="D46:E46"/>
    <mergeCell ref="H5:I5"/>
    <mergeCell ref="H6:I6"/>
    <mergeCell ref="H7:I7"/>
    <mergeCell ref="B9:G9"/>
    <mergeCell ref="B21:G21"/>
    <mergeCell ref="H8:I8"/>
    <mergeCell ref="B18:G18"/>
  </mergeCells>
  <dataValidations count="2">
    <dataValidation type="list" allowBlank="1" showInputMessage="1" showErrorMessage="1" sqref="H26 JD26 SZ26 ACV26 AMR26 AWN26 BGJ26 BQF26 CAB26 CJX26 CTT26 DDP26 DNL26 DXH26 EHD26 EQZ26 FAV26 FKR26 FUN26 GEJ26 GOF26 GYB26 HHX26 HRT26 IBP26 ILL26 IVH26 JFD26 JOZ26 JYV26 KIR26 KSN26 LCJ26 LMF26 LWB26 MFX26 MPT26 MZP26 NJL26 NTH26 ODD26 OMZ26 OWV26 PGR26 PQN26 QAJ26 QKF26 QUB26 RDX26 RNT26 RXP26 SHL26 SRH26 TBD26 TKZ26 TUV26 UER26 UON26 UYJ26 VIF26 VSB26 WBX26 WLT26 WVP26 H65562 JD65562 SZ65562 ACV65562 AMR65562 AWN65562 BGJ65562 BQF65562 CAB65562 CJX65562 CTT65562 DDP65562 DNL65562 DXH65562 EHD65562 EQZ65562 FAV65562 FKR65562 FUN65562 GEJ65562 GOF65562 GYB65562 HHX65562 HRT65562 IBP65562 ILL65562 IVH65562 JFD65562 JOZ65562 JYV65562 KIR65562 KSN65562 LCJ65562 LMF65562 LWB65562 MFX65562 MPT65562 MZP65562 NJL65562 NTH65562 ODD65562 OMZ65562 OWV65562 PGR65562 PQN65562 QAJ65562 QKF65562 QUB65562 RDX65562 RNT65562 RXP65562 SHL65562 SRH65562 TBD65562 TKZ65562 TUV65562 UER65562 UON65562 UYJ65562 VIF65562 VSB65562 WBX65562 WLT65562 WVP65562 H131098 JD131098 SZ131098 ACV131098 AMR131098 AWN131098 BGJ131098 BQF131098 CAB131098 CJX131098 CTT131098 DDP131098 DNL131098 DXH131098 EHD131098 EQZ131098 FAV131098 FKR131098 FUN131098 GEJ131098 GOF131098 GYB131098 HHX131098 HRT131098 IBP131098 ILL131098 IVH131098 JFD131098 JOZ131098 JYV131098 KIR131098 KSN131098 LCJ131098 LMF131098 LWB131098 MFX131098 MPT131098 MZP131098 NJL131098 NTH131098 ODD131098 OMZ131098 OWV131098 PGR131098 PQN131098 QAJ131098 QKF131098 QUB131098 RDX131098 RNT131098 RXP131098 SHL131098 SRH131098 TBD131098 TKZ131098 TUV131098 UER131098 UON131098 UYJ131098 VIF131098 VSB131098 WBX131098 WLT131098 WVP131098 H196634 JD196634 SZ196634 ACV196634 AMR196634 AWN196634 BGJ196634 BQF196634 CAB196634 CJX196634 CTT196634 DDP196634 DNL196634 DXH196634 EHD196634 EQZ196634 FAV196634 FKR196634 FUN196634 GEJ196634 GOF196634 GYB196634 HHX196634 HRT196634 IBP196634 ILL196634 IVH196634 JFD196634 JOZ196634 JYV196634 KIR196634 KSN196634 LCJ196634 LMF196634 LWB196634 MFX196634 MPT196634 MZP196634 NJL196634 NTH196634 ODD196634 OMZ196634 OWV196634 PGR196634 PQN196634 QAJ196634 QKF196634 QUB196634 RDX196634 RNT196634 RXP196634 SHL196634 SRH196634 TBD196634 TKZ196634 TUV196634 UER196634 UON196634 UYJ196634 VIF196634 VSB196634 WBX196634 WLT196634 WVP196634 H262170 JD262170 SZ262170 ACV262170 AMR262170 AWN262170 BGJ262170 BQF262170 CAB262170 CJX262170 CTT262170 DDP262170 DNL262170 DXH262170 EHD262170 EQZ262170 FAV262170 FKR262170 FUN262170 GEJ262170 GOF262170 GYB262170 HHX262170 HRT262170 IBP262170 ILL262170 IVH262170 JFD262170 JOZ262170 JYV262170 KIR262170 KSN262170 LCJ262170 LMF262170 LWB262170 MFX262170 MPT262170 MZP262170 NJL262170 NTH262170 ODD262170 OMZ262170 OWV262170 PGR262170 PQN262170 QAJ262170 QKF262170 QUB262170 RDX262170 RNT262170 RXP262170 SHL262170 SRH262170 TBD262170 TKZ262170 TUV262170 UER262170 UON262170 UYJ262170 VIF262170 VSB262170 WBX262170 WLT262170 WVP262170 H327706 JD327706 SZ327706 ACV327706 AMR327706 AWN327706 BGJ327706 BQF327706 CAB327706 CJX327706 CTT327706 DDP327706 DNL327706 DXH327706 EHD327706 EQZ327706 FAV327706 FKR327706 FUN327706 GEJ327706 GOF327706 GYB327706 HHX327706 HRT327706 IBP327706 ILL327706 IVH327706 JFD327706 JOZ327706 JYV327706 KIR327706 KSN327706 LCJ327706 LMF327706 LWB327706 MFX327706 MPT327706 MZP327706 NJL327706 NTH327706 ODD327706 OMZ327706 OWV327706 PGR327706 PQN327706 QAJ327706 QKF327706 QUB327706 RDX327706 RNT327706 RXP327706 SHL327706 SRH327706 TBD327706 TKZ327706 TUV327706 UER327706 UON327706 UYJ327706 VIF327706 VSB327706 WBX327706 WLT327706 WVP327706 H393242 JD393242 SZ393242 ACV393242 AMR393242 AWN393242 BGJ393242 BQF393242 CAB393242 CJX393242 CTT393242 DDP393242 DNL393242 DXH393242 EHD393242 EQZ393242 FAV393242 FKR393242 FUN393242 GEJ393242 GOF393242 GYB393242 HHX393242 HRT393242 IBP393242 ILL393242 IVH393242 JFD393242 JOZ393242 JYV393242 KIR393242 KSN393242 LCJ393242 LMF393242 LWB393242 MFX393242 MPT393242 MZP393242 NJL393242 NTH393242 ODD393242 OMZ393242 OWV393242 PGR393242 PQN393242 QAJ393242 QKF393242 QUB393242 RDX393242 RNT393242 RXP393242 SHL393242 SRH393242 TBD393242 TKZ393242 TUV393242 UER393242 UON393242 UYJ393242 VIF393242 VSB393242 WBX393242 WLT393242 WVP393242 H458778 JD458778 SZ458778 ACV458778 AMR458778 AWN458778 BGJ458778 BQF458778 CAB458778 CJX458778 CTT458778 DDP458778 DNL458778 DXH458778 EHD458778 EQZ458778 FAV458778 FKR458778 FUN458778 GEJ458778 GOF458778 GYB458778 HHX458778 HRT458778 IBP458778 ILL458778 IVH458778 JFD458778 JOZ458778 JYV458778 KIR458778 KSN458778 LCJ458778 LMF458778 LWB458778 MFX458778 MPT458778 MZP458778 NJL458778 NTH458778 ODD458778 OMZ458778 OWV458778 PGR458778 PQN458778 QAJ458778 QKF458778 QUB458778 RDX458778 RNT458778 RXP458778 SHL458778 SRH458778 TBD458778 TKZ458778 TUV458778 UER458778 UON458778 UYJ458778 VIF458778 VSB458778 WBX458778 WLT458778 WVP458778 H524314 JD524314 SZ524314 ACV524314 AMR524314 AWN524314 BGJ524314 BQF524314 CAB524314 CJX524314 CTT524314 DDP524314 DNL524314 DXH524314 EHD524314 EQZ524314 FAV524314 FKR524314 FUN524314 GEJ524314 GOF524314 GYB524314 HHX524314 HRT524314 IBP524314 ILL524314 IVH524314 JFD524314 JOZ524314 JYV524314 KIR524314 KSN524314 LCJ524314 LMF524314 LWB524314 MFX524314 MPT524314 MZP524314 NJL524314 NTH524314 ODD524314 OMZ524314 OWV524314 PGR524314 PQN524314 QAJ524314 QKF524314 QUB524314 RDX524314 RNT524314 RXP524314 SHL524314 SRH524314 TBD524314 TKZ524314 TUV524314 UER524314 UON524314 UYJ524314 VIF524314 VSB524314 WBX524314 WLT524314 WVP524314 H589850 JD589850 SZ589850 ACV589850 AMR589850 AWN589850 BGJ589850 BQF589850 CAB589850 CJX589850 CTT589850 DDP589850 DNL589850 DXH589850 EHD589850 EQZ589850 FAV589850 FKR589850 FUN589850 GEJ589850 GOF589850 GYB589850 HHX589850 HRT589850 IBP589850 ILL589850 IVH589850 JFD589850 JOZ589850 JYV589850 KIR589850 KSN589850 LCJ589850 LMF589850 LWB589850 MFX589850 MPT589850 MZP589850 NJL589850 NTH589850 ODD589850 OMZ589850 OWV589850 PGR589850 PQN589850 QAJ589850 QKF589850 QUB589850 RDX589850 RNT589850 RXP589850 SHL589850 SRH589850 TBD589850 TKZ589850 TUV589850 UER589850 UON589850 UYJ589850 VIF589850 VSB589850 WBX589850 WLT589850 WVP589850 H655386 JD655386 SZ655386 ACV655386 AMR655386 AWN655386 BGJ655386 BQF655386 CAB655386 CJX655386 CTT655386 DDP655386 DNL655386 DXH655386 EHD655386 EQZ655386 FAV655386 FKR655386 FUN655386 GEJ655386 GOF655386 GYB655386 HHX655386 HRT655386 IBP655386 ILL655386 IVH655386 JFD655386 JOZ655386 JYV655386 KIR655386 KSN655386 LCJ655386 LMF655386 LWB655386 MFX655386 MPT655386 MZP655386 NJL655386 NTH655386 ODD655386 OMZ655386 OWV655386 PGR655386 PQN655386 QAJ655386 QKF655386 QUB655386 RDX655386 RNT655386 RXP655386 SHL655386 SRH655386 TBD655386 TKZ655386 TUV655386 UER655386 UON655386 UYJ655386 VIF655386 VSB655386 WBX655386 WLT655386 WVP655386 H720922 JD720922 SZ720922 ACV720922 AMR720922 AWN720922 BGJ720922 BQF720922 CAB720922 CJX720922 CTT720922 DDP720922 DNL720922 DXH720922 EHD720922 EQZ720922 FAV720922 FKR720922 FUN720922 GEJ720922 GOF720922 GYB720922 HHX720922 HRT720922 IBP720922 ILL720922 IVH720922 JFD720922 JOZ720922 JYV720922 KIR720922 KSN720922 LCJ720922 LMF720922 LWB720922 MFX720922 MPT720922 MZP720922 NJL720922 NTH720922 ODD720922 OMZ720922 OWV720922 PGR720922 PQN720922 QAJ720922 QKF720922 QUB720922 RDX720922 RNT720922 RXP720922 SHL720922 SRH720922 TBD720922 TKZ720922 TUV720922 UER720922 UON720922 UYJ720922 VIF720922 VSB720922 WBX720922 WLT720922 WVP720922 H786458 JD786458 SZ786458 ACV786458 AMR786458 AWN786458 BGJ786458 BQF786458 CAB786458 CJX786458 CTT786458 DDP786458 DNL786458 DXH786458 EHD786458 EQZ786458 FAV786458 FKR786458 FUN786458 GEJ786458 GOF786458 GYB786458 HHX786458 HRT786458 IBP786458 ILL786458 IVH786458 JFD786458 JOZ786458 JYV786458 KIR786458 KSN786458 LCJ786458 LMF786458 LWB786458 MFX786458 MPT786458 MZP786458 NJL786458 NTH786458 ODD786458 OMZ786458 OWV786458 PGR786458 PQN786458 QAJ786458 QKF786458 QUB786458 RDX786458 RNT786458 RXP786458 SHL786458 SRH786458 TBD786458 TKZ786458 TUV786458 UER786458 UON786458 UYJ786458 VIF786458 VSB786458 WBX786458 WLT786458 WVP786458 H851994 JD851994 SZ851994 ACV851994 AMR851994 AWN851994 BGJ851994 BQF851994 CAB851994 CJX851994 CTT851994 DDP851994 DNL851994 DXH851994 EHD851994 EQZ851994 FAV851994 FKR851994 FUN851994 GEJ851994 GOF851994 GYB851994 HHX851994 HRT851994 IBP851994 ILL851994 IVH851994 JFD851994 JOZ851994 JYV851994 KIR851994 KSN851994 LCJ851994 LMF851994 LWB851994 MFX851994 MPT851994 MZP851994 NJL851994 NTH851994 ODD851994 OMZ851994 OWV851994 PGR851994 PQN851994 QAJ851994 QKF851994 QUB851994 RDX851994 RNT851994 RXP851994 SHL851994 SRH851994 TBD851994 TKZ851994 TUV851994 UER851994 UON851994 UYJ851994 VIF851994 VSB851994 WBX851994 WLT851994 WVP851994 H917530 JD917530 SZ917530 ACV917530 AMR917530 AWN917530 BGJ917530 BQF917530 CAB917530 CJX917530 CTT917530 DDP917530 DNL917530 DXH917530 EHD917530 EQZ917530 FAV917530 FKR917530 FUN917530 GEJ917530 GOF917530 GYB917530 HHX917530 HRT917530 IBP917530 ILL917530 IVH917530 JFD917530 JOZ917530 JYV917530 KIR917530 KSN917530 LCJ917530 LMF917530 LWB917530 MFX917530 MPT917530 MZP917530 NJL917530 NTH917530 ODD917530 OMZ917530 OWV917530 PGR917530 PQN917530 QAJ917530 QKF917530 QUB917530 RDX917530 RNT917530 RXP917530 SHL917530 SRH917530 TBD917530 TKZ917530 TUV917530 UER917530 UON917530 UYJ917530 VIF917530 VSB917530 WBX917530 WLT917530 WVP917530 H983066 JD983066 SZ983066 ACV983066 AMR983066 AWN983066 BGJ983066 BQF983066 CAB983066 CJX983066 CTT983066 DDP983066 DNL983066 DXH983066 EHD983066 EQZ983066 FAV983066 FKR983066 FUN983066 GEJ983066 GOF983066 GYB983066 HHX983066 HRT983066 IBP983066 ILL983066 IVH983066 JFD983066 JOZ983066 JYV983066 KIR983066 KSN983066 LCJ983066 LMF983066 LWB983066 MFX983066 MPT983066 MZP983066 NJL983066 NTH983066 ODD983066 OMZ983066 OWV983066 PGR983066 PQN983066 QAJ983066 QKF983066 QUB983066 RDX983066 RNT983066 RXP983066 SHL983066 SRH983066 TBD983066 TKZ983066 TUV983066 UER983066 UON983066 UYJ983066 VIF983066 VSB983066 WBX983066 WLT983066 WVP983066 H28:I35 JD28:JE35 SZ28:TA35 ACV28:ACW35 AMR28:AMS35 AWN28:AWO35 BGJ28:BGK35 BQF28:BQG35 CAB28:CAC35 CJX28:CJY35 CTT28:CTU35 DDP28:DDQ35 DNL28:DNM35 DXH28:DXI35 EHD28:EHE35 EQZ28:ERA35 FAV28:FAW35 FKR28:FKS35 FUN28:FUO35 GEJ28:GEK35 GOF28:GOG35 GYB28:GYC35 HHX28:HHY35 HRT28:HRU35 IBP28:IBQ35 ILL28:ILM35 IVH28:IVI35 JFD28:JFE35 JOZ28:JPA35 JYV28:JYW35 KIR28:KIS35 KSN28:KSO35 LCJ28:LCK35 LMF28:LMG35 LWB28:LWC35 MFX28:MFY35 MPT28:MPU35 MZP28:MZQ35 NJL28:NJM35 NTH28:NTI35 ODD28:ODE35 OMZ28:ONA35 OWV28:OWW35 PGR28:PGS35 PQN28:PQO35 QAJ28:QAK35 QKF28:QKG35 QUB28:QUC35 RDX28:RDY35 RNT28:RNU35 RXP28:RXQ35 SHL28:SHM35 SRH28:SRI35 TBD28:TBE35 TKZ28:TLA35 TUV28:TUW35 UER28:UES35 UON28:UOO35 UYJ28:UYK35 VIF28:VIG35 VSB28:VSC35 WBX28:WBY35 WLT28:WLU35 WVP28:WVQ35 H65564:I65571 JD65564:JE65571 SZ65564:TA65571 ACV65564:ACW65571 AMR65564:AMS65571 AWN65564:AWO65571 BGJ65564:BGK65571 BQF65564:BQG65571 CAB65564:CAC65571 CJX65564:CJY65571 CTT65564:CTU65571 DDP65564:DDQ65571 DNL65564:DNM65571 DXH65564:DXI65571 EHD65564:EHE65571 EQZ65564:ERA65571 FAV65564:FAW65571 FKR65564:FKS65571 FUN65564:FUO65571 GEJ65564:GEK65571 GOF65564:GOG65571 GYB65564:GYC65571 HHX65564:HHY65571 HRT65564:HRU65571 IBP65564:IBQ65571 ILL65564:ILM65571 IVH65564:IVI65571 JFD65564:JFE65571 JOZ65564:JPA65571 JYV65564:JYW65571 KIR65564:KIS65571 KSN65564:KSO65571 LCJ65564:LCK65571 LMF65564:LMG65571 LWB65564:LWC65571 MFX65564:MFY65571 MPT65564:MPU65571 MZP65564:MZQ65571 NJL65564:NJM65571 NTH65564:NTI65571 ODD65564:ODE65571 OMZ65564:ONA65571 OWV65564:OWW65571 PGR65564:PGS65571 PQN65564:PQO65571 QAJ65564:QAK65571 QKF65564:QKG65571 QUB65564:QUC65571 RDX65564:RDY65571 RNT65564:RNU65571 RXP65564:RXQ65571 SHL65564:SHM65571 SRH65564:SRI65571 TBD65564:TBE65571 TKZ65564:TLA65571 TUV65564:TUW65571 UER65564:UES65571 UON65564:UOO65571 UYJ65564:UYK65571 VIF65564:VIG65571 VSB65564:VSC65571 WBX65564:WBY65571 WLT65564:WLU65571 WVP65564:WVQ65571 H131100:I131107 JD131100:JE131107 SZ131100:TA131107 ACV131100:ACW131107 AMR131100:AMS131107 AWN131100:AWO131107 BGJ131100:BGK131107 BQF131100:BQG131107 CAB131100:CAC131107 CJX131100:CJY131107 CTT131100:CTU131107 DDP131100:DDQ131107 DNL131100:DNM131107 DXH131100:DXI131107 EHD131100:EHE131107 EQZ131100:ERA131107 FAV131100:FAW131107 FKR131100:FKS131107 FUN131100:FUO131107 GEJ131100:GEK131107 GOF131100:GOG131107 GYB131100:GYC131107 HHX131100:HHY131107 HRT131100:HRU131107 IBP131100:IBQ131107 ILL131100:ILM131107 IVH131100:IVI131107 JFD131100:JFE131107 JOZ131100:JPA131107 JYV131100:JYW131107 KIR131100:KIS131107 KSN131100:KSO131107 LCJ131100:LCK131107 LMF131100:LMG131107 LWB131100:LWC131107 MFX131100:MFY131107 MPT131100:MPU131107 MZP131100:MZQ131107 NJL131100:NJM131107 NTH131100:NTI131107 ODD131100:ODE131107 OMZ131100:ONA131107 OWV131100:OWW131107 PGR131100:PGS131107 PQN131100:PQO131107 QAJ131100:QAK131107 QKF131100:QKG131107 QUB131100:QUC131107 RDX131100:RDY131107 RNT131100:RNU131107 RXP131100:RXQ131107 SHL131100:SHM131107 SRH131100:SRI131107 TBD131100:TBE131107 TKZ131100:TLA131107 TUV131100:TUW131107 UER131100:UES131107 UON131100:UOO131107 UYJ131100:UYK131107 VIF131100:VIG131107 VSB131100:VSC131107 WBX131100:WBY131107 WLT131100:WLU131107 WVP131100:WVQ131107 H196636:I196643 JD196636:JE196643 SZ196636:TA196643 ACV196636:ACW196643 AMR196636:AMS196643 AWN196636:AWO196643 BGJ196636:BGK196643 BQF196636:BQG196643 CAB196636:CAC196643 CJX196636:CJY196643 CTT196636:CTU196643 DDP196636:DDQ196643 DNL196636:DNM196643 DXH196636:DXI196643 EHD196636:EHE196643 EQZ196636:ERA196643 FAV196636:FAW196643 FKR196636:FKS196643 FUN196636:FUO196643 GEJ196636:GEK196643 GOF196636:GOG196643 GYB196636:GYC196643 HHX196636:HHY196643 HRT196636:HRU196643 IBP196636:IBQ196643 ILL196636:ILM196643 IVH196636:IVI196643 JFD196636:JFE196643 JOZ196636:JPA196643 JYV196636:JYW196643 KIR196636:KIS196643 KSN196636:KSO196643 LCJ196636:LCK196643 LMF196636:LMG196643 LWB196636:LWC196643 MFX196636:MFY196643 MPT196636:MPU196643 MZP196636:MZQ196643 NJL196636:NJM196643 NTH196636:NTI196643 ODD196636:ODE196643 OMZ196636:ONA196643 OWV196636:OWW196643 PGR196636:PGS196643 PQN196636:PQO196643 QAJ196636:QAK196643 QKF196636:QKG196643 QUB196636:QUC196643 RDX196636:RDY196643 RNT196636:RNU196643 RXP196636:RXQ196643 SHL196636:SHM196643 SRH196636:SRI196643 TBD196636:TBE196643 TKZ196636:TLA196643 TUV196636:TUW196643 UER196636:UES196643 UON196636:UOO196643 UYJ196636:UYK196643 VIF196636:VIG196643 VSB196636:VSC196643 WBX196636:WBY196643 WLT196636:WLU196643 WVP196636:WVQ196643 H262172:I262179 JD262172:JE262179 SZ262172:TA262179 ACV262172:ACW262179 AMR262172:AMS262179 AWN262172:AWO262179 BGJ262172:BGK262179 BQF262172:BQG262179 CAB262172:CAC262179 CJX262172:CJY262179 CTT262172:CTU262179 DDP262172:DDQ262179 DNL262172:DNM262179 DXH262172:DXI262179 EHD262172:EHE262179 EQZ262172:ERA262179 FAV262172:FAW262179 FKR262172:FKS262179 FUN262172:FUO262179 GEJ262172:GEK262179 GOF262172:GOG262179 GYB262172:GYC262179 HHX262172:HHY262179 HRT262172:HRU262179 IBP262172:IBQ262179 ILL262172:ILM262179 IVH262172:IVI262179 JFD262172:JFE262179 JOZ262172:JPA262179 JYV262172:JYW262179 KIR262172:KIS262179 KSN262172:KSO262179 LCJ262172:LCK262179 LMF262172:LMG262179 LWB262172:LWC262179 MFX262172:MFY262179 MPT262172:MPU262179 MZP262172:MZQ262179 NJL262172:NJM262179 NTH262172:NTI262179 ODD262172:ODE262179 OMZ262172:ONA262179 OWV262172:OWW262179 PGR262172:PGS262179 PQN262172:PQO262179 QAJ262172:QAK262179 QKF262172:QKG262179 QUB262172:QUC262179 RDX262172:RDY262179 RNT262172:RNU262179 RXP262172:RXQ262179 SHL262172:SHM262179 SRH262172:SRI262179 TBD262172:TBE262179 TKZ262172:TLA262179 TUV262172:TUW262179 UER262172:UES262179 UON262172:UOO262179 UYJ262172:UYK262179 VIF262172:VIG262179 VSB262172:VSC262179 WBX262172:WBY262179 WLT262172:WLU262179 WVP262172:WVQ262179 H327708:I327715 JD327708:JE327715 SZ327708:TA327715 ACV327708:ACW327715 AMR327708:AMS327715 AWN327708:AWO327715 BGJ327708:BGK327715 BQF327708:BQG327715 CAB327708:CAC327715 CJX327708:CJY327715 CTT327708:CTU327715 DDP327708:DDQ327715 DNL327708:DNM327715 DXH327708:DXI327715 EHD327708:EHE327715 EQZ327708:ERA327715 FAV327708:FAW327715 FKR327708:FKS327715 FUN327708:FUO327715 GEJ327708:GEK327715 GOF327708:GOG327715 GYB327708:GYC327715 HHX327708:HHY327715 HRT327708:HRU327715 IBP327708:IBQ327715 ILL327708:ILM327715 IVH327708:IVI327715 JFD327708:JFE327715 JOZ327708:JPA327715 JYV327708:JYW327715 KIR327708:KIS327715 KSN327708:KSO327715 LCJ327708:LCK327715 LMF327708:LMG327715 LWB327708:LWC327715 MFX327708:MFY327715 MPT327708:MPU327715 MZP327708:MZQ327715 NJL327708:NJM327715 NTH327708:NTI327715 ODD327708:ODE327715 OMZ327708:ONA327715 OWV327708:OWW327715 PGR327708:PGS327715 PQN327708:PQO327715 QAJ327708:QAK327715 QKF327708:QKG327715 QUB327708:QUC327715 RDX327708:RDY327715 RNT327708:RNU327715 RXP327708:RXQ327715 SHL327708:SHM327715 SRH327708:SRI327715 TBD327708:TBE327715 TKZ327708:TLA327715 TUV327708:TUW327715 UER327708:UES327715 UON327708:UOO327715 UYJ327708:UYK327715 VIF327708:VIG327715 VSB327708:VSC327715 WBX327708:WBY327715 WLT327708:WLU327715 WVP327708:WVQ327715 H393244:I393251 JD393244:JE393251 SZ393244:TA393251 ACV393244:ACW393251 AMR393244:AMS393251 AWN393244:AWO393251 BGJ393244:BGK393251 BQF393244:BQG393251 CAB393244:CAC393251 CJX393244:CJY393251 CTT393244:CTU393251 DDP393244:DDQ393251 DNL393244:DNM393251 DXH393244:DXI393251 EHD393244:EHE393251 EQZ393244:ERA393251 FAV393244:FAW393251 FKR393244:FKS393251 FUN393244:FUO393251 GEJ393244:GEK393251 GOF393244:GOG393251 GYB393244:GYC393251 HHX393244:HHY393251 HRT393244:HRU393251 IBP393244:IBQ393251 ILL393244:ILM393251 IVH393244:IVI393251 JFD393244:JFE393251 JOZ393244:JPA393251 JYV393244:JYW393251 KIR393244:KIS393251 KSN393244:KSO393251 LCJ393244:LCK393251 LMF393244:LMG393251 LWB393244:LWC393251 MFX393244:MFY393251 MPT393244:MPU393251 MZP393244:MZQ393251 NJL393244:NJM393251 NTH393244:NTI393251 ODD393244:ODE393251 OMZ393244:ONA393251 OWV393244:OWW393251 PGR393244:PGS393251 PQN393244:PQO393251 QAJ393244:QAK393251 QKF393244:QKG393251 QUB393244:QUC393251 RDX393244:RDY393251 RNT393244:RNU393251 RXP393244:RXQ393251 SHL393244:SHM393251 SRH393244:SRI393251 TBD393244:TBE393251 TKZ393244:TLA393251 TUV393244:TUW393251 UER393244:UES393251 UON393244:UOO393251 UYJ393244:UYK393251 VIF393244:VIG393251 VSB393244:VSC393251 WBX393244:WBY393251 WLT393244:WLU393251 WVP393244:WVQ393251 H458780:I458787 JD458780:JE458787 SZ458780:TA458787 ACV458780:ACW458787 AMR458780:AMS458787 AWN458780:AWO458787 BGJ458780:BGK458787 BQF458780:BQG458787 CAB458780:CAC458787 CJX458780:CJY458787 CTT458780:CTU458787 DDP458780:DDQ458787 DNL458780:DNM458787 DXH458780:DXI458787 EHD458780:EHE458787 EQZ458780:ERA458787 FAV458780:FAW458787 FKR458780:FKS458787 FUN458780:FUO458787 GEJ458780:GEK458787 GOF458780:GOG458787 GYB458780:GYC458787 HHX458780:HHY458787 HRT458780:HRU458787 IBP458780:IBQ458787 ILL458780:ILM458787 IVH458780:IVI458787 JFD458780:JFE458787 JOZ458780:JPA458787 JYV458780:JYW458787 KIR458780:KIS458787 KSN458780:KSO458787 LCJ458780:LCK458787 LMF458780:LMG458787 LWB458780:LWC458787 MFX458780:MFY458787 MPT458780:MPU458787 MZP458780:MZQ458787 NJL458780:NJM458787 NTH458780:NTI458787 ODD458780:ODE458787 OMZ458780:ONA458787 OWV458780:OWW458787 PGR458780:PGS458787 PQN458780:PQO458787 QAJ458780:QAK458787 QKF458780:QKG458787 QUB458780:QUC458787 RDX458780:RDY458787 RNT458780:RNU458787 RXP458780:RXQ458787 SHL458780:SHM458787 SRH458780:SRI458787 TBD458780:TBE458787 TKZ458780:TLA458787 TUV458780:TUW458787 UER458780:UES458787 UON458780:UOO458787 UYJ458780:UYK458787 VIF458780:VIG458787 VSB458780:VSC458787 WBX458780:WBY458787 WLT458780:WLU458787 WVP458780:WVQ458787 H524316:I524323 JD524316:JE524323 SZ524316:TA524323 ACV524316:ACW524323 AMR524316:AMS524323 AWN524316:AWO524323 BGJ524316:BGK524323 BQF524316:BQG524323 CAB524316:CAC524323 CJX524316:CJY524323 CTT524316:CTU524323 DDP524316:DDQ524323 DNL524316:DNM524323 DXH524316:DXI524323 EHD524316:EHE524323 EQZ524316:ERA524323 FAV524316:FAW524323 FKR524316:FKS524323 FUN524316:FUO524323 GEJ524316:GEK524323 GOF524316:GOG524323 GYB524316:GYC524323 HHX524316:HHY524323 HRT524316:HRU524323 IBP524316:IBQ524323 ILL524316:ILM524323 IVH524316:IVI524323 JFD524316:JFE524323 JOZ524316:JPA524323 JYV524316:JYW524323 KIR524316:KIS524323 KSN524316:KSO524323 LCJ524316:LCK524323 LMF524316:LMG524323 LWB524316:LWC524323 MFX524316:MFY524323 MPT524316:MPU524323 MZP524316:MZQ524323 NJL524316:NJM524323 NTH524316:NTI524323 ODD524316:ODE524323 OMZ524316:ONA524323 OWV524316:OWW524323 PGR524316:PGS524323 PQN524316:PQO524323 QAJ524316:QAK524323 QKF524316:QKG524323 QUB524316:QUC524323 RDX524316:RDY524323 RNT524316:RNU524323 RXP524316:RXQ524323 SHL524316:SHM524323 SRH524316:SRI524323 TBD524316:TBE524323 TKZ524316:TLA524323 TUV524316:TUW524323 UER524316:UES524323 UON524316:UOO524323 UYJ524316:UYK524323 VIF524316:VIG524323 VSB524316:VSC524323 WBX524316:WBY524323 WLT524316:WLU524323 WVP524316:WVQ524323 H589852:I589859 JD589852:JE589859 SZ589852:TA589859 ACV589852:ACW589859 AMR589852:AMS589859 AWN589852:AWO589859 BGJ589852:BGK589859 BQF589852:BQG589859 CAB589852:CAC589859 CJX589852:CJY589859 CTT589852:CTU589859 DDP589852:DDQ589859 DNL589852:DNM589859 DXH589852:DXI589859 EHD589852:EHE589859 EQZ589852:ERA589859 FAV589852:FAW589859 FKR589852:FKS589859 FUN589852:FUO589859 GEJ589852:GEK589859 GOF589852:GOG589859 GYB589852:GYC589859 HHX589852:HHY589859 HRT589852:HRU589859 IBP589852:IBQ589859 ILL589852:ILM589859 IVH589852:IVI589859 JFD589852:JFE589859 JOZ589852:JPA589859 JYV589852:JYW589859 KIR589852:KIS589859 KSN589852:KSO589859 LCJ589852:LCK589859 LMF589852:LMG589859 LWB589852:LWC589859 MFX589852:MFY589859 MPT589852:MPU589859 MZP589852:MZQ589859 NJL589852:NJM589859 NTH589852:NTI589859 ODD589852:ODE589859 OMZ589852:ONA589859 OWV589852:OWW589859 PGR589852:PGS589859 PQN589852:PQO589859 QAJ589852:QAK589859 QKF589852:QKG589859 QUB589852:QUC589859 RDX589852:RDY589859 RNT589852:RNU589859 RXP589852:RXQ589859 SHL589852:SHM589859 SRH589852:SRI589859 TBD589852:TBE589859 TKZ589852:TLA589859 TUV589852:TUW589859 UER589852:UES589859 UON589852:UOO589859 UYJ589852:UYK589859 VIF589852:VIG589859 VSB589852:VSC589859 WBX589852:WBY589859 WLT589852:WLU589859 WVP589852:WVQ589859 H655388:I655395 JD655388:JE655395 SZ655388:TA655395 ACV655388:ACW655395 AMR655388:AMS655395 AWN655388:AWO655395 BGJ655388:BGK655395 BQF655388:BQG655395 CAB655388:CAC655395 CJX655388:CJY655395 CTT655388:CTU655395 DDP655388:DDQ655395 DNL655388:DNM655395 DXH655388:DXI655395 EHD655388:EHE655395 EQZ655388:ERA655395 FAV655388:FAW655395 FKR655388:FKS655395 FUN655388:FUO655395 GEJ655388:GEK655395 GOF655388:GOG655395 GYB655388:GYC655395 HHX655388:HHY655395 HRT655388:HRU655395 IBP655388:IBQ655395 ILL655388:ILM655395 IVH655388:IVI655395 JFD655388:JFE655395 JOZ655388:JPA655395 JYV655388:JYW655395 KIR655388:KIS655395 KSN655388:KSO655395 LCJ655388:LCK655395 LMF655388:LMG655395 LWB655388:LWC655395 MFX655388:MFY655395 MPT655388:MPU655395 MZP655388:MZQ655395 NJL655388:NJM655395 NTH655388:NTI655395 ODD655388:ODE655395 OMZ655388:ONA655395 OWV655388:OWW655395 PGR655388:PGS655395 PQN655388:PQO655395 QAJ655388:QAK655395 QKF655388:QKG655395 QUB655388:QUC655395 RDX655388:RDY655395 RNT655388:RNU655395 RXP655388:RXQ655395 SHL655388:SHM655395 SRH655388:SRI655395 TBD655388:TBE655395 TKZ655388:TLA655395 TUV655388:TUW655395 UER655388:UES655395 UON655388:UOO655395 UYJ655388:UYK655395 VIF655388:VIG655395 VSB655388:VSC655395 WBX655388:WBY655395 WLT655388:WLU655395 WVP655388:WVQ655395 H720924:I720931 JD720924:JE720931 SZ720924:TA720931 ACV720924:ACW720931 AMR720924:AMS720931 AWN720924:AWO720931 BGJ720924:BGK720931 BQF720924:BQG720931 CAB720924:CAC720931 CJX720924:CJY720931 CTT720924:CTU720931 DDP720924:DDQ720931 DNL720924:DNM720931 DXH720924:DXI720931 EHD720924:EHE720931 EQZ720924:ERA720931 FAV720924:FAW720931 FKR720924:FKS720931 FUN720924:FUO720931 GEJ720924:GEK720931 GOF720924:GOG720931 GYB720924:GYC720931 HHX720924:HHY720931 HRT720924:HRU720931 IBP720924:IBQ720931 ILL720924:ILM720931 IVH720924:IVI720931 JFD720924:JFE720931 JOZ720924:JPA720931 JYV720924:JYW720931 KIR720924:KIS720931 KSN720924:KSO720931 LCJ720924:LCK720931 LMF720924:LMG720931 LWB720924:LWC720931 MFX720924:MFY720931 MPT720924:MPU720931 MZP720924:MZQ720931 NJL720924:NJM720931 NTH720924:NTI720931 ODD720924:ODE720931 OMZ720924:ONA720931 OWV720924:OWW720931 PGR720924:PGS720931 PQN720924:PQO720931 QAJ720924:QAK720931 QKF720924:QKG720931 QUB720924:QUC720931 RDX720924:RDY720931 RNT720924:RNU720931 RXP720924:RXQ720931 SHL720924:SHM720931 SRH720924:SRI720931 TBD720924:TBE720931 TKZ720924:TLA720931 TUV720924:TUW720931 UER720924:UES720931 UON720924:UOO720931 UYJ720924:UYK720931 VIF720924:VIG720931 VSB720924:VSC720931 WBX720924:WBY720931 WLT720924:WLU720931 WVP720924:WVQ720931 H786460:I786467 JD786460:JE786467 SZ786460:TA786467 ACV786460:ACW786467 AMR786460:AMS786467 AWN786460:AWO786467 BGJ786460:BGK786467 BQF786460:BQG786467 CAB786460:CAC786467 CJX786460:CJY786467 CTT786460:CTU786467 DDP786460:DDQ786467 DNL786460:DNM786467 DXH786460:DXI786467 EHD786460:EHE786467 EQZ786460:ERA786467 FAV786460:FAW786467 FKR786460:FKS786467 FUN786460:FUO786467 GEJ786460:GEK786467 GOF786460:GOG786467 GYB786460:GYC786467 HHX786460:HHY786467 HRT786460:HRU786467 IBP786460:IBQ786467 ILL786460:ILM786467 IVH786460:IVI786467 JFD786460:JFE786467 JOZ786460:JPA786467 JYV786460:JYW786467 KIR786460:KIS786467 KSN786460:KSO786467 LCJ786460:LCK786467 LMF786460:LMG786467 LWB786460:LWC786467 MFX786460:MFY786467 MPT786460:MPU786467 MZP786460:MZQ786467 NJL786460:NJM786467 NTH786460:NTI786467 ODD786460:ODE786467 OMZ786460:ONA786467 OWV786460:OWW786467 PGR786460:PGS786467 PQN786460:PQO786467 QAJ786460:QAK786467 QKF786460:QKG786467 QUB786460:QUC786467 RDX786460:RDY786467 RNT786460:RNU786467 RXP786460:RXQ786467 SHL786460:SHM786467 SRH786460:SRI786467 TBD786460:TBE786467 TKZ786460:TLA786467 TUV786460:TUW786467 UER786460:UES786467 UON786460:UOO786467 UYJ786460:UYK786467 VIF786460:VIG786467 VSB786460:VSC786467 WBX786460:WBY786467 WLT786460:WLU786467 WVP786460:WVQ786467 H851996:I852003 JD851996:JE852003 SZ851996:TA852003 ACV851996:ACW852003 AMR851996:AMS852003 AWN851996:AWO852003 BGJ851996:BGK852003 BQF851996:BQG852003 CAB851996:CAC852003 CJX851996:CJY852003 CTT851996:CTU852003 DDP851996:DDQ852003 DNL851996:DNM852003 DXH851996:DXI852003 EHD851996:EHE852003 EQZ851996:ERA852003 FAV851996:FAW852003 FKR851996:FKS852003 FUN851996:FUO852003 GEJ851996:GEK852003 GOF851996:GOG852003 GYB851996:GYC852003 HHX851996:HHY852003 HRT851996:HRU852003 IBP851996:IBQ852003 ILL851996:ILM852003 IVH851996:IVI852003 JFD851996:JFE852003 JOZ851996:JPA852003 JYV851996:JYW852003 KIR851996:KIS852003 KSN851996:KSO852003 LCJ851996:LCK852003 LMF851996:LMG852003 LWB851996:LWC852003 MFX851996:MFY852003 MPT851996:MPU852003 MZP851996:MZQ852003 NJL851996:NJM852003 NTH851996:NTI852003 ODD851996:ODE852003 OMZ851996:ONA852003 OWV851996:OWW852003 PGR851996:PGS852003 PQN851996:PQO852003 QAJ851996:QAK852003 QKF851996:QKG852003 QUB851996:QUC852003 RDX851996:RDY852003 RNT851996:RNU852003 RXP851996:RXQ852003 SHL851996:SHM852003 SRH851996:SRI852003 TBD851996:TBE852003 TKZ851996:TLA852003 TUV851996:TUW852003 UER851996:UES852003 UON851996:UOO852003 UYJ851996:UYK852003 VIF851996:VIG852003 VSB851996:VSC852003 WBX851996:WBY852003 WLT851996:WLU852003 WVP851996:WVQ852003 H917532:I917539 JD917532:JE917539 SZ917532:TA917539 ACV917532:ACW917539 AMR917532:AMS917539 AWN917532:AWO917539 BGJ917532:BGK917539 BQF917532:BQG917539 CAB917532:CAC917539 CJX917532:CJY917539 CTT917532:CTU917539 DDP917532:DDQ917539 DNL917532:DNM917539 DXH917532:DXI917539 EHD917532:EHE917539 EQZ917532:ERA917539 FAV917532:FAW917539 FKR917532:FKS917539 FUN917532:FUO917539 GEJ917532:GEK917539 GOF917532:GOG917539 GYB917532:GYC917539 HHX917532:HHY917539 HRT917532:HRU917539 IBP917532:IBQ917539 ILL917532:ILM917539 IVH917532:IVI917539 JFD917532:JFE917539 JOZ917532:JPA917539 JYV917532:JYW917539 KIR917532:KIS917539 KSN917532:KSO917539 LCJ917532:LCK917539 LMF917532:LMG917539 LWB917532:LWC917539 MFX917532:MFY917539 MPT917532:MPU917539 MZP917532:MZQ917539 NJL917532:NJM917539 NTH917532:NTI917539 ODD917532:ODE917539 OMZ917532:ONA917539 OWV917532:OWW917539 PGR917532:PGS917539 PQN917532:PQO917539 QAJ917532:QAK917539 QKF917532:QKG917539 QUB917532:QUC917539 RDX917532:RDY917539 RNT917532:RNU917539 RXP917532:RXQ917539 SHL917532:SHM917539 SRH917532:SRI917539 TBD917532:TBE917539 TKZ917532:TLA917539 TUV917532:TUW917539 UER917532:UES917539 UON917532:UOO917539 UYJ917532:UYK917539 VIF917532:VIG917539 VSB917532:VSC917539 WBX917532:WBY917539 WLT917532:WLU917539 WVP917532:WVQ917539 H983068:I983075 JD983068:JE983075 SZ983068:TA983075 ACV983068:ACW983075 AMR983068:AMS983075 AWN983068:AWO983075 BGJ983068:BGK983075 BQF983068:BQG983075 CAB983068:CAC983075 CJX983068:CJY983075 CTT983068:CTU983075 DDP983068:DDQ983075 DNL983068:DNM983075 DXH983068:DXI983075 EHD983068:EHE983075 EQZ983068:ERA983075 FAV983068:FAW983075 FKR983068:FKS983075 FUN983068:FUO983075 GEJ983068:GEK983075 GOF983068:GOG983075 GYB983068:GYC983075 HHX983068:HHY983075 HRT983068:HRU983075 IBP983068:IBQ983075 ILL983068:ILM983075 IVH983068:IVI983075 JFD983068:JFE983075 JOZ983068:JPA983075 JYV983068:JYW983075 KIR983068:KIS983075 KSN983068:KSO983075 LCJ983068:LCK983075 LMF983068:LMG983075 LWB983068:LWC983075 MFX983068:MFY983075 MPT983068:MPU983075 MZP983068:MZQ983075 NJL983068:NJM983075 NTH983068:NTI983075 ODD983068:ODE983075 OMZ983068:ONA983075 OWV983068:OWW983075 PGR983068:PGS983075 PQN983068:PQO983075 QAJ983068:QAK983075 QKF983068:QKG983075 QUB983068:QUC983075 RDX983068:RDY983075 RNT983068:RNU983075 RXP983068:RXQ983075 SHL983068:SHM983075 SRH983068:SRI983075 TBD983068:TBE983075 TKZ983068:TLA983075 TUV983068:TUW983075 UER983068:UES983075 UON983068:UOO983075 UYJ983068:UYK983075 VIF983068:VIG983075 VSB983068:VSC983075 WBX983068:WBY983075 WLT983068:WLU983075 WVP983068:WVQ983075 H37:I44 JD37:JE44 SZ37:TA44 ACV37:ACW44 AMR37:AMS44 AWN37:AWO44 BGJ37:BGK44 BQF37:BQG44 CAB37:CAC44 CJX37:CJY44 CTT37:CTU44 DDP37:DDQ44 DNL37:DNM44 DXH37:DXI44 EHD37:EHE44 EQZ37:ERA44 FAV37:FAW44 FKR37:FKS44 FUN37:FUO44 GEJ37:GEK44 GOF37:GOG44 GYB37:GYC44 HHX37:HHY44 HRT37:HRU44 IBP37:IBQ44 ILL37:ILM44 IVH37:IVI44 JFD37:JFE44 JOZ37:JPA44 JYV37:JYW44 KIR37:KIS44 KSN37:KSO44 LCJ37:LCK44 LMF37:LMG44 LWB37:LWC44 MFX37:MFY44 MPT37:MPU44 MZP37:MZQ44 NJL37:NJM44 NTH37:NTI44 ODD37:ODE44 OMZ37:ONA44 OWV37:OWW44 PGR37:PGS44 PQN37:PQO44 QAJ37:QAK44 QKF37:QKG44 QUB37:QUC44 RDX37:RDY44 RNT37:RNU44 RXP37:RXQ44 SHL37:SHM44 SRH37:SRI44 TBD37:TBE44 TKZ37:TLA44 TUV37:TUW44 UER37:UES44 UON37:UOO44 UYJ37:UYK44 VIF37:VIG44 VSB37:VSC44 WBX37:WBY44 WLT37:WLU44 WVP37:WVQ44 H65573:I65580 JD65573:JE65580 SZ65573:TA65580 ACV65573:ACW65580 AMR65573:AMS65580 AWN65573:AWO65580 BGJ65573:BGK65580 BQF65573:BQG65580 CAB65573:CAC65580 CJX65573:CJY65580 CTT65573:CTU65580 DDP65573:DDQ65580 DNL65573:DNM65580 DXH65573:DXI65580 EHD65573:EHE65580 EQZ65573:ERA65580 FAV65573:FAW65580 FKR65573:FKS65580 FUN65573:FUO65580 GEJ65573:GEK65580 GOF65573:GOG65580 GYB65573:GYC65580 HHX65573:HHY65580 HRT65573:HRU65580 IBP65573:IBQ65580 ILL65573:ILM65580 IVH65573:IVI65580 JFD65573:JFE65580 JOZ65573:JPA65580 JYV65573:JYW65580 KIR65573:KIS65580 KSN65573:KSO65580 LCJ65573:LCK65580 LMF65573:LMG65580 LWB65573:LWC65580 MFX65573:MFY65580 MPT65573:MPU65580 MZP65573:MZQ65580 NJL65573:NJM65580 NTH65573:NTI65580 ODD65573:ODE65580 OMZ65573:ONA65580 OWV65573:OWW65580 PGR65573:PGS65580 PQN65573:PQO65580 QAJ65573:QAK65580 QKF65573:QKG65580 QUB65573:QUC65580 RDX65573:RDY65580 RNT65573:RNU65580 RXP65573:RXQ65580 SHL65573:SHM65580 SRH65573:SRI65580 TBD65573:TBE65580 TKZ65573:TLA65580 TUV65573:TUW65580 UER65573:UES65580 UON65573:UOO65580 UYJ65573:UYK65580 VIF65573:VIG65580 VSB65573:VSC65580 WBX65573:WBY65580 WLT65573:WLU65580 WVP65573:WVQ65580 H131109:I131116 JD131109:JE131116 SZ131109:TA131116 ACV131109:ACW131116 AMR131109:AMS131116 AWN131109:AWO131116 BGJ131109:BGK131116 BQF131109:BQG131116 CAB131109:CAC131116 CJX131109:CJY131116 CTT131109:CTU131116 DDP131109:DDQ131116 DNL131109:DNM131116 DXH131109:DXI131116 EHD131109:EHE131116 EQZ131109:ERA131116 FAV131109:FAW131116 FKR131109:FKS131116 FUN131109:FUO131116 GEJ131109:GEK131116 GOF131109:GOG131116 GYB131109:GYC131116 HHX131109:HHY131116 HRT131109:HRU131116 IBP131109:IBQ131116 ILL131109:ILM131116 IVH131109:IVI131116 JFD131109:JFE131116 JOZ131109:JPA131116 JYV131109:JYW131116 KIR131109:KIS131116 KSN131109:KSO131116 LCJ131109:LCK131116 LMF131109:LMG131116 LWB131109:LWC131116 MFX131109:MFY131116 MPT131109:MPU131116 MZP131109:MZQ131116 NJL131109:NJM131116 NTH131109:NTI131116 ODD131109:ODE131116 OMZ131109:ONA131116 OWV131109:OWW131116 PGR131109:PGS131116 PQN131109:PQO131116 QAJ131109:QAK131116 QKF131109:QKG131116 QUB131109:QUC131116 RDX131109:RDY131116 RNT131109:RNU131116 RXP131109:RXQ131116 SHL131109:SHM131116 SRH131109:SRI131116 TBD131109:TBE131116 TKZ131109:TLA131116 TUV131109:TUW131116 UER131109:UES131116 UON131109:UOO131116 UYJ131109:UYK131116 VIF131109:VIG131116 VSB131109:VSC131116 WBX131109:WBY131116 WLT131109:WLU131116 WVP131109:WVQ131116 H196645:I196652 JD196645:JE196652 SZ196645:TA196652 ACV196645:ACW196652 AMR196645:AMS196652 AWN196645:AWO196652 BGJ196645:BGK196652 BQF196645:BQG196652 CAB196645:CAC196652 CJX196645:CJY196652 CTT196645:CTU196652 DDP196645:DDQ196652 DNL196645:DNM196652 DXH196645:DXI196652 EHD196645:EHE196652 EQZ196645:ERA196652 FAV196645:FAW196652 FKR196645:FKS196652 FUN196645:FUO196652 GEJ196645:GEK196652 GOF196645:GOG196652 GYB196645:GYC196652 HHX196645:HHY196652 HRT196645:HRU196652 IBP196645:IBQ196652 ILL196645:ILM196652 IVH196645:IVI196652 JFD196645:JFE196652 JOZ196645:JPA196652 JYV196645:JYW196652 KIR196645:KIS196652 KSN196645:KSO196652 LCJ196645:LCK196652 LMF196645:LMG196652 LWB196645:LWC196652 MFX196645:MFY196652 MPT196645:MPU196652 MZP196645:MZQ196652 NJL196645:NJM196652 NTH196645:NTI196652 ODD196645:ODE196652 OMZ196645:ONA196652 OWV196645:OWW196652 PGR196645:PGS196652 PQN196645:PQO196652 QAJ196645:QAK196652 QKF196645:QKG196652 QUB196645:QUC196652 RDX196645:RDY196652 RNT196645:RNU196652 RXP196645:RXQ196652 SHL196645:SHM196652 SRH196645:SRI196652 TBD196645:TBE196652 TKZ196645:TLA196652 TUV196645:TUW196652 UER196645:UES196652 UON196645:UOO196652 UYJ196645:UYK196652 VIF196645:VIG196652 VSB196645:VSC196652 WBX196645:WBY196652 WLT196645:WLU196652 WVP196645:WVQ196652 H262181:I262188 JD262181:JE262188 SZ262181:TA262188 ACV262181:ACW262188 AMR262181:AMS262188 AWN262181:AWO262188 BGJ262181:BGK262188 BQF262181:BQG262188 CAB262181:CAC262188 CJX262181:CJY262188 CTT262181:CTU262188 DDP262181:DDQ262188 DNL262181:DNM262188 DXH262181:DXI262188 EHD262181:EHE262188 EQZ262181:ERA262188 FAV262181:FAW262188 FKR262181:FKS262188 FUN262181:FUO262188 GEJ262181:GEK262188 GOF262181:GOG262188 GYB262181:GYC262188 HHX262181:HHY262188 HRT262181:HRU262188 IBP262181:IBQ262188 ILL262181:ILM262188 IVH262181:IVI262188 JFD262181:JFE262188 JOZ262181:JPA262188 JYV262181:JYW262188 KIR262181:KIS262188 KSN262181:KSO262188 LCJ262181:LCK262188 LMF262181:LMG262188 LWB262181:LWC262188 MFX262181:MFY262188 MPT262181:MPU262188 MZP262181:MZQ262188 NJL262181:NJM262188 NTH262181:NTI262188 ODD262181:ODE262188 OMZ262181:ONA262188 OWV262181:OWW262188 PGR262181:PGS262188 PQN262181:PQO262188 QAJ262181:QAK262188 QKF262181:QKG262188 QUB262181:QUC262188 RDX262181:RDY262188 RNT262181:RNU262188 RXP262181:RXQ262188 SHL262181:SHM262188 SRH262181:SRI262188 TBD262181:TBE262188 TKZ262181:TLA262188 TUV262181:TUW262188 UER262181:UES262188 UON262181:UOO262188 UYJ262181:UYK262188 VIF262181:VIG262188 VSB262181:VSC262188 WBX262181:WBY262188 WLT262181:WLU262188 WVP262181:WVQ262188 H327717:I327724 JD327717:JE327724 SZ327717:TA327724 ACV327717:ACW327724 AMR327717:AMS327724 AWN327717:AWO327724 BGJ327717:BGK327724 BQF327717:BQG327724 CAB327717:CAC327724 CJX327717:CJY327724 CTT327717:CTU327724 DDP327717:DDQ327724 DNL327717:DNM327724 DXH327717:DXI327724 EHD327717:EHE327724 EQZ327717:ERA327724 FAV327717:FAW327724 FKR327717:FKS327724 FUN327717:FUO327724 GEJ327717:GEK327724 GOF327717:GOG327724 GYB327717:GYC327724 HHX327717:HHY327724 HRT327717:HRU327724 IBP327717:IBQ327724 ILL327717:ILM327724 IVH327717:IVI327724 JFD327717:JFE327724 JOZ327717:JPA327724 JYV327717:JYW327724 KIR327717:KIS327724 KSN327717:KSO327724 LCJ327717:LCK327724 LMF327717:LMG327724 LWB327717:LWC327724 MFX327717:MFY327724 MPT327717:MPU327724 MZP327717:MZQ327724 NJL327717:NJM327724 NTH327717:NTI327724 ODD327717:ODE327724 OMZ327717:ONA327724 OWV327717:OWW327724 PGR327717:PGS327724 PQN327717:PQO327724 QAJ327717:QAK327724 QKF327717:QKG327724 QUB327717:QUC327724 RDX327717:RDY327724 RNT327717:RNU327724 RXP327717:RXQ327724 SHL327717:SHM327724 SRH327717:SRI327724 TBD327717:TBE327724 TKZ327717:TLA327724 TUV327717:TUW327724 UER327717:UES327724 UON327717:UOO327724 UYJ327717:UYK327724 VIF327717:VIG327724 VSB327717:VSC327724 WBX327717:WBY327724 WLT327717:WLU327724 WVP327717:WVQ327724 H393253:I393260 JD393253:JE393260 SZ393253:TA393260 ACV393253:ACW393260 AMR393253:AMS393260 AWN393253:AWO393260 BGJ393253:BGK393260 BQF393253:BQG393260 CAB393253:CAC393260 CJX393253:CJY393260 CTT393253:CTU393260 DDP393253:DDQ393260 DNL393253:DNM393260 DXH393253:DXI393260 EHD393253:EHE393260 EQZ393253:ERA393260 FAV393253:FAW393260 FKR393253:FKS393260 FUN393253:FUO393260 GEJ393253:GEK393260 GOF393253:GOG393260 GYB393253:GYC393260 HHX393253:HHY393260 HRT393253:HRU393260 IBP393253:IBQ393260 ILL393253:ILM393260 IVH393253:IVI393260 JFD393253:JFE393260 JOZ393253:JPA393260 JYV393253:JYW393260 KIR393253:KIS393260 KSN393253:KSO393260 LCJ393253:LCK393260 LMF393253:LMG393260 LWB393253:LWC393260 MFX393253:MFY393260 MPT393253:MPU393260 MZP393253:MZQ393260 NJL393253:NJM393260 NTH393253:NTI393260 ODD393253:ODE393260 OMZ393253:ONA393260 OWV393253:OWW393260 PGR393253:PGS393260 PQN393253:PQO393260 QAJ393253:QAK393260 QKF393253:QKG393260 QUB393253:QUC393260 RDX393253:RDY393260 RNT393253:RNU393260 RXP393253:RXQ393260 SHL393253:SHM393260 SRH393253:SRI393260 TBD393253:TBE393260 TKZ393253:TLA393260 TUV393253:TUW393260 UER393253:UES393260 UON393253:UOO393260 UYJ393253:UYK393260 VIF393253:VIG393260 VSB393253:VSC393260 WBX393253:WBY393260 WLT393253:WLU393260 WVP393253:WVQ393260 H458789:I458796 JD458789:JE458796 SZ458789:TA458796 ACV458789:ACW458796 AMR458789:AMS458796 AWN458789:AWO458796 BGJ458789:BGK458796 BQF458789:BQG458796 CAB458789:CAC458796 CJX458789:CJY458796 CTT458789:CTU458796 DDP458789:DDQ458796 DNL458789:DNM458796 DXH458789:DXI458796 EHD458789:EHE458796 EQZ458789:ERA458796 FAV458789:FAW458796 FKR458789:FKS458796 FUN458789:FUO458796 GEJ458789:GEK458796 GOF458789:GOG458796 GYB458789:GYC458796 HHX458789:HHY458796 HRT458789:HRU458796 IBP458789:IBQ458796 ILL458789:ILM458796 IVH458789:IVI458796 JFD458789:JFE458796 JOZ458789:JPA458796 JYV458789:JYW458796 KIR458789:KIS458796 KSN458789:KSO458796 LCJ458789:LCK458796 LMF458789:LMG458796 LWB458789:LWC458796 MFX458789:MFY458796 MPT458789:MPU458796 MZP458789:MZQ458796 NJL458789:NJM458796 NTH458789:NTI458796 ODD458789:ODE458796 OMZ458789:ONA458796 OWV458789:OWW458796 PGR458789:PGS458796 PQN458789:PQO458796 QAJ458789:QAK458796 QKF458789:QKG458796 QUB458789:QUC458796 RDX458789:RDY458796 RNT458789:RNU458796 RXP458789:RXQ458796 SHL458789:SHM458796 SRH458789:SRI458796 TBD458789:TBE458796 TKZ458789:TLA458796 TUV458789:TUW458796 UER458789:UES458796 UON458789:UOO458796 UYJ458789:UYK458796 VIF458789:VIG458796 VSB458789:VSC458796 WBX458789:WBY458796 WLT458789:WLU458796 WVP458789:WVQ458796 H524325:I524332 JD524325:JE524332 SZ524325:TA524332 ACV524325:ACW524332 AMR524325:AMS524332 AWN524325:AWO524332 BGJ524325:BGK524332 BQF524325:BQG524332 CAB524325:CAC524332 CJX524325:CJY524332 CTT524325:CTU524332 DDP524325:DDQ524332 DNL524325:DNM524332 DXH524325:DXI524332 EHD524325:EHE524332 EQZ524325:ERA524332 FAV524325:FAW524332 FKR524325:FKS524332 FUN524325:FUO524332 GEJ524325:GEK524332 GOF524325:GOG524332 GYB524325:GYC524332 HHX524325:HHY524332 HRT524325:HRU524332 IBP524325:IBQ524332 ILL524325:ILM524332 IVH524325:IVI524332 JFD524325:JFE524332 JOZ524325:JPA524332 JYV524325:JYW524332 KIR524325:KIS524332 KSN524325:KSO524332 LCJ524325:LCK524332 LMF524325:LMG524332 LWB524325:LWC524332 MFX524325:MFY524332 MPT524325:MPU524332 MZP524325:MZQ524332 NJL524325:NJM524332 NTH524325:NTI524332 ODD524325:ODE524332 OMZ524325:ONA524332 OWV524325:OWW524332 PGR524325:PGS524332 PQN524325:PQO524332 QAJ524325:QAK524332 QKF524325:QKG524332 QUB524325:QUC524332 RDX524325:RDY524332 RNT524325:RNU524332 RXP524325:RXQ524332 SHL524325:SHM524332 SRH524325:SRI524332 TBD524325:TBE524332 TKZ524325:TLA524332 TUV524325:TUW524332 UER524325:UES524332 UON524325:UOO524332 UYJ524325:UYK524332 VIF524325:VIG524332 VSB524325:VSC524332 WBX524325:WBY524332 WLT524325:WLU524332 WVP524325:WVQ524332 H589861:I589868 JD589861:JE589868 SZ589861:TA589868 ACV589861:ACW589868 AMR589861:AMS589868 AWN589861:AWO589868 BGJ589861:BGK589868 BQF589861:BQG589868 CAB589861:CAC589868 CJX589861:CJY589868 CTT589861:CTU589868 DDP589861:DDQ589868 DNL589861:DNM589868 DXH589861:DXI589868 EHD589861:EHE589868 EQZ589861:ERA589868 FAV589861:FAW589868 FKR589861:FKS589868 FUN589861:FUO589868 GEJ589861:GEK589868 GOF589861:GOG589868 GYB589861:GYC589868 HHX589861:HHY589868 HRT589861:HRU589868 IBP589861:IBQ589868 ILL589861:ILM589868 IVH589861:IVI589868 JFD589861:JFE589868 JOZ589861:JPA589868 JYV589861:JYW589868 KIR589861:KIS589868 KSN589861:KSO589868 LCJ589861:LCK589868 LMF589861:LMG589868 LWB589861:LWC589868 MFX589861:MFY589868 MPT589861:MPU589868 MZP589861:MZQ589868 NJL589861:NJM589868 NTH589861:NTI589868 ODD589861:ODE589868 OMZ589861:ONA589868 OWV589861:OWW589868 PGR589861:PGS589868 PQN589861:PQO589868 QAJ589861:QAK589868 QKF589861:QKG589868 QUB589861:QUC589868 RDX589861:RDY589868 RNT589861:RNU589868 RXP589861:RXQ589868 SHL589861:SHM589868 SRH589861:SRI589868 TBD589861:TBE589868 TKZ589861:TLA589868 TUV589861:TUW589868 UER589861:UES589868 UON589861:UOO589868 UYJ589861:UYK589868 VIF589861:VIG589868 VSB589861:VSC589868 WBX589861:WBY589868 WLT589861:WLU589868 WVP589861:WVQ589868 H655397:I655404 JD655397:JE655404 SZ655397:TA655404 ACV655397:ACW655404 AMR655397:AMS655404 AWN655397:AWO655404 BGJ655397:BGK655404 BQF655397:BQG655404 CAB655397:CAC655404 CJX655397:CJY655404 CTT655397:CTU655404 DDP655397:DDQ655404 DNL655397:DNM655404 DXH655397:DXI655404 EHD655397:EHE655404 EQZ655397:ERA655404 FAV655397:FAW655404 FKR655397:FKS655404 FUN655397:FUO655404 GEJ655397:GEK655404 GOF655397:GOG655404 GYB655397:GYC655404 HHX655397:HHY655404 HRT655397:HRU655404 IBP655397:IBQ655404 ILL655397:ILM655404 IVH655397:IVI655404 JFD655397:JFE655404 JOZ655397:JPA655404 JYV655397:JYW655404 KIR655397:KIS655404 KSN655397:KSO655404 LCJ655397:LCK655404 LMF655397:LMG655404 LWB655397:LWC655404 MFX655397:MFY655404 MPT655397:MPU655404 MZP655397:MZQ655404 NJL655397:NJM655404 NTH655397:NTI655404 ODD655397:ODE655404 OMZ655397:ONA655404 OWV655397:OWW655404 PGR655397:PGS655404 PQN655397:PQO655404 QAJ655397:QAK655404 QKF655397:QKG655404 QUB655397:QUC655404 RDX655397:RDY655404 RNT655397:RNU655404 RXP655397:RXQ655404 SHL655397:SHM655404 SRH655397:SRI655404 TBD655397:TBE655404 TKZ655397:TLA655404 TUV655397:TUW655404 UER655397:UES655404 UON655397:UOO655404 UYJ655397:UYK655404 VIF655397:VIG655404 VSB655397:VSC655404 WBX655397:WBY655404 WLT655397:WLU655404 WVP655397:WVQ655404 H720933:I720940 JD720933:JE720940 SZ720933:TA720940 ACV720933:ACW720940 AMR720933:AMS720940 AWN720933:AWO720940 BGJ720933:BGK720940 BQF720933:BQG720940 CAB720933:CAC720940 CJX720933:CJY720940 CTT720933:CTU720940 DDP720933:DDQ720940 DNL720933:DNM720940 DXH720933:DXI720940 EHD720933:EHE720940 EQZ720933:ERA720940 FAV720933:FAW720940 FKR720933:FKS720940 FUN720933:FUO720940 GEJ720933:GEK720940 GOF720933:GOG720940 GYB720933:GYC720940 HHX720933:HHY720940 HRT720933:HRU720940 IBP720933:IBQ720940 ILL720933:ILM720940 IVH720933:IVI720940 JFD720933:JFE720940 JOZ720933:JPA720940 JYV720933:JYW720940 KIR720933:KIS720940 KSN720933:KSO720940 LCJ720933:LCK720940 LMF720933:LMG720940 LWB720933:LWC720940 MFX720933:MFY720940 MPT720933:MPU720940 MZP720933:MZQ720940 NJL720933:NJM720940 NTH720933:NTI720940 ODD720933:ODE720940 OMZ720933:ONA720940 OWV720933:OWW720940 PGR720933:PGS720940 PQN720933:PQO720940 QAJ720933:QAK720940 QKF720933:QKG720940 QUB720933:QUC720940 RDX720933:RDY720940 RNT720933:RNU720940 RXP720933:RXQ720940 SHL720933:SHM720940 SRH720933:SRI720940 TBD720933:TBE720940 TKZ720933:TLA720940 TUV720933:TUW720940 UER720933:UES720940 UON720933:UOO720940 UYJ720933:UYK720940 VIF720933:VIG720940 VSB720933:VSC720940 WBX720933:WBY720940 WLT720933:WLU720940 WVP720933:WVQ720940 H786469:I786476 JD786469:JE786476 SZ786469:TA786476 ACV786469:ACW786476 AMR786469:AMS786476 AWN786469:AWO786476 BGJ786469:BGK786476 BQF786469:BQG786476 CAB786469:CAC786476 CJX786469:CJY786476 CTT786469:CTU786476 DDP786469:DDQ786476 DNL786469:DNM786476 DXH786469:DXI786476 EHD786469:EHE786476 EQZ786469:ERA786476 FAV786469:FAW786476 FKR786469:FKS786476 FUN786469:FUO786476 GEJ786469:GEK786476 GOF786469:GOG786476 GYB786469:GYC786476 HHX786469:HHY786476 HRT786469:HRU786476 IBP786469:IBQ786476 ILL786469:ILM786476 IVH786469:IVI786476 JFD786469:JFE786476 JOZ786469:JPA786476 JYV786469:JYW786476 KIR786469:KIS786476 KSN786469:KSO786476 LCJ786469:LCK786476 LMF786469:LMG786476 LWB786469:LWC786476 MFX786469:MFY786476 MPT786469:MPU786476 MZP786469:MZQ786476 NJL786469:NJM786476 NTH786469:NTI786476 ODD786469:ODE786476 OMZ786469:ONA786476 OWV786469:OWW786476 PGR786469:PGS786476 PQN786469:PQO786476 QAJ786469:QAK786476 QKF786469:QKG786476 QUB786469:QUC786476 RDX786469:RDY786476 RNT786469:RNU786476 RXP786469:RXQ786476 SHL786469:SHM786476 SRH786469:SRI786476 TBD786469:TBE786476 TKZ786469:TLA786476 TUV786469:TUW786476 UER786469:UES786476 UON786469:UOO786476 UYJ786469:UYK786476 VIF786469:VIG786476 VSB786469:VSC786476 WBX786469:WBY786476 WLT786469:WLU786476 WVP786469:WVQ786476 H852005:I852012 JD852005:JE852012 SZ852005:TA852012 ACV852005:ACW852012 AMR852005:AMS852012 AWN852005:AWO852012 BGJ852005:BGK852012 BQF852005:BQG852012 CAB852005:CAC852012 CJX852005:CJY852012 CTT852005:CTU852012 DDP852005:DDQ852012 DNL852005:DNM852012 DXH852005:DXI852012 EHD852005:EHE852012 EQZ852005:ERA852012 FAV852005:FAW852012 FKR852005:FKS852012 FUN852005:FUO852012 GEJ852005:GEK852012 GOF852005:GOG852012 GYB852005:GYC852012 HHX852005:HHY852012 HRT852005:HRU852012 IBP852005:IBQ852012 ILL852005:ILM852012 IVH852005:IVI852012 JFD852005:JFE852012 JOZ852005:JPA852012 JYV852005:JYW852012 KIR852005:KIS852012 KSN852005:KSO852012 LCJ852005:LCK852012 LMF852005:LMG852012 LWB852005:LWC852012 MFX852005:MFY852012 MPT852005:MPU852012 MZP852005:MZQ852012 NJL852005:NJM852012 NTH852005:NTI852012 ODD852005:ODE852012 OMZ852005:ONA852012 OWV852005:OWW852012 PGR852005:PGS852012 PQN852005:PQO852012 QAJ852005:QAK852012 QKF852005:QKG852012 QUB852005:QUC852012 RDX852005:RDY852012 RNT852005:RNU852012 RXP852005:RXQ852012 SHL852005:SHM852012 SRH852005:SRI852012 TBD852005:TBE852012 TKZ852005:TLA852012 TUV852005:TUW852012 UER852005:UES852012 UON852005:UOO852012 UYJ852005:UYK852012 VIF852005:VIG852012 VSB852005:VSC852012 WBX852005:WBY852012 WLT852005:WLU852012 WVP852005:WVQ852012 H917541:I917548 JD917541:JE917548 SZ917541:TA917548 ACV917541:ACW917548 AMR917541:AMS917548 AWN917541:AWO917548 BGJ917541:BGK917548 BQF917541:BQG917548 CAB917541:CAC917548 CJX917541:CJY917548 CTT917541:CTU917548 DDP917541:DDQ917548 DNL917541:DNM917548 DXH917541:DXI917548 EHD917541:EHE917548 EQZ917541:ERA917548 FAV917541:FAW917548 FKR917541:FKS917548 FUN917541:FUO917548 GEJ917541:GEK917548 GOF917541:GOG917548 GYB917541:GYC917548 HHX917541:HHY917548 HRT917541:HRU917548 IBP917541:IBQ917548 ILL917541:ILM917548 IVH917541:IVI917548 JFD917541:JFE917548 JOZ917541:JPA917548 JYV917541:JYW917548 KIR917541:KIS917548 KSN917541:KSO917548 LCJ917541:LCK917548 LMF917541:LMG917548 LWB917541:LWC917548 MFX917541:MFY917548 MPT917541:MPU917548 MZP917541:MZQ917548 NJL917541:NJM917548 NTH917541:NTI917548 ODD917541:ODE917548 OMZ917541:ONA917548 OWV917541:OWW917548 PGR917541:PGS917548 PQN917541:PQO917548 QAJ917541:QAK917548 QKF917541:QKG917548 QUB917541:QUC917548 RDX917541:RDY917548 RNT917541:RNU917548 RXP917541:RXQ917548 SHL917541:SHM917548 SRH917541:SRI917548 TBD917541:TBE917548 TKZ917541:TLA917548 TUV917541:TUW917548 UER917541:UES917548 UON917541:UOO917548 UYJ917541:UYK917548 VIF917541:VIG917548 VSB917541:VSC917548 WBX917541:WBY917548 WLT917541:WLU917548 WVP917541:WVQ917548 H983077:I983084 JD983077:JE983084 SZ983077:TA983084 ACV983077:ACW983084 AMR983077:AMS983084 AWN983077:AWO983084 BGJ983077:BGK983084 BQF983077:BQG983084 CAB983077:CAC983084 CJX983077:CJY983084 CTT983077:CTU983084 DDP983077:DDQ983084 DNL983077:DNM983084 DXH983077:DXI983084 EHD983077:EHE983084 EQZ983077:ERA983084 FAV983077:FAW983084 FKR983077:FKS983084 FUN983077:FUO983084 GEJ983077:GEK983084 GOF983077:GOG983084 GYB983077:GYC983084 HHX983077:HHY983084 HRT983077:HRU983084 IBP983077:IBQ983084 ILL983077:ILM983084 IVH983077:IVI983084 JFD983077:JFE983084 JOZ983077:JPA983084 JYV983077:JYW983084 KIR983077:KIS983084 KSN983077:KSO983084 LCJ983077:LCK983084 LMF983077:LMG983084 LWB983077:LWC983084 MFX983077:MFY983084 MPT983077:MPU983084 MZP983077:MZQ983084 NJL983077:NJM983084 NTH983077:NTI983084 ODD983077:ODE983084 OMZ983077:ONA983084 OWV983077:OWW983084 PGR983077:PGS983084 PQN983077:PQO983084 QAJ983077:QAK983084 QKF983077:QKG983084 QUB983077:QUC983084 RDX983077:RDY983084 RNT983077:RNU983084 RXP983077:RXQ983084 SHL983077:SHM983084 SRH983077:SRI983084 TBD983077:TBE983084 TKZ983077:TLA983084 TUV983077:TUW983084 UER983077:UES983084 UON983077:UOO983084 UYJ983077:UYK983084 VIF983077:VIG983084 VSB983077:VSC983084 WBX983077:WBY983084 WLT983077:WLU983084 WVP983077:WVQ983084 H46:I46 JD46:JE46 SZ46:TA46 ACV46:ACW46 AMR46:AMS46 AWN46:AWO46 BGJ46:BGK46 BQF46:BQG46 CAB46:CAC46 CJX46:CJY46 CTT46:CTU46 DDP46:DDQ46 DNL46:DNM46 DXH46:DXI46 EHD46:EHE46 EQZ46:ERA46 FAV46:FAW46 FKR46:FKS46 FUN46:FUO46 GEJ46:GEK46 GOF46:GOG46 GYB46:GYC46 HHX46:HHY46 HRT46:HRU46 IBP46:IBQ46 ILL46:ILM46 IVH46:IVI46 JFD46:JFE46 JOZ46:JPA46 JYV46:JYW46 KIR46:KIS46 KSN46:KSO46 LCJ46:LCK46 LMF46:LMG46 LWB46:LWC46 MFX46:MFY46 MPT46:MPU46 MZP46:MZQ46 NJL46:NJM46 NTH46:NTI46 ODD46:ODE46 OMZ46:ONA46 OWV46:OWW46 PGR46:PGS46 PQN46:PQO46 QAJ46:QAK46 QKF46:QKG46 QUB46:QUC46 RDX46:RDY46 RNT46:RNU46 RXP46:RXQ46 SHL46:SHM46 SRH46:SRI46 TBD46:TBE46 TKZ46:TLA46 TUV46:TUW46 UER46:UES46 UON46:UOO46 UYJ46:UYK46 VIF46:VIG46 VSB46:VSC46 WBX46:WBY46 WLT46:WLU46 WVP46:WVQ46 H65582:I65582 JD65582:JE65582 SZ65582:TA65582 ACV65582:ACW65582 AMR65582:AMS65582 AWN65582:AWO65582 BGJ65582:BGK65582 BQF65582:BQG65582 CAB65582:CAC65582 CJX65582:CJY65582 CTT65582:CTU65582 DDP65582:DDQ65582 DNL65582:DNM65582 DXH65582:DXI65582 EHD65582:EHE65582 EQZ65582:ERA65582 FAV65582:FAW65582 FKR65582:FKS65582 FUN65582:FUO65582 GEJ65582:GEK65582 GOF65582:GOG65582 GYB65582:GYC65582 HHX65582:HHY65582 HRT65582:HRU65582 IBP65582:IBQ65582 ILL65582:ILM65582 IVH65582:IVI65582 JFD65582:JFE65582 JOZ65582:JPA65582 JYV65582:JYW65582 KIR65582:KIS65582 KSN65582:KSO65582 LCJ65582:LCK65582 LMF65582:LMG65582 LWB65582:LWC65582 MFX65582:MFY65582 MPT65582:MPU65582 MZP65582:MZQ65582 NJL65582:NJM65582 NTH65582:NTI65582 ODD65582:ODE65582 OMZ65582:ONA65582 OWV65582:OWW65582 PGR65582:PGS65582 PQN65582:PQO65582 QAJ65582:QAK65582 QKF65582:QKG65582 QUB65582:QUC65582 RDX65582:RDY65582 RNT65582:RNU65582 RXP65582:RXQ65582 SHL65582:SHM65582 SRH65582:SRI65582 TBD65582:TBE65582 TKZ65582:TLA65582 TUV65582:TUW65582 UER65582:UES65582 UON65582:UOO65582 UYJ65582:UYK65582 VIF65582:VIG65582 VSB65582:VSC65582 WBX65582:WBY65582 WLT65582:WLU65582 WVP65582:WVQ65582 H131118:I131118 JD131118:JE131118 SZ131118:TA131118 ACV131118:ACW131118 AMR131118:AMS131118 AWN131118:AWO131118 BGJ131118:BGK131118 BQF131118:BQG131118 CAB131118:CAC131118 CJX131118:CJY131118 CTT131118:CTU131118 DDP131118:DDQ131118 DNL131118:DNM131118 DXH131118:DXI131118 EHD131118:EHE131118 EQZ131118:ERA131118 FAV131118:FAW131118 FKR131118:FKS131118 FUN131118:FUO131118 GEJ131118:GEK131118 GOF131118:GOG131118 GYB131118:GYC131118 HHX131118:HHY131118 HRT131118:HRU131118 IBP131118:IBQ131118 ILL131118:ILM131118 IVH131118:IVI131118 JFD131118:JFE131118 JOZ131118:JPA131118 JYV131118:JYW131118 KIR131118:KIS131118 KSN131118:KSO131118 LCJ131118:LCK131118 LMF131118:LMG131118 LWB131118:LWC131118 MFX131118:MFY131118 MPT131118:MPU131118 MZP131118:MZQ131118 NJL131118:NJM131118 NTH131118:NTI131118 ODD131118:ODE131118 OMZ131118:ONA131118 OWV131118:OWW131118 PGR131118:PGS131118 PQN131118:PQO131118 QAJ131118:QAK131118 QKF131118:QKG131118 QUB131118:QUC131118 RDX131118:RDY131118 RNT131118:RNU131118 RXP131118:RXQ131118 SHL131118:SHM131118 SRH131118:SRI131118 TBD131118:TBE131118 TKZ131118:TLA131118 TUV131118:TUW131118 UER131118:UES131118 UON131118:UOO131118 UYJ131118:UYK131118 VIF131118:VIG131118 VSB131118:VSC131118 WBX131118:WBY131118 WLT131118:WLU131118 WVP131118:WVQ131118 H196654:I196654 JD196654:JE196654 SZ196654:TA196654 ACV196654:ACW196654 AMR196654:AMS196654 AWN196654:AWO196654 BGJ196654:BGK196654 BQF196654:BQG196654 CAB196654:CAC196654 CJX196654:CJY196654 CTT196654:CTU196654 DDP196654:DDQ196654 DNL196654:DNM196654 DXH196654:DXI196654 EHD196654:EHE196654 EQZ196654:ERA196654 FAV196654:FAW196654 FKR196654:FKS196654 FUN196654:FUO196654 GEJ196654:GEK196654 GOF196654:GOG196654 GYB196654:GYC196654 HHX196654:HHY196654 HRT196654:HRU196654 IBP196654:IBQ196654 ILL196654:ILM196654 IVH196654:IVI196654 JFD196654:JFE196654 JOZ196654:JPA196654 JYV196654:JYW196654 KIR196654:KIS196654 KSN196654:KSO196654 LCJ196654:LCK196654 LMF196654:LMG196654 LWB196654:LWC196654 MFX196654:MFY196654 MPT196654:MPU196654 MZP196654:MZQ196654 NJL196654:NJM196654 NTH196654:NTI196654 ODD196654:ODE196654 OMZ196654:ONA196654 OWV196654:OWW196654 PGR196654:PGS196654 PQN196654:PQO196654 QAJ196654:QAK196654 QKF196654:QKG196654 QUB196654:QUC196654 RDX196654:RDY196654 RNT196654:RNU196654 RXP196654:RXQ196654 SHL196654:SHM196654 SRH196654:SRI196654 TBD196654:TBE196654 TKZ196654:TLA196654 TUV196654:TUW196654 UER196654:UES196654 UON196654:UOO196654 UYJ196654:UYK196654 VIF196654:VIG196654 VSB196654:VSC196654 WBX196654:WBY196654 WLT196654:WLU196654 WVP196654:WVQ196654 H262190:I262190 JD262190:JE262190 SZ262190:TA262190 ACV262190:ACW262190 AMR262190:AMS262190 AWN262190:AWO262190 BGJ262190:BGK262190 BQF262190:BQG262190 CAB262190:CAC262190 CJX262190:CJY262190 CTT262190:CTU262190 DDP262190:DDQ262190 DNL262190:DNM262190 DXH262190:DXI262190 EHD262190:EHE262190 EQZ262190:ERA262190 FAV262190:FAW262190 FKR262190:FKS262190 FUN262190:FUO262190 GEJ262190:GEK262190 GOF262190:GOG262190 GYB262190:GYC262190 HHX262190:HHY262190 HRT262190:HRU262190 IBP262190:IBQ262190 ILL262190:ILM262190 IVH262190:IVI262190 JFD262190:JFE262190 JOZ262190:JPA262190 JYV262190:JYW262190 KIR262190:KIS262190 KSN262190:KSO262190 LCJ262190:LCK262190 LMF262190:LMG262190 LWB262190:LWC262190 MFX262190:MFY262190 MPT262190:MPU262190 MZP262190:MZQ262190 NJL262190:NJM262190 NTH262190:NTI262190 ODD262190:ODE262190 OMZ262190:ONA262190 OWV262190:OWW262190 PGR262190:PGS262190 PQN262190:PQO262190 QAJ262190:QAK262190 QKF262190:QKG262190 QUB262190:QUC262190 RDX262190:RDY262190 RNT262190:RNU262190 RXP262190:RXQ262190 SHL262190:SHM262190 SRH262190:SRI262190 TBD262190:TBE262190 TKZ262190:TLA262190 TUV262190:TUW262190 UER262190:UES262190 UON262190:UOO262190 UYJ262190:UYK262190 VIF262190:VIG262190 VSB262190:VSC262190 WBX262190:WBY262190 WLT262190:WLU262190 WVP262190:WVQ262190 H327726:I327726 JD327726:JE327726 SZ327726:TA327726 ACV327726:ACW327726 AMR327726:AMS327726 AWN327726:AWO327726 BGJ327726:BGK327726 BQF327726:BQG327726 CAB327726:CAC327726 CJX327726:CJY327726 CTT327726:CTU327726 DDP327726:DDQ327726 DNL327726:DNM327726 DXH327726:DXI327726 EHD327726:EHE327726 EQZ327726:ERA327726 FAV327726:FAW327726 FKR327726:FKS327726 FUN327726:FUO327726 GEJ327726:GEK327726 GOF327726:GOG327726 GYB327726:GYC327726 HHX327726:HHY327726 HRT327726:HRU327726 IBP327726:IBQ327726 ILL327726:ILM327726 IVH327726:IVI327726 JFD327726:JFE327726 JOZ327726:JPA327726 JYV327726:JYW327726 KIR327726:KIS327726 KSN327726:KSO327726 LCJ327726:LCK327726 LMF327726:LMG327726 LWB327726:LWC327726 MFX327726:MFY327726 MPT327726:MPU327726 MZP327726:MZQ327726 NJL327726:NJM327726 NTH327726:NTI327726 ODD327726:ODE327726 OMZ327726:ONA327726 OWV327726:OWW327726 PGR327726:PGS327726 PQN327726:PQO327726 QAJ327726:QAK327726 QKF327726:QKG327726 QUB327726:QUC327726 RDX327726:RDY327726 RNT327726:RNU327726 RXP327726:RXQ327726 SHL327726:SHM327726 SRH327726:SRI327726 TBD327726:TBE327726 TKZ327726:TLA327726 TUV327726:TUW327726 UER327726:UES327726 UON327726:UOO327726 UYJ327726:UYK327726 VIF327726:VIG327726 VSB327726:VSC327726 WBX327726:WBY327726 WLT327726:WLU327726 WVP327726:WVQ327726 H393262:I393262 JD393262:JE393262 SZ393262:TA393262 ACV393262:ACW393262 AMR393262:AMS393262 AWN393262:AWO393262 BGJ393262:BGK393262 BQF393262:BQG393262 CAB393262:CAC393262 CJX393262:CJY393262 CTT393262:CTU393262 DDP393262:DDQ393262 DNL393262:DNM393262 DXH393262:DXI393262 EHD393262:EHE393262 EQZ393262:ERA393262 FAV393262:FAW393262 FKR393262:FKS393262 FUN393262:FUO393262 GEJ393262:GEK393262 GOF393262:GOG393262 GYB393262:GYC393262 HHX393262:HHY393262 HRT393262:HRU393262 IBP393262:IBQ393262 ILL393262:ILM393262 IVH393262:IVI393262 JFD393262:JFE393262 JOZ393262:JPA393262 JYV393262:JYW393262 KIR393262:KIS393262 KSN393262:KSO393262 LCJ393262:LCK393262 LMF393262:LMG393262 LWB393262:LWC393262 MFX393262:MFY393262 MPT393262:MPU393262 MZP393262:MZQ393262 NJL393262:NJM393262 NTH393262:NTI393262 ODD393262:ODE393262 OMZ393262:ONA393262 OWV393262:OWW393262 PGR393262:PGS393262 PQN393262:PQO393262 QAJ393262:QAK393262 QKF393262:QKG393262 QUB393262:QUC393262 RDX393262:RDY393262 RNT393262:RNU393262 RXP393262:RXQ393262 SHL393262:SHM393262 SRH393262:SRI393262 TBD393262:TBE393262 TKZ393262:TLA393262 TUV393262:TUW393262 UER393262:UES393262 UON393262:UOO393262 UYJ393262:UYK393262 VIF393262:VIG393262 VSB393262:VSC393262 WBX393262:WBY393262 WLT393262:WLU393262 WVP393262:WVQ393262 H458798:I458798 JD458798:JE458798 SZ458798:TA458798 ACV458798:ACW458798 AMR458798:AMS458798 AWN458798:AWO458798 BGJ458798:BGK458798 BQF458798:BQG458798 CAB458798:CAC458798 CJX458798:CJY458798 CTT458798:CTU458798 DDP458798:DDQ458798 DNL458798:DNM458798 DXH458798:DXI458798 EHD458798:EHE458798 EQZ458798:ERA458798 FAV458798:FAW458798 FKR458798:FKS458798 FUN458798:FUO458798 GEJ458798:GEK458798 GOF458798:GOG458798 GYB458798:GYC458798 HHX458798:HHY458798 HRT458798:HRU458798 IBP458798:IBQ458798 ILL458798:ILM458798 IVH458798:IVI458798 JFD458798:JFE458798 JOZ458798:JPA458798 JYV458798:JYW458798 KIR458798:KIS458798 KSN458798:KSO458798 LCJ458798:LCK458798 LMF458798:LMG458798 LWB458798:LWC458798 MFX458798:MFY458798 MPT458798:MPU458798 MZP458798:MZQ458798 NJL458798:NJM458798 NTH458798:NTI458798 ODD458798:ODE458798 OMZ458798:ONA458798 OWV458798:OWW458798 PGR458798:PGS458798 PQN458798:PQO458798 QAJ458798:QAK458798 QKF458798:QKG458798 QUB458798:QUC458798 RDX458798:RDY458798 RNT458798:RNU458798 RXP458798:RXQ458798 SHL458798:SHM458798 SRH458798:SRI458798 TBD458798:TBE458798 TKZ458798:TLA458798 TUV458798:TUW458798 UER458798:UES458798 UON458798:UOO458798 UYJ458798:UYK458798 VIF458798:VIG458798 VSB458798:VSC458798 WBX458798:WBY458798 WLT458798:WLU458798 WVP458798:WVQ458798 H524334:I524334 JD524334:JE524334 SZ524334:TA524334 ACV524334:ACW524334 AMR524334:AMS524334 AWN524334:AWO524334 BGJ524334:BGK524334 BQF524334:BQG524334 CAB524334:CAC524334 CJX524334:CJY524334 CTT524334:CTU524334 DDP524334:DDQ524334 DNL524334:DNM524334 DXH524334:DXI524334 EHD524334:EHE524334 EQZ524334:ERA524334 FAV524334:FAW524334 FKR524334:FKS524334 FUN524334:FUO524334 GEJ524334:GEK524334 GOF524334:GOG524334 GYB524334:GYC524334 HHX524334:HHY524334 HRT524334:HRU524334 IBP524334:IBQ524334 ILL524334:ILM524334 IVH524334:IVI524334 JFD524334:JFE524334 JOZ524334:JPA524334 JYV524334:JYW524334 KIR524334:KIS524334 KSN524334:KSO524334 LCJ524334:LCK524334 LMF524334:LMG524334 LWB524334:LWC524334 MFX524334:MFY524334 MPT524334:MPU524334 MZP524334:MZQ524334 NJL524334:NJM524334 NTH524334:NTI524334 ODD524334:ODE524334 OMZ524334:ONA524334 OWV524334:OWW524334 PGR524334:PGS524334 PQN524334:PQO524334 QAJ524334:QAK524334 QKF524334:QKG524334 QUB524334:QUC524334 RDX524334:RDY524334 RNT524334:RNU524334 RXP524334:RXQ524334 SHL524334:SHM524334 SRH524334:SRI524334 TBD524334:TBE524334 TKZ524334:TLA524334 TUV524334:TUW524334 UER524334:UES524334 UON524334:UOO524334 UYJ524334:UYK524334 VIF524334:VIG524334 VSB524334:VSC524334 WBX524334:WBY524334 WLT524334:WLU524334 WVP524334:WVQ524334 H589870:I589870 JD589870:JE589870 SZ589870:TA589870 ACV589870:ACW589870 AMR589870:AMS589870 AWN589870:AWO589870 BGJ589870:BGK589870 BQF589870:BQG589870 CAB589870:CAC589870 CJX589870:CJY589870 CTT589870:CTU589870 DDP589870:DDQ589870 DNL589870:DNM589870 DXH589870:DXI589870 EHD589870:EHE589870 EQZ589870:ERA589870 FAV589870:FAW589870 FKR589870:FKS589870 FUN589870:FUO589870 GEJ589870:GEK589870 GOF589870:GOG589870 GYB589870:GYC589870 HHX589870:HHY589870 HRT589870:HRU589870 IBP589870:IBQ589870 ILL589870:ILM589870 IVH589870:IVI589870 JFD589870:JFE589870 JOZ589870:JPA589870 JYV589870:JYW589870 KIR589870:KIS589870 KSN589870:KSO589870 LCJ589870:LCK589870 LMF589870:LMG589870 LWB589870:LWC589870 MFX589870:MFY589870 MPT589870:MPU589870 MZP589870:MZQ589870 NJL589870:NJM589870 NTH589870:NTI589870 ODD589870:ODE589870 OMZ589870:ONA589870 OWV589870:OWW589870 PGR589870:PGS589870 PQN589870:PQO589870 QAJ589870:QAK589870 QKF589870:QKG589870 QUB589870:QUC589870 RDX589870:RDY589870 RNT589870:RNU589870 RXP589870:RXQ589870 SHL589870:SHM589870 SRH589870:SRI589870 TBD589870:TBE589870 TKZ589870:TLA589870 TUV589870:TUW589870 UER589870:UES589870 UON589870:UOO589870 UYJ589870:UYK589870 VIF589870:VIG589870 VSB589870:VSC589870 WBX589870:WBY589870 WLT589870:WLU589870 WVP589870:WVQ589870 H655406:I655406 JD655406:JE655406 SZ655406:TA655406 ACV655406:ACW655406 AMR655406:AMS655406 AWN655406:AWO655406 BGJ655406:BGK655406 BQF655406:BQG655406 CAB655406:CAC655406 CJX655406:CJY655406 CTT655406:CTU655406 DDP655406:DDQ655406 DNL655406:DNM655406 DXH655406:DXI655406 EHD655406:EHE655406 EQZ655406:ERA655406 FAV655406:FAW655406 FKR655406:FKS655406 FUN655406:FUO655406 GEJ655406:GEK655406 GOF655406:GOG655406 GYB655406:GYC655406 HHX655406:HHY655406 HRT655406:HRU655406 IBP655406:IBQ655406 ILL655406:ILM655406 IVH655406:IVI655406 JFD655406:JFE655406 JOZ655406:JPA655406 JYV655406:JYW655406 KIR655406:KIS655406 KSN655406:KSO655406 LCJ655406:LCK655406 LMF655406:LMG655406 LWB655406:LWC655406 MFX655406:MFY655406 MPT655406:MPU655406 MZP655406:MZQ655406 NJL655406:NJM655406 NTH655406:NTI655406 ODD655406:ODE655406 OMZ655406:ONA655406 OWV655406:OWW655406 PGR655406:PGS655406 PQN655406:PQO655406 QAJ655406:QAK655406 QKF655406:QKG655406 QUB655406:QUC655406 RDX655406:RDY655406 RNT655406:RNU655406 RXP655406:RXQ655406 SHL655406:SHM655406 SRH655406:SRI655406 TBD655406:TBE655406 TKZ655406:TLA655406 TUV655406:TUW655406 UER655406:UES655406 UON655406:UOO655406 UYJ655406:UYK655406 VIF655406:VIG655406 VSB655406:VSC655406 WBX655406:WBY655406 WLT655406:WLU655406 WVP655406:WVQ655406 H720942:I720942 JD720942:JE720942 SZ720942:TA720942 ACV720942:ACW720942 AMR720942:AMS720942 AWN720942:AWO720942 BGJ720942:BGK720942 BQF720942:BQG720942 CAB720942:CAC720942 CJX720942:CJY720942 CTT720942:CTU720942 DDP720942:DDQ720942 DNL720942:DNM720942 DXH720942:DXI720942 EHD720942:EHE720942 EQZ720942:ERA720942 FAV720942:FAW720942 FKR720942:FKS720942 FUN720942:FUO720942 GEJ720942:GEK720942 GOF720942:GOG720942 GYB720942:GYC720942 HHX720942:HHY720942 HRT720942:HRU720942 IBP720942:IBQ720942 ILL720942:ILM720942 IVH720942:IVI720942 JFD720942:JFE720942 JOZ720942:JPA720942 JYV720942:JYW720942 KIR720942:KIS720942 KSN720942:KSO720942 LCJ720942:LCK720942 LMF720942:LMG720942 LWB720942:LWC720942 MFX720942:MFY720942 MPT720942:MPU720942 MZP720942:MZQ720942 NJL720942:NJM720942 NTH720942:NTI720942 ODD720942:ODE720942 OMZ720942:ONA720942 OWV720942:OWW720942 PGR720942:PGS720942 PQN720942:PQO720942 QAJ720942:QAK720942 QKF720942:QKG720942 QUB720942:QUC720942 RDX720942:RDY720942 RNT720942:RNU720942 RXP720942:RXQ720942 SHL720942:SHM720942 SRH720942:SRI720942 TBD720942:TBE720942 TKZ720942:TLA720942 TUV720942:TUW720942 UER720942:UES720942 UON720942:UOO720942 UYJ720942:UYK720942 VIF720942:VIG720942 VSB720942:VSC720942 WBX720942:WBY720942 WLT720942:WLU720942 WVP720942:WVQ720942 H786478:I786478 JD786478:JE786478 SZ786478:TA786478 ACV786478:ACW786478 AMR786478:AMS786478 AWN786478:AWO786478 BGJ786478:BGK786478 BQF786478:BQG786478 CAB786478:CAC786478 CJX786478:CJY786478 CTT786478:CTU786478 DDP786478:DDQ786478 DNL786478:DNM786478 DXH786478:DXI786478 EHD786478:EHE786478 EQZ786478:ERA786478 FAV786478:FAW786478 FKR786478:FKS786478 FUN786478:FUO786478 GEJ786478:GEK786478 GOF786478:GOG786478 GYB786478:GYC786478 HHX786478:HHY786478 HRT786478:HRU786478 IBP786478:IBQ786478 ILL786478:ILM786478 IVH786478:IVI786478 JFD786478:JFE786478 JOZ786478:JPA786478 JYV786478:JYW786478 KIR786478:KIS786478 KSN786478:KSO786478 LCJ786478:LCK786478 LMF786478:LMG786478 LWB786478:LWC786478 MFX786478:MFY786478 MPT786478:MPU786478 MZP786478:MZQ786478 NJL786478:NJM786478 NTH786478:NTI786478 ODD786478:ODE786478 OMZ786478:ONA786478 OWV786478:OWW786478 PGR786478:PGS786478 PQN786478:PQO786478 QAJ786478:QAK786478 QKF786478:QKG786478 QUB786478:QUC786478 RDX786478:RDY786478 RNT786478:RNU786478 RXP786478:RXQ786478 SHL786478:SHM786478 SRH786478:SRI786478 TBD786478:TBE786478 TKZ786478:TLA786478 TUV786478:TUW786478 UER786478:UES786478 UON786478:UOO786478 UYJ786478:UYK786478 VIF786478:VIG786478 VSB786478:VSC786478 WBX786478:WBY786478 WLT786478:WLU786478 WVP786478:WVQ786478 H852014:I852014 JD852014:JE852014 SZ852014:TA852014 ACV852014:ACW852014 AMR852014:AMS852014 AWN852014:AWO852014 BGJ852014:BGK852014 BQF852014:BQG852014 CAB852014:CAC852014 CJX852014:CJY852014 CTT852014:CTU852014 DDP852014:DDQ852014 DNL852014:DNM852014 DXH852014:DXI852014 EHD852014:EHE852014 EQZ852014:ERA852014 FAV852014:FAW852014 FKR852014:FKS852014 FUN852014:FUO852014 GEJ852014:GEK852014 GOF852014:GOG852014 GYB852014:GYC852014 HHX852014:HHY852014 HRT852014:HRU852014 IBP852014:IBQ852014 ILL852014:ILM852014 IVH852014:IVI852014 JFD852014:JFE852014 JOZ852014:JPA852014 JYV852014:JYW852014 KIR852014:KIS852014 KSN852014:KSO852014 LCJ852014:LCK852014 LMF852014:LMG852014 LWB852014:LWC852014 MFX852014:MFY852014 MPT852014:MPU852014 MZP852014:MZQ852014 NJL852014:NJM852014 NTH852014:NTI852014 ODD852014:ODE852014 OMZ852014:ONA852014 OWV852014:OWW852014 PGR852014:PGS852014 PQN852014:PQO852014 QAJ852014:QAK852014 QKF852014:QKG852014 QUB852014:QUC852014 RDX852014:RDY852014 RNT852014:RNU852014 RXP852014:RXQ852014 SHL852014:SHM852014 SRH852014:SRI852014 TBD852014:TBE852014 TKZ852014:TLA852014 TUV852014:TUW852014 UER852014:UES852014 UON852014:UOO852014 UYJ852014:UYK852014 VIF852014:VIG852014 VSB852014:VSC852014 WBX852014:WBY852014 WLT852014:WLU852014 WVP852014:WVQ852014 H917550:I917550 JD917550:JE917550 SZ917550:TA917550 ACV917550:ACW917550 AMR917550:AMS917550 AWN917550:AWO917550 BGJ917550:BGK917550 BQF917550:BQG917550 CAB917550:CAC917550 CJX917550:CJY917550 CTT917550:CTU917550 DDP917550:DDQ917550 DNL917550:DNM917550 DXH917550:DXI917550 EHD917550:EHE917550 EQZ917550:ERA917550 FAV917550:FAW917550 FKR917550:FKS917550 FUN917550:FUO917550 GEJ917550:GEK917550 GOF917550:GOG917550 GYB917550:GYC917550 HHX917550:HHY917550 HRT917550:HRU917550 IBP917550:IBQ917550 ILL917550:ILM917550 IVH917550:IVI917550 JFD917550:JFE917550 JOZ917550:JPA917550 JYV917550:JYW917550 KIR917550:KIS917550 KSN917550:KSO917550 LCJ917550:LCK917550 LMF917550:LMG917550 LWB917550:LWC917550 MFX917550:MFY917550 MPT917550:MPU917550 MZP917550:MZQ917550 NJL917550:NJM917550 NTH917550:NTI917550 ODD917550:ODE917550 OMZ917550:ONA917550 OWV917550:OWW917550 PGR917550:PGS917550 PQN917550:PQO917550 QAJ917550:QAK917550 QKF917550:QKG917550 QUB917550:QUC917550 RDX917550:RDY917550 RNT917550:RNU917550 RXP917550:RXQ917550 SHL917550:SHM917550 SRH917550:SRI917550 TBD917550:TBE917550 TKZ917550:TLA917550 TUV917550:TUW917550 UER917550:UES917550 UON917550:UOO917550 UYJ917550:UYK917550 VIF917550:VIG917550 VSB917550:VSC917550 WBX917550:WBY917550 WLT917550:WLU917550 WVP917550:WVQ917550 H983086:I983086 JD983086:JE983086 SZ983086:TA983086 ACV983086:ACW983086 AMR983086:AMS983086 AWN983086:AWO983086 BGJ983086:BGK983086 BQF983086:BQG983086 CAB983086:CAC983086 CJX983086:CJY983086 CTT983086:CTU983086 DDP983086:DDQ983086 DNL983086:DNM983086 DXH983086:DXI983086 EHD983086:EHE983086 EQZ983086:ERA983086 FAV983086:FAW983086 FKR983086:FKS983086 FUN983086:FUO983086 GEJ983086:GEK983086 GOF983086:GOG983086 GYB983086:GYC983086 HHX983086:HHY983086 HRT983086:HRU983086 IBP983086:IBQ983086 ILL983086:ILM983086 IVH983086:IVI983086 JFD983086:JFE983086 JOZ983086:JPA983086 JYV983086:JYW983086 KIR983086:KIS983086 KSN983086:KSO983086 LCJ983086:LCK983086 LMF983086:LMG983086 LWB983086:LWC983086 MFX983086:MFY983086 MPT983086:MPU983086 MZP983086:MZQ983086 NJL983086:NJM983086 NTH983086:NTI983086 ODD983086:ODE983086 OMZ983086:ONA983086 OWV983086:OWW983086 PGR983086:PGS983086 PQN983086:PQO983086 QAJ983086:QAK983086 QKF983086:QKG983086 QUB983086:QUC983086 RDX983086:RDY983086 RNT983086:RNU983086 RXP983086:RXQ983086 SHL983086:SHM983086 SRH983086:SRI983086 TBD983086:TBE983086 TKZ983086:TLA983086 TUV983086:TUW983086 UER983086:UES983086 UON983086:UOO983086 UYJ983086:UYK983086 VIF983086:VIG983086 VSB983086:VSC983086 WBX983086:WBY983086 WLT983086:WLU983086 WVP983086:WVQ983086 H48:I50 JD48:JE50 SZ48:TA50 ACV48:ACW50 AMR48:AMS50 AWN48:AWO50 BGJ48:BGK50 BQF48:BQG50 CAB48:CAC50 CJX48:CJY50 CTT48:CTU50 DDP48:DDQ50 DNL48:DNM50 DXH48:DXI50 EHD48:EHE50 EQZ48:ERA50 FAV48:FAW50 FKR48:FKS50 FUN48:FUO50 GEJ48:GEK50 GOF48:GOG50 GYB48:GYC50 HHX48:HHY50 HRT48:HRU50 IBP48:IBQ50 ILL48:ILM50 IVH48:IVI50 JFD48:JFE50 JOZ48:JPA50 JYV48:JYW50 KIR48:KIS50 KSN48:KSO50 LCJ48:LCK50 LMF48:LMG50 LWB48:LWC50 MFX48:MFY50 MPT48:MPU50 MZP48:MZQ50 NJL48:NJM50 NTH48:NTI50 ODD48:ODE50 OMZ48:ONA50 OWV48:OWW50 PGR48:PGS50 PQN48:PQO50 QAJ48:QAK50 QKF48:QKG50 QUB48:QUC50 RDX48:RDY50 RNT48:RNU50 RXP48:RXQ50 SHL48:SHM50 SRH48:SRI50 TBD48:TBE50 TKZ48:TLA50 TUV48:TUW50 UER48:UES50 UON48:UOO50 UYJ48:UYK50 VIF48:VIG50 VSB48:VSC50 WBX48:WBY50 WLT48:WLU50 WVP48:WVQ50 H65584:I65586 JD65584:JE65586 SZ65584:TA65586 ACV65584:ACW65586 AMR65584:AMS65586 AWN65584:AWO65586 BGJ65584:BGK65586 BQF65584:BQG65586 CAB65584:CAC65586 CJX65584:CJY65586 CTT65584:CTU65586 DDP65584:DDQ65586 DNL65584:DNM65586 DXH65584:DXI65586 EHD65584:EHE65586 EQZ65584:ERA65586 FAV65584:FAW65586 FKR65584:FKS65586 FUN65584:FUO65586 GEJ65584:GEK65586 GOF65584:GOG65586 GYB65584:GYC65586 HHX65584:HHY65586 HRT65584:HRU65586 IBP65584:IBQ65586 ILL65584:ILM65586 IVH65584:IVI65586 JFD65584:JFE65586 JOZ65584:JPA65586 JYV65584:JYW65586 KIR65584:KIS65586 KSN65584:KSO65586 LCJ65584:LCK65586 LMF65584:LMG65586 LWB65584:LWC65586 MFX65584:MFY65586 MPT65584:MPU65586 MZP65584:MZQ65586 NJL65584:NJM65586 NTH65584:NTI65586 ODD65584:ODE65586 OMZ65584:ONA65586 OWV65584:OWW65586 PGR65584:PGS65586 PQN65584:PQO65586 QAJ65584:QAK65586 QKF65584:QKG65586 QUB65584:QUC65586 RDX65584:RDY65586 RNT65584:RNU65586 RXP65584:RXQ65586 SHL65584:SHM65586 SRH65584:SRI65586 TBD65584:TBE65586 TKZ65584:TLA65586 TUV65584:TUW65586 UER65584:UES65586 UON65584:UOO65586 UYJ65584:UYK65586 VIF65584:VIG65586 VSB65584:VSC65586 WBX65584:WBY65586 WLT65584:WLU65586 WVP65584:WVQ65586 H131120:I131122 JD131120:JE131122 SZ131120:TA131122 ACV131120:ACW131122 AMR131120:AMS131122 AWN131120:AWO131122 BGJ131120:BGK131122 BQF131120:BQG131122 CAB131120:CAC131122 CJX131120:CJY131122 CTT131120:CTU131122 DDP131120:DDQ131122 DNL131120:DNM131122 DXH131120:DXI131122 EHD131120:EHE131122 EQZ131120:ERA131122 FAV131120:FAW131122 FKR131120:FKS131122 FUN131120:FUO131122 GEJ131120:GEK131122 GOF131120:GOG131122 GYB131120:GYC131122 HHX131120:HHY131122 HRT131120:HRU131122 IBP131120:IBQ131122 ILL131120:ILM131122 IVH131120:IVI131122 JFD131120:JFE131122 JOZ131120:JPA131122 JYV131120:JYW131122 KIR131120:KIS131122 KSN131120:KSO131122 LCJ131120:LCK131122 LMF131120:LMG131122 LWB131120:LWC131122 MFX131120:MFY131122 MPT131120:MPU131122 MZP131120:MZQ131122 NJL131120:NJM131122 NTH131120:NTI131122 ODD131120:ODE131122 OMZ131120:ONA131122 OWV131120:OWW131122 PGR131120:PGS131122 PQN131120:PQO131122 QAJ131120:QAK131122 QKF131120:QKG131122 QUB131120:QUC131122 RDX131120:RDY131122 RNT131120:RNU131122 RXP131120:RXQ131122 SHL131120:SHM131122 SRH131120:SRI131122 TBD131120:TBE131122 TKZ131120:TLA131122 TUV131120:TUW131122 UER131120:UES131122 UON131120:UOO131122 UYJ131120:UYK131122 VIF131120:VIG131122 VSB131120:VSC131122 WBX131120:WBY131122 WLT131120:WLU131122 WVP131120:WVQ131122 H196656:I196658 JD196656:JE196658 SZ196656:TA196658 ACV196656:ACW196658 AMR196656:AMS196658 AWN196656:AWO196658 BGJ196656:BGK196658 BQF196656:BQG196658 CAB196656:CAC196658 CJX196656:CJY196658 CTT196656:CTU196658 DDP196656:DDQ196658 DNL196656:DNM196658 DXH196656:DXI196658 EHD196656:EHE196658 EQZ196656:ERA196658 FAV196656:FAW196658 FKR196656:FKS196658 FUN196656:FUO196658 GEJ196656:GEK196658 GOF196656:GOG196658 GYB196656:GYC196658 HHX196656:HHY196658 HRT196656:HRU196658 IBP196656:IBQ196658 ILL196656:ILM196658 IVH196656:IVI196658 JFD196656:JFE196658 JOZ196656:JPA196658 JYV196656:JYW196658 KIR196656:KIS196658 KSN196656:KSO196658 LCJ196656:LCK196658 LMF196656:LMG196658 LWB196656:LWC196658 MFX196656:MFY196658 MPT196656:MPU196658 MZP196656:MZQ196658 NJL196656:NJM196658 NTH196656:NTI196658 ODD196656:ODE196658 OMZ196656:ONA196658 OWV196656:OWW196658 PGR196656:PGS196658 PQN196656:PQO196658 QAJ196656:QAK196658 QKF196656:QKG196658 QUB196656:QUC196658 RDX196656:RDY196658 RNT196656:RNU196658 RXP196656:RXQ196658 SHL196656:SHM196658 SRH196656:SRI196658 TBD196656:TBE196658 TKZ196656:TLA196658 TUV196656:TUW196658 UER196656:UES196658 UON196656:UOO196658 UYJ196656:UYK196658 VIF196656:VIG196658 VSB196656:VSC196658 WBX196656:WBY196658 WLT196656:WLU196658 WVP196656:WVQ196658 H262192:I262194 JD262192:JE262194 SZ262192:TA262194 ACV262192:ACW262194 AMR262192:AMS262194 AWN262192:AWO262194 BGJ262192:BGK262194 BQF262192:BQG262194 CAB262192:CAC262194 CJX262192:CJY262194 CTT262192:CTU262194 DDP262192:DDQ262194 DNL262192:DNM262194 DXH262192:DXI262194 EHD262192:EHE262194 EQZ262192:ERA262194 FAV262192:FAW262194 FKR262192:FKS262194 FUN262192:FUO262194 GEJ262192:GEK262194 GOF262192:GOG262194 GYB262192:GYC262194 HHX262192:HHY262194 HRT262192:HRU262194 IBP262192:IBQ262194 ILL262192:ILM262194 IVH262192:IVI262194 JFD262192:JFE262194 JOZ262192:JPA262194 JYV262192:JYW262194 KIR262192:KIS262194 KSN262192:KSO262194 LCJ262192:LCK262194 LMF262192:LMG262194 LWB262192:LWC262194 MFX262192:MFY262194 MPT262192:MPU262194 MZP262192:MZQ262194 NJL262192:NJM262194 NTH262192:NTI262194 ODD262192:ODE262194 OMZ262192:ONA262194 OWV262192:OWW262194 PGR262192:PGS262194 PQN262192:PQO262194 QAJ262192:QAK262194 QKF262192:QKG262194 QUB262192:QUC262194 RDX262192:RDY262194 RNT262192:RNU262194 RXP262192:RXQ262194 SHL262192:SHM262194 SRH262192:SRI262194 TBD262192:TBE262194 TKZ262192:TLA262194 TUV262192:TUW262194 UER262192:UES262194 UON262192:UOO262194 UYJ262192:UYK262194 VIF262192:VIG262194 VSB262192:VSC262194 WBX262192:WBY262194 WLT262192:WLU262194 WVP262192:WVQ262194 H327728:I327730 JD327728:JE327730 SZ327728:TA327730 ACV327728:ACW327730 AMR327728:AMS327730 AWN327728:AWO327730 BGJ327728:BGK327730 BQF327728:BQG327730 CAB327728:CAC327730 CJX327728:CJY327730 CTT327728:CTU327730 DDP327728:DDQ327730 DNL327728:DNM327730 DXH327728:DXI327730 EHD327728:EHE327730 EQZ327728:ERA327730 FAV327728:FAW327730 FKR327728:FKS327730 FUN327728:FUO327730 GEJ327728:GEK327730 GOF327728:GOG327730 GYB327728:GYC327730 HHX327728:HHY327730 HRT327728:HRU327730 IBP327728:IBQ327730 ILL327728:ILM327730 IVH327728:IVI327730 JFD327728:JFE327730 JOZ327728:JPA327730 JYV327728:JYW327730 KIR327728:KIS327730 KSN327728:KSO327730 LCJ327728:LCK327730 LMF327728:LMG327730 LWB327728:LWC327730 MFX327728:MFY327730 MPT327728:MPU327730 MZP327728:MZQ327730 NJL327728:NJM327730 NTH327728:NTI327730 ODD327728:ODE327730 OMZ327728:ONA327730 OWV327728:OWW327730 PGR327728:PGS327730 PQN327728:PQO327730 QAJ327728:QAK327730 QKF327728:QKG327730 QUB327728:QUC327730 RDX327728:RDY327730 RNT327728:RNU327730 RXP327728:RXQ327730 SHL327728:SHM327730 SRH327728:SRI327730 TBD327728:TBE327730 TKZ327728:TLA327730 TUV327728:TUW327730 UER327728:UES327730 UON327728:UOO327730 UYJ327728:UYK327730 VIF327728:VIG327730 VSB327728:VSC327730 WBX327728:WBY327730 WLT327728:WLU327730 WVP327728:WVQ327730 H393264:I393266 JD393264:JE393266 SZ393264:TA393266 ACV393264:ACW393266 AMR393264:AMS393266 AWN393264:AWO393266 BGJ393264:BGK393266 BQF393264:BQG393266 CAB393264:CAC393266 CJX393264:CJY393266 CTT393264:CTU393266 DDP393264:DDQ393266 DNL393264:DNM393266 DXH393264:DXI393266 EHD393264:EHE393266 EQZ393264:ERA393266 FAV393264:FAW393266 FKR393264:FKS393266 FUN393264:FUO393266 GEJ393264:GEK393266 GOF393264:GOG393266 GYB393264:GYC393266 HHX393264:HHY393266 HRT393264:HRU393266 IBP393264:IBQ393266 ILL393264:ILM393266 IVH393264:IVI393266 JFD393264:JFE393266 JOZ393264:JPA393266 JYV393264:JYW393266 KIR393264:KIS393266 KSN393264:KSO393266 LCJ393264:LCK393266 LMF393264:LMG393266 LWB393264:LWC393266 MFX393264:MFY393266 MPT393264:MPU393266 MZP393264:MZQ393266 NJL393264:NJM393266 NTH393264:NTI393266 ODD393264:ODE393266 OMZ393264:ONA393266 OWV393264:OWW393266 PGR393264:PGS393266 PQN393264:PQO393266 QAJ393264:QAK393266 QKF393264:QKG393266 QUB393264:QUC393266 RDX393264:RDY393266 RNT393264:RNU393266 RXP393264:RXQ393266 SHL393264:SHM393266 SRH393264:SRI393266 TBD393264:TBE393266 TKZ393264:TLA393266 TUV393264:TUW393266 UER393264:UES393266 UON393264:UOO393266 UYJ393264:UYK393266 VIF393264:VIG393266 VSB393264:VSC393266 WBX393264:WBY393266 WLT393264:WLU393266 WVP393264:WVQ393266 H458800:I458802 JD458800:JE458802 SZ458800:TA458802 ACV458800:ACW458802 AMR458800:AMS458802 AWN458800:AWO458802 BGJ458800:BGK458802 BQF458800:BQG458802 CAB458800:CAC458802 CJX458800:CJY458802 CTT458800:CTU458802 DDP458800:DDQ458802 DNL458800:DNM458802 DXH458800:DXI458802 EHD458800:EHE458802 EQZ458800:ERA458802 FAV458800:FAW458802 FKR458800:FKS458802 FUN458800:FUO458802 GEJ458800:GEK458802 GOF458800:GOG458802 GYB458800:GYC458802 HHX458800:HHY458802 HRT458800:HRU458802 IBP458800:IBQ458802 ILL458800:ILM458802 IVH458800:IVI458802 JFD458800:JFE458802 JOZ458800:JPA458802 JYV458800:JYW458802 KIR458800:KIS458802 KSN458800:KSO458802 LCJ458800:LCK458802 LMF458800:LMG458802 LWB458800:LWC458802 MFX458800:MFY458802 MPT458800:MPU458802 MZP458800:MZQ458802 NJL458800:NJM458802 NTH458800:NTI458802 ODD458800:ODE458802 OMZ458800:ONA458802 OWV458800:OWW458802 PGR458800:PGS458802 PQN458800:PQO458802 QAJ458800:QAK458802 QKF458800:QKG458802 QUB458800:QUC458802 RDX458800:RDY458802 RNT458800:RNU458802 RXP458800:RXQ458802 SHL458800:SHM458802 SRH458800:SRI458802 TBD458800:TBE458802 TKZ458800:TLA458802 TUV458800:TUW458802 UER458800:UES458802 UON458800:UOO458802 UYJ458800:UYK458802 VIF458800:VIG458802 VSB458800:VSC458802 WBX458800:WBY458802 WLT458800:WLU458802 WVP458800:WVQ458802 H524336:I524338 JD524336:JE524338 SZ524336:TA524338 ACV524336:ACW524338 AMR524336:AMS524338 AWN524336:AWO524338 BGJ524336:BGK524338 BQF524336:BQG524338 CAB524336:CAC524338 CJX524336:CJY524338 CTT524336:CTU524338 DDP524336:DDQ524338 DNL524336:DNM524338 DXH524336:DXI524338 EHD524336:EHE524338 EQZ524336:ERA524338 FAV524336:FAW524338 FKR524336:FKS524338 FUN524336:FUO524338 GEJ524336:GEK524338 GOF524336:GOG524338 GYB524336:GYC524338 HHX524336:HHY524338 HRT524336:HRU524338 IBP524336:IBQ524338 ILL524336:ILM524338 IVH524336:IVI524338 JFD524336:JFE524338 JOZ524336:JPA524338 JYV524336:JYW524338 KIR524336:KIS524338 KSN524336:KSO524338 LCJ524336:LCK524338 LMF524336:LMG524338 LWB524336:LWC524338 MFX524336:MFY524338 MPT524336:MPU524338 MZP524336:MZQ524338 NJL524336:NJM524338 NTH524336:NTI524338 ODD524336:ODE524338 OMZ524336:ONA524338 OWV524336:OWW524338 PGR524336:PGS524338 PQN524336:PQO524338 QAJ524336:QAK524338 QKF524336:QKG524338 QUB524336:QUC524338 RDX524336:RDY524338 RNT524336:RNU524338 RXP524336:RXQ524338 SHL524336:SHM524338 SRH524336:SRI524338 TBD524336:TBE524338 TKZ524336:TLA524338 TUV524336:TUW524338 UER524336:UES524338 UON524336:UOO524338 UYJ524336:UYK524338 VIF524336:VIG524338 VSB524336:VSC524338 WBX524336:WBY524338 WLT524336:WLU524338 WVP524336:WVQ524338 H589872:I589874 JD589872:JE589874 SZ589872:TA589874 ACV589872:ACW589874 AMR589872:AMS589874 AWN589872:AWO589874 BGJ589872:BGK589874 BQF589872:BQG589874 CAB589872:CAC589874 CJX589872:CJY589874 CTT589872:CTU589874 DDP589872:DDQ589874 DNL589872:DNM589874 DXH589872:DXI589874 EHD589872:EHE589874 EQZ589872:ERA589874 FAV589872:FAW589874 FKR589872:FKS589874 FUN589872:FUO589874 GEJ589872:GEK589874 GOF589872:GOG589874 GYB589872:GYC589874 HHX589872:HHY589874 HRT589872:HRU589874 IBP589872:IBQ589874 ILL589872:ILM589874 IVH589872:IVI589874 JFD589872:JFE589874 JOZ589872:JPA589874 JYV589872:JYW589874 KIR589872:KIS589874 KSN589872:KSO589874 LCJ589872:LCK589874 LMF589872:LMG589874 LWB589872:LWC589874 MFX589872:MFY589874 MPT589872:MPU589874 MZP589872:MZQ589874 NJL589872:NJM589874 NTH589872:NTI589874 ODD589872:ODE589874 OMZ589872:ONA589874 OWV589872:OWW589874 PGR589872:PGS589874 PQN589872:PQO589874 QAJ589872:QAK589874 QKF589872:QKG589874 QUB589872:QUC589874 RDX589872:RDY589874 RNT589872:RNU589874 RXP589872:RXQ589874 SHL589872:SHM589874 SRH589872:SRI589874 TBD589872:TBE589874 TKZ589872:TLA589874 TUV589872:TUW589874 UER589872:UES589874 UON589872:UOO589874 UYJ589872:UYK589874 VIF589872:VIG589874 VSB589872:VSC589874 WBX589872:WBY589874 WLT589872:WLU589874 WVP589872:WVQ589874 H655408:I655410 JD655408:JE655410 SZ655408:TA655410 ACV655408:ACW655410 AMR655408:AMS655410 AWN655408:AWO655410 BGJ655408:BGK655410 BQF655408:BQG655410 CAB655408:CAC655410 CJX655408:CJY655410 CTT655408:CTU655410 DDP655408:DDQ655410 DNL655408:DNM655410 DXH655408:DXI655410 EHD655408:EHE655410 EQZ655408:ERA655410 FAV655408:FAW655410 FKR655408:FKS655410 FUN655408:FUO655410 GEJ655408:GEK655410 GOF655408:GOG655410 GYB655408:GYC655410 HHX655408:HHY655410 HRT655408:HRU655410 IBP655408:IBQ655410 ILL655408:ILM655410 IVH655408:IVI655410 JFD655408:JFE655410 JOZ655408:JPA655410 JYV655408:JYW655410 KIR655408:KIS655410 KSN655408:KSO655410 LCJ655408:LCK655410 LMF655408:LMG655410 LWB655408:LWC655410 MFX655408:MFY655410 MPT655408:MPU655410 MZP655408:MZQ655410 NJL655408:NJM655410 NTH655408:NTI655410 ODD655408:ODE655410 OMZ655408:ONA655410 OWV655408:OWW655410 PGR655408:PGS655410 PQN655408:PQO655410 QAJ655408:QAK655410 QKF655408:QKG655410 QUB655408:QUC655410 RDX655408:RDY655410 RNT655408:RNU655410 RXP655408:RXQ655410 SHL655408:SHM655410 SRH655408:SRI655410 TBD655408:TBE655410 TKZ655408:TLA655410 TUV655408:TUW655410 UER655408:UES655410 UON655408:UOO655410 UYJ655408:UYK655410 VIF655408:VIG655410 VSB655408:VSC655410 WBX655408:WBY655410 WLT655408:WLU655410 WVP655408:WVQ655410 H720944:I720946 JD720944:JE720946 SZ720944:TA720946 ACV720944:ACW720946 AMR720944:AMS720946 AWN720944:AWO720946 BGJ720944:BGK720946 BQF720944:BQG720946 CAB720944:CAC720946 CJX720944:CJY720946 CTT720944:CTU720946 DDP720944:DDQ720946 DNL720944:DNM720946 DXH720944:DXI720946 EHD720944:EHE720946 EQZ720944:ERA720946 FAV720944:FAW720946 FKR720944:FKS720946 FUN720944:FUO720946 GEJ720944:GEK720946 GOF720944:GOG720946 GYB720944:GYC720946 HHX720944:HHY720946 HRT720944:HRU720946 IBP720944:IBQ720946 ILL720944:ILM720946 IVH720944:IVI720946 JFD720944:JFE720946 JOZ720944:JPA720946 JYV720944:JYW720946 KIR720944:KIS720946 KSN720944:KSO720946 LCJ720944:LCK720946 LMF720944:LMG720946 LWB720944:LWC720946 MFX720944:MFY720946 MPT720944:MPU720946 MZP720944:MZQ720946 NJL720944:NJM720946 NTH720944:NTI720946 ODD720944:ODE720946 OMZ720944:ONA720946 OWV720944:OWW720946 PGR720944:PGS720946 PQN720944:PQO720946 QAJ720944:QAK720946 QKF720944:QKG720946 QUB720944:QUC720946 RDX720944:RDY720946 RNT720944:RNU720946 RXP720944:RXQ720946 SHL720944:SHM720946 SRH720944:SRI720946 TBD720944:TBE720946 TKZ720944:TLA720946 TUV720944:TUW720946 UER720944:UES720946 UON720944:UOO720946 UYJ720944:UYK720946 VIF720944:VIG720946 VSB720944:VSC720946 WBX720944:WBY720946 WLT720944:WLU720946 WVP720944:WVQ720946 H786480:I786482 JD786480:JE786482 SZ786480:TA786482 ACV786480:ACW786482 AMR786480:AMS786482 AWN786480:AWO786482 BGJ786480:BGK786482 BQF786480:BQG786482 CAB786480:CAC786482 CJX786480:CJY786482 CTT786480:CTU786482 DDP786480:DDQ786482 DNL786480:DNM786482 DXH786480:DXI786482 EHD786480:EHE786482 EQZ786480:ERA786482 FAV786480:FAW786482 FKR786480:FKS786482 FUN786480:FUO786482 GEJ786480:GEK786482 GOF786480:GOG786482 GYB786480:GYC786482 HHX786480:HHY786482 HRT786480:HRU786482 IBP786480:IBQ786482 ILL786480:ILM786482 IVH786480:IVI786482 JFD786480:JFE786482 JOZ786480:JPA786482 JYV786480:JYW786482 KIR786480:KIS786482 KSN786480:KSO786482 LCJ786480:LCK786482 LMF786480:LMG786482 LWB786480:LWC786482 MFX786480:MFY786482 MPT786480:MPU786482 MZP786480:MZQ786482 NJL786480:NJM786482 NTH786480:NTI786482 ODD786480:ODE786482 OMZ786480:ONA786482 OWV786480:OWW786482 PGR786480:PGS786482 PQN786480:PQO786482 QAJ786480:QAK786482 QKF786480:QKG786482 QUB786480:QUC786482 RDX786480:RDY786482 RNT786480:RNU786482 RXP786480:RXQ786482 SHL786480:SHM786482 SRH786480:SRI786482 TBD786480:TBE786482 TKZ786480:TLA786482 TUV786480:TUW786482 UER786480:UES786482 UON786480:UOO786482 UYJ786480:UYK786482 VIF786480:VIG786482 VSB786480:VSC786482 WBX786480:WBY786482 WLT786480:WLU786482 WVP786480:WVQ786482 H852016:I852018 JD852016:JE852018 SZ852016:TA852018 ACV852016:ACW852018 AMR852016:AMS852018 AWN852016:AWO852018 BGJ852016:BGK852018 BQF852016:BQG852018 CAB852016:CAC852018 CJX852016:CJY852018 CTT852016:CTU852018 DDP852016:DDQ852018 DNL852016:DNM852018 DXH852016:DXI852018 EHD852016:EHE852018 EQZ852016:ERA852018 FAV852016:FAW852018 FKR852016:FKS852018 FUN852016:FUO852018 GEJ852016:GEK852018 GOF852016:GOG852018 GYB852016:GYC852018 HHX852016:HHY852018 HRT852016:HRU852018 IBP852016:IBQ852018 ILL852016:ILM852018 IVH852016:IVI852018 JFD852016:JFE852018 JOZ852016:JPA852018 JYV852016:JYW852018 KIR852016:KIS852018 KSN852016:KSO852018 LCJ852016:LCK852018 LMF852016:LMG852018 LWB852016:LWC852018 MFX852016:MFY852018 MPT852016:MPU852018 MZP852016:MZQ852018 NJL852016:NJM852018 NTH852016:NTI852018 ODD852016:ODE852018 OMZ852016:ONA852018 OWV852016:OWW852018 PGR852016:PGS852018 PQN852016:PQO852018 QAJ852016:QAK852018 QKF852016:QKG852018 QUB852016:QUC852018 RDX852016:RDY852018 RNT852016:RNU852018 RXP852016:RXQ852018 SHL852016:SHM852018 SRH852016:SRI852018 TBD852016:TBE852018 TKZ852016:TLA852018 TUV852016:TUW852018 UER852016:UES852018 UON852016:UOO852018 UYJ852016:UYK852018 VIF852016:VIG852018 VSB852016:VSC852018 WBX852016:WBY852018 WLT852016:WLU852018 WVP852016:WVQ852018 H917552:I917554 JD917552:JE917554 SZ917552:TA917554 ACV917552:ACW917554 AMR917552:AMS917554 AWN917552:AWO917554 BGJ917552:BGK917554 BQF917552:BQG917554 CAB917552:CAC917554 CJX917552:CJY917554 CTT917552:CTU917554 DDP917552:DDQ917554 DNL917552:DNM917554 DXH917552:DXI917554 EHD917552:EHE917554 EQZ917552:ERA917554 FAV917552:FAW917554 FKR917552:FKS917554 FUN917552:FUO917554 GEJ917552:GEK917554 GOF917552:GOG917554 GYB917552:GYC917554 HHX917552:HHY917554 HRT917552:HRU917554 IBP917552:IBQ917554 ILL917552:ILM917554 IVH917552:IVI917554 JFD917552:JFE917554 JOZ917552:JPA917554 JYV917552:JYW917554 KIR917552:KIS917554 KSN917552:KSO917554 LCJ917552:LCK917554 LMF917552:LMG917554 LWB917552:LWC917554 MFX917552:MFY917554 MPT917552:MPU917554 MZP917552:MZQ917554 NJL917552:NJM917554 NTH917552:NTI917554 ODD917552:ODE917554 OMZ917552:ONA917554 OWV917552:OWW917554 PGR917552:PGS917554 PQN917552:PQO917554 QAJ917552:QAK917554 QKF917552:QKG917554 QUB917552:QUC917554 RDX917552:RDY917554 RNT917552:RNU917554 RXP917552:RXQ917554 SHL917552:SHM917554 SRH917552:SRI917554 TBD917552:TBE917554 TKZ917552:TLA917554 TUV917552:TUW917554 UER917552:UES917554 UON917552:UOO917554 UYJ917552:UYK917554 VIF917552:VIG917554 VSB917552:VSC917554 WBX917552:WBY917554 WLT917552:WLU917554 WVP917552:WVQ917554 H983088:I983090 JD983088:JE983090 SZ983088:TA983090 ACV983088:ACW983090 AMR983088:AMS983090 AWN983088:AWO983090 BGJ983088:BGK983090 BQF983088:BQG983090 CAB983088:CAC983090 CJX983088:CJY983090 CTT983088:CTU983090 DDP983088:DDQ983090 DNL983088:DNM983090 DXH983088:DXI983090 EHD983088:EHE983090 EQZ983088:ERA983090 FAV983088:FAW983090 FKR983088:FKS983090 FUN983088:FUO983090 GEJ983088:GEK983090 GOF983088:GOG983090 GYB983088:GYC983090 HHX983088:HHY983090 HRT983088:HRU983090 IBP983088:IBQ983090 ILL983088:ILM983090 IVH983088:IVI983090 JFD983088:JFE983090 JOZ983088:JPA983090 JYV983088:JYW983090 KIR983088:KIS983090 KSN983088:KSO983090 LCJ983088:LCK983090 LMF983088:LMG983090 LWB983088:LWC983090 MFX983088:MFY983090 MPT983088:MPU983090 MZP983088:MZQ983090 NJL983088:NJM983090 NTH983088:NTI983090 ODD983088:ODE983090 OMZ983088:ONA983090 OWV983088:OWW983090 PGR983088:PGS983090 PQN983088:PQO983090 QAJ983088:QAK983090 QKF983088:QKG983090 QUB983088:QUC983090 RDX983088:RDY983090 RNT983088:RNU983090 RXP983088:RXQ983090 SHL983088:SHM983090 SRH983088:SRI983090 TBD983088:TBE983090 TKZ983088:TLA983090 TUV983088:TUW983090 UER983088:UES983090 UON983088:UOO983090 UYJ983088:UYK983090 VIF983088:VIG983090 VSB983088:VSC983090 WBX983088:WBY983090 WLT983088:WLU983090 WVP983088:WVQ983090 I51 JE51 TA51 ACW51 AMS51 AWO51 BGK51 BQG51 CAC51 CJY51 CTU51 DDQ51 DNM51 DXI51 EHE51 ERA51 FAW51 FKS51 FUO51 GEK51 GOG51 GYC51 HHY51 HRU51 IBQ51 ILM51 IVI51 JFE51 JPA51 JYW51 KIS51 KSO51 LCK51 LMG51 LWC51 MFY51 MPU51 MZQ51 NJM51 NTI51 ODE51 ONA51 OWW51 PGS51 PQO51 QAK51 QKG51 QUC51 RDY51 RNU51 RXQ51 SHM51 SRI51 TBE51 TLA51 TUW51 UES51 UOO51 UYK51 VIG51 VSC51 WBY51 WLU51 WVQ51 I65587 JE65587 TA65587 ACW65587 AMS65587 AWO65587 BGK65587 BQG65587 CAC65587 CJY65587 CTU65587 DDQ65587 DNM65587 DXI65587 EHE65587 ERA65587 FAW65587 FKS65587 FUO65587 GEK65587 GOG65587 GYC65587 HHY65587 HRU65587 IBQ65587 ILM65587 IVI65587 JFE65587 JPA65587 JYW65587 KIS65587 KSO65587 LCK65587 LMG65587 LWC65587 MFY65587 MPU65587 MZQ65587 NJM65587 NTI65587 ODE65587 ONA65587 OWW65587 PGS65587 PQO65587 QAK65587 QKG65587 QUC65587 RDY65587 RNU65587 RXQ65587 SHM65587 SRI65587 TBE65587 TLA65587 TUW65587 UES65587 UOO65587 UYK65587 VIG65587 VSC65587 WBY65587 WLU65587 WVQ65587 I131123 JE131123 TA131123 ACW131123 AMS131123 AWO131123 BGK131123 BQG131123 CAC131123 CJY131123 CTU131123 DDQ131123 DNM131123 DXI131123 EHE131123 ERA131123 FAW131123 FKS131123 FUO131123 GEK131123 GOG131123 GYC131123 HHY131123 HRU131123 IBQ131123 ILM131123 IVI131123 JFE131123 JPA131123 JYW131123 KIS131123 KSO131123 LCK131123 LMG131123 LWC131123 MFY131123 MPU131123 MZQ131123 NJM131123 NTI131123 ODE131123 ONA131123 OWW131123 PGS131123 PQO131123 QAK131123 QKG131123 QUC131123 RDY131123 RNU131123 RXQ131123 SHM131123 SRI131123 TBE131123 TLA131123 TUW131123 UES131123 UOO131123 UYK131123 VIG131123 VSC131123 WBY131123 WLU131123 WVQ131123 I196659 JE196659 TA196659 ACW196659 AMS196659 AWO196659 BGK196659 BQG196659 CAC196659 CJY196659 CTU196659 DDQ196659 DNM196659 DXI196659 EHE196659 ERA196659 FAW196659 FKS196659 FUO196659 GEK196659 GOG196659 GYC196659 HHY196659 HRU196659 IBQ196659 ILM196659 IVI196659 JFE196659 JPA196659 JYW196659 KIS196659 KSO196659 LCK196659 LMG196659 LWC196659 MFY196659 MPU196659 MZQ196659 NJM196659 NTI196659 ODE196659 ONA196659 OWW196659 PGS196659 PQO196659 QAK196659 QKG196659 QUC196659 RDY196659 RNU196659 RXQ196659 SHM196659 SRI196659 TBE196659 TLA196659 TUW196659 UES196659 UOO196659 UYK196659 VIG196659 VSC196659 WBY196659 WLU196659 WVQ196659 I262195 JE262195 TA262195 ACW262195 AMS262195 AWO262195 BGK262195 BQG262195 CAC262195 CJY262195 CTU262195 DDQ262195 DNM262195 DXI262195 EHE262195 ERA262195 FAW262195 FKS262195 FUO262195 GEK262195 GOG262195 GYC262195 HHY262195 HRU262195 IBQ262195 ILM262195 IVI262195 JFE262195 JPA262195 JYW262195 KIS262195 KSO262195 LCK262195 LMG262195 LWC262195 MFY262195 MPU262195 MZQ262195 NJM262195 NTI262195 ODE262195 ONA262195 OWW262195 PGS262195 PQO262195 QAK262195 QKG262195 QUC262195 RDY262195 RNU262195 RXQ262195 SHM262195 SRI262195 TBE262195 TLA262195 TUW262195 UES262195 UOO262195 UYK262195 VIG262195 VSC262195 WBY262195 WLU262195 WVQ262195 I327731 JE327731 TA327731 ACW327731 AMS327731 AWO327731 BGK327731 BQG327731 CAC327731 CJY327731 CTU327731 DDQ327731 DNM327731 DXI327731 EHE327731 ERA327731 FAW327731 FKS327731 FUO327731 GEK327731 GOG327731 GYC327731 HHY327731 HRU327731 IBQ327731 ILM327731 IVI327731 JFE327731 JPA327731 JYW327731 KIS327731 KSO327731 LCK327731 LMG327731 LWC327731 MFY327731 MPU327731 MZQ327731 NJM327731 NTI327731 ODE327731 ONA327731 OWW327731 PGS327731 PQO327731 QAK327731 QKG327731 QUC327731 RDY327731 RNU327731 RXQ327731 SHM327731 SRI327731 TBE327731 TLA327731 TUW327731 UES327731 UOO327731 UYK327731 VIG327731 VSC327731 WBY327731 WLU327731 WVQ327731 I393267 JE393267 TA393267 ACW393267 AMS393267 AWO393267 BGK393267 BQG393267 CAC393267 CJY393267 CTU393267 DDQ393267 DNM393267 DXI393267 EHE393267 ERA393267 FAW393267 FKS393267 FUO393267 GEK393267 GOG393267 GYC393267 HHY393267 HRU393267 IBQ393267 ILM393267 IVI393267 JFE393267 JPA393267 JYW393267 KIS393267 KSO393267 LCK393267 LMG393267 LWC393267 MFY393267 MPU393267 MZQ393267 NJM393267 NTI393267 ODE393267 ONA393267 OWW393267 PGS393267 PQO393267 QAK393267 QKG393267 QUC393267 RDY393267 RNU393267 RXQ393267 SHM393267 SRI393267 TBE393267 TLA393267 TUW393267 UES393267 UOO393267 UYK393267 VIG393267 VSC393267 WBY393267 WLU393267 WVQ393267 I458803 JE458803 TA458803 ACW458803 AMS458803 AWO458803 BGK458803 BQG458803 CAC458803 CJY458803 CTU458803 DDQ458803 DNM458803 DXI458803 EHE458803 ERA458803 FAW458803 FKS458803 FUO458803 GEK458803 GOG458803 GYC458803 HHY458803 HRU458803 IBQ458803 ILM458803 IVI458803 JFE458803 JPA458803 JYW458803 KIS458803 KSO458803 LCK458803 LMG458803 LWC458803 MFY458803 MPU458803 MZQ458803 NJM458803 NTI458803 ODE458803 ONA458803 OWW458803 PGS458803 PQO458803 QAK458803 QKG458803 QUC458803 RDY458803 RNU458803 RXQ458803 SHM458803 SRI458803 TBE458803 TLA458803 TUW458803 UES458803 UOO458803 UYK458803 VIG458803 VSC458803 WBY458803 WLU458803 WVQ458803 I524339 JE524339 TA524339 ACW524339 AMS524339 AWO524339 BGK524339 BQG524339 CAC524339 CJY524339 CTU524339 DDQ524339 DNM524339 DXI524339 EHE524339 ERA524339 FAW524339 FKS524339 FUO524339 GEK524339 GOG524339 GYC524339 HHY524339 HRU524339 IBQ524339 ILM524339 IVI524339 JFE524339 JPA524339 JYW524339 KIS524339 KSO524339 LCK524339 LMG524339 LWC524339 MFY524339 MPU524339 MZQ524339 NJM524339 NTI524339 ODE524339 ONA524339 OWW524339 PGS524339 PQO524339 QAK524339 QKG524339 QUC524339 RDY524339 RNU524339 RXQ524339 SHM524339 SRI524339 TBE524339 TLA524339 TUW524339 UES524339 UOO524339 UYK524339 VIG524339 VSC524339 WBY524339 WLU524339 WVQ524339 I589875 JE589875 TA589875 ACW589875 AMS589875 AWO589875 BGK589875 BQG589875 CAC589875 CJY589875 CTU589875 DDQ589875 DNM589875 DXI589875 EHE589875 ERA589875 FAW589875 FKS589875 FUO589875 GEK589875 GOG589875 GYC589875 HHY589875 HRU589875 IBQ589875 ILM589875 IVI589875 JFE589875 JPA589875 JYW589875 KIS589875 KSO589875 LCK589875 LMG589875 LWC589875 MFY589875 MPU589875 MZQ589875 NJM589875 NTI589875 ODE589875 ONA589875 OWW589875 PGS589875 PQO589875 QAK589875 QKG589875 QUC589875 RDY589875 RNU589875 RXQ589875 SHM589875 SRI589875 TBE589875 TLA589875 TUW589875 UES589875 UOO589875 UYK589875 VIG589875 VSC589875 WBY589875 WLU589875 WVQ589875 I655411 JE655411 TA655411 ACW655411 AMS655411 AWO655411 BGK655411 BQG655411 CAC655411 CJY655411 CTU655411 DDQ655411 DNM655411 DXI655411 EHE655411 ERA655411 FAW655411 FKS655411 FUO655411 GEK655411 GOG655411 GYC655411 HHY655411 HRU655411 IBQ655411 ILM655411 IVI655411 JFE655411 JPA655411 JYW655411 KIS655411 KSO655411 LCK655411 LMG655411 LWC655411 MFY655411 MPU655411 MZQ655411 NJM655411 NTI655411 ODE655411 ONA655411 OWW655411 PGS655411 PQO655411 QAK655411 QKG655411 QUC655411 RDY655411 RNU655411 RXQ655411 SHM655411 SRI655411 TBE655411 TLA655411 TUW655411 UES655411 UOO655411 UYK655411 VIG655411 VSC655411 WBY655411 WLU655411 WVQ655411 I720947 JE720947 TA720947 ACW720947 AMS720947 AWO720947 BGK720947 BQG720947 CAC720947 CJY720947 CTU720947 DDQ720947 DNM720947 DXI720947 EHE720947 ERA720947 FAW720947 FKS720947 FUO720947 GEK720947 GOG720947 GYC720947 HHY720947 HRU720947 IBQ720947 ILM720947 IVI720947 JFE720947 JPA720947 JYW720947 KIS720947 KSO720947 LCK720947 LMG720947 LWC720947 MFY720947 MPU720947 MZQ720947 NJM720947 NTI720947 ODE720947 ONA720947 OWW720947 PGS720947 PQO720947 QAK720947 QKG720947 QUC720947 RDY720947 RNU720947 RXQ720947 SHM720947 SRI720947 TBE720947 TLA720947 TUW720947 UES720947 UOO720947 UYK720947 VIG720947 VSC720947 WBY720947 WLU720947 WVQ720947 I786483 JE786483 TA786483 ACW786483 AMS786483 AWO786483 BGK786483 BQG786483 CAC786483 CJY786483 CTU786483 DDQ786483 DNM786483 DXI786483 EHE786483 ERA786483 FAW786483 FKS786483 FUO786483 GEK786483 GOG786483 GYC786483 HHY786483 HRU786483 IBQ786483 ILM786483 IVI786483 JFE786483 JPA786483 JYW786483 KIS786483 KSO786483 LCK786483 LMG786483 LWC786483 MFY786483 MPU786483 MZQ786483 NJM786483 NTI786483 ODE786483 ONA786483 OWW786483 PGS786483 PQO786483 QAK786483 QKG786483 QUC786483 RDY786483 RNU786483 RXQ786483 SHM786483 SRI786483 TBE786483 TLA786483 TUW786483 UES786483 UOO786483 UYK786483 VIG786483 VSC786483 WBY786483 WLU786483 WVQ786483 I852019 JE852019 TA852019 ACW852019 AMS852019 AWO852019 BGK852019 BQG852019 CAC852019 CJY852019 CTU852019 DDQ852019 DNM852019 DXI852019 EHE852019 ERA852019 FAW852019 FKS852019 FUO852019 GEK852019 GOG852019 GYC852019 HHY852019 HRU852019 IBQ852019 ILM852019 IVI852019 JFE852019 JPA852019 JYW852019 KIS852019 KSO852019 LCK852019 LMG852019 LWC852019 MFY852019 MPU852019 MZQ852019 NJM852019 NTI852019 ODE852019 ONA852019 OWW852019 PGS852019 PQO852019 QAK852019 QKG852019 QUC852019 RDY852019 RNU852019 RXQ852019 SHM852019 SRI852019 TBE852019 TLA852019 TUW852019 UES852019 UOO852019 UYK852019 VIG852019 VSC852019 WBY852019 WLU852019 WVQ852019 I917555 JE917555 TA917555 ACW917555 AMS917555 AWO917555 BGK917555 BQG917555 CAC917555 CJY917555 CTU917555 DDQ917555 DNM917555 DXI917555 EHE917555 ERA917555 FAW917555 FKS917555 FUO917555 GEK917555 GOG917555 GYC917555 HHY917555 HRU917555 IBQ917555 ILM917555 IVI917555 JFE917555 JPA917555 JYW917555 KIS917555 KSO917555 LCK917555 LMG917555 LWC917555 MFY917555 MPU917555 MZQ917555 NJM917555 NTI917555 ODE917555 ONA917555 OWW917555 PGS917555 PQO917555 QAK917555 QKG917555 QUC917555 RDY917555 RNU917555 RXQ917555 SHM917555 SRI917555 TBE917555 TLA917555 TUW917555 UES917555 UOO917555 UYK917555 VIG917555 VSC917555 WBY917555 WLU917555 WVQ917555 I983091 JE983091 TA983091 ACW983091 AMS983091 AWO983091 BGK983091 BQG983091 CAC983091 CJY983091 CTU983091 DDQ983091 DNM983091 DXI983091 EHE983091 ERA983091 FAW983091 FKS983091 FUO983091 GEK983091 GOG983091 GYC983091 HHY983091 HRU983091 IBQ983091 ILM983091 IVI983091 JFE983091 JPA983091 JYW983091 KIS983091 KSO983091 LCK983091 LMG983091 LWC983091 MFY983091 MPU983091 MZQ983091 NJM983091 NTI983091 ODE983091 ONA983091 OWW983091 PGS983091 PQO983091 QAK983091 QKG983091 QUC983091 RDY983091 RNU983091 RXQ983091 SHM983091 SRI983091 TBE983091 TLA983091 TUW983091 UES983091 UOO983091 UYK983091 VIG983091 VSC983091 WBY983091 WLU983091 WVQ983091">
      <formula1>"Yes,No,NA"</formula1>
    </dataValidation>
    <dataValidation type="list" allowBlank="1" showInputMessage="1" showErrorMessage="1" sqref="H36:I36 JD36:JE36 SZ36:TA36 ACV36:ACW36 AMR36:AMS36 AWN36:AWO36 BGJ36:BGK36 BQF36:BQG36 CAB36:CAC36 CJX36:CJY36 CTT36:CTU36 DDP36:DDQ36 DNL36:DNM36 DXH36:DXI36 EHD36:EHE36 EQZ36:ERA36 FAV36:FAW36 FKR36:FKS36 FUN36:FUO36 GEJ36:GEK36 GOF36:GOG36 GYB36:GYC36 HHX36:HHY36 HRT36:HRU36 IBP36:IBQ36 ILL36:ILM36 IVH36:IVI36 JFD36:JFE36 JOZ36:JPA36 JYV36:JYW36 KIR36:KIS36 KSN36:KSO36 LCJ36:LCK36 LMF36:LMG36 LWB36:LWC36 MFX36:MFY36 MPT36:MPU36 MZP36:MZQ36 NJL36:NJM36 NTH36:NTI36 ODD36:ODE36 OMZ36:ONA36 OWV36:OWW36 PGR36:PGS36 PQN36:PQO36 QAJ36:QAK36 QKF36:QKG36 QUB36:QUC36 RDX36:RDY36 RNT36:RNU36 RXP36:RXQ36 SHL36:SHM36 SRH36:SRI36 TBD36:TBE36 TKZ36:TLA36 TUV36:TUW36 UER36:UES36 UON36:UOO36 UYJ36:UYK36 VIF36:VIG36 VSB36:VSC36 WBX36:WBY36 WLT36:WLU36 WVP36:WVQ36 H65572:I65572 JD65572:JE65572 SZ65572:TA65572 ACV65572:ACW65572 AMR65572:AMS65572 AWN65572:AWO65572 BGJ65572:BGK65572 BQF65572:BQG65572 CAB65572:CAC65572 CJX65572:CJY65572 CTT65572:CTU65572 DDP65572:DDQ65572 DNL65572:DNM65572 DXH65572:DXI65572 EHD65572:EHE65572 EQZ65572:ERA65572 FAV65572:FAW65572 FKR65572:FKS65572 FUN65572:FUO65572 GEJ65572:GEK65572 GOF65572:GOG65572 GYB65572:GYC65572 HHX65572:HHY65572 HRT65572:HRU65572 IBP65572:IBQ65572 ILL65572:ILM65572 IVH65572:IVI65572 JFD65572:JFE65572 JOZ65572:JPA65572 JYV65572:JYW65572 KIR65572:KIS65572 KSN65572:KSO65572 LCJ65572:LCK65572 LMF65572:LMG65572 LWB65572:LWC65572 MFX65572:MFY65572 MPT65572:MPU65572 MZP65572:MZQ65572 NJL65572:NJM65572 NTH65572:NTI65572 ODD65572:ODE65572 OMZ65572:ONA65572 OWV65572:OWW65572 PGR65572:PGS65572 PQN65572:PQO65572 QAJ65572:QAK65572 QKF65572:QKG65572 QUB65572:QUC65572 RDX65572:RDY65572 RNT65572:RNU65572 RXP65572:RXQ65572 SHL65572:SHM65572 SRH65572:SRI65572 TBD65572:TBE65572 TKZ65572:TLA65572 TUV65572:TUW65572 UER65572:UES65572 UON65572:UOO65572 UYJ65572:UYK65572 VIF65572:VIG65572 VSB65572:VSC65572 WBX65572:WBY65572 WLT65572:WLU65572 WVP65572:WVQ65572 H131108:I131108 JD131108:JE131108 SZ131108:TA131108 ACV131108:ACW131108 AMR131108:AMS131108 AWN131108:AWO131108 BGJ131108:BGK131108 BQF131108:BQG131108 CAB131108:CAC131108 CJX131108:CJY131108 CTT131108:CTU131108 DDP131108:DDQ131108 DNL131108:DNM131108 DXH131108:DXI131108 EHD131108:EHE131108 EQZ131108:ERA131108 FAV131108:FAW131108 FKR131108:FKS131108 FUN131108:FUO131108 GEJ131108:GEK131108 GOF131108:GOG131108 GYB131108:GYC131108 HHX131108:HHY131108 HRT131108:HRU131108 IBP131108:IBQ131108 ILL131108:ILM131108 IVH131108:IVI131108 JFD131108:JFE131108 JOZ131108:JPA131108 JYV131108:JYW131108 KIR131108:KIS131108 KSN131108:KSO131108 LCJ131108:LCK131108 LMF131108:LMG131108 LWB131108:LWC131108 MFX131108:MFY131108 MPT131108:MPU131108 MZP131108:MZQ131108 NJL131108:NJM131108 NTH131108:NTI131108 ODD131108:ODE131108 OMZ131108:ONA131108 OWV131108:OWW131108 PGR131108:PGS131108 PQN131108:PQO131108 QAJ131108:QAK131108 QKF131108:QKG131108 QUB131108:QUC131108 RDX131108:RDY131108 RNT131108:RNU131108 RXP131108:RXQ131108 SHL131108:SHM131108 SRH131108:SRI131108 TBD131108:TBE131108 TKZ131108:TLA131108 TUV131108:TUW131108 UER131108:UES131108 UON131108:UOO131108 UYJ131108:UYK131108 VIF131108:VIG131108 VSB131108:VSC131108 WBX131108:WBY131108 WLT131108:WLU131108 WVP131108:WVQ131108 H196644:I196644 JD196644:JE196644 SZ196644:TA196644 ACV196644:ACW196644 AMR196644:AMS196644 AWN196644:AWO196644 BGJ196644:BGK196644 BQF196644:BQG196644 CAB196644:CAC196644 CJX196644:CJY196644 CTT196644:CTU196644 DDP196644:DDQ196644 DNL196644:DNM196644 DXH196644:DXI196644 EHD196644:EHE196644 EQZ196644:ERA196644 FAV196644:FAW196644 FKR196644:FKS196644 FUN196644:FUO196644 GEJ196644:GEK196644 GOF196644:GOG196644 GYB196644:GYC196644 HHX196644:HHY196644 HRT196644:HRU196644 IBP196644:IBQ196644 ILL196644:ILM196644 IVH196644:IVI196644 JFD196644:JFE196644 JOZ196644:JPA196644 JYV196644:JYW196644 KIR196644:KIS196644 KSN196644:KSO196644 LCJ196644:LCK196644 LMF196644:LMG196644 LWB196644:LWC196644 MFX196644:MFY196644 MPT196644:MPU196644 MZP196644:MZQ196644 NJL196644:NJM196644 NTH196644:NTI196644 ODD196644:ODE196644 OMZ196644:ONA196644 OWV196644:OWW196644 PGR196644:PGS196644 PQN196644:PQO196644 QAJ196644:QAK196644 QKF196644:QKG196644 QUB196644:QUC196644 RDX196644:RDY196644 RNT196644:RNU196644 RXP196644:RXQ196644 SHL196644:SHM196644 SRH196644:SRI196644 TBD196644:TBE196644 TKZ196644:TLA196644 TUV196644:TUW196644 UER196644:UES196644 UON196644:UOO196644 UYJ196644:UYK196644 VIF196644:VIG196644 VSB196644:VSC196644 WBX196644:WBY196644 WLT196644:WLU196644 WVP196644:WVQ196644 H262180:I262180 JD262180:JE262180 SZ262180:TA262180 ACV262180:ACW262180 AMR262180:AMS262180 AWN262180:AWO262180 BGJ262180:BGK262180 BQF262180:BQG262180 CAB262180:CAC262180 CJX262180:CJY262180 CTT262180:CTU262180 DDP262180:DDQ262180 DNL262180:DNM262180 DXH262180:DXI262180 EHD262180:EHE262180 EQZ262180:ERA262180 FAV262180:FAW262180 FKR262180:FKS262180 FUN262180:FUO262180 GEJ262180:GEK262180 GOF262180:GOG262180 GYB262180:GYC262180 HHX262180:HHY262180 HRT262180:HRU262180 IBP262180:IBQ262180 ILL262180:ILM262180 IVH262180:IVI262180 JFD262180:JFE262180 JOZ262180:JPA262180 JYV262180:JYW262180 KIR262180:KIS262180 KSN262180:KSO262180 LCJ262180:LCK262180 LMF262180:LMG262180 LWB262180:LWC262180 MFX262180:MFY262180 MPT262180:MPU262180 MZP262180:MZQ262180 NJL262180:NJM262180 NTH262180:NTI262180 ODD262180:ODE262180 OMZ262180:ONA262180 OWV262180:OWW262180 PGR262180:PGS262180 PQN262180:PQO262180 QAJ262180:QAK262180 QKF262180:QKG262180 QUB262180:QUC262180 RDX262180:RDY262180 RNT262180:RNU262180 RXP262180:RXQ262180 SHL262180:SHM262180 SRH262180:SRI262180 TBD262180:TBE262180 TKZ262180:TLA262180 TUV262180:TUW262180 UER262180:UES262180 UON262180:UOO262180 UYJ262180:UYK262180 VIF262180:VIG262180 VSB262180:VSC262180 WBX262180:WBY262180 WLT262180:WLU262180 WVP262180:WVQ262180 H327716:I327716 JD327716:JE327716 SZ327716:TA327716 ACV327716:ACW327716 AMR327716:AMS327716 AWN327716:AWO327716 BGJ327716:BGK327716 BQF327716:BQG327716 CAB327716:CAC327716 CJX327716:CJY327716 CTT327716:CTU327716 DDP327716:DDQ327716 DNL327716:DNM327716 DXH327716:DXI327716 EHD327716:EHE327716 EQZ327716:ERA327716 FAV327716:FAW327716 FKR327716:FKS327716 FUN327716:FUO327716 GEJ327716:GEK327716 GOF327716:GOG327716 GYB327716:GYC327716 HHX327716:HHY327716 HRT327716:HRU327716 IBP327716:IBQ327716 ILL327716:ILM327716 IVH327716:IVI327716 JFD327716:JFE327716 JOZ327716:JPA327716 JYV327716:JYW327716 KIR327716:KIS327716 KSN327716:KSO327716 LCJ327716:LCK327716 LMF327716:LMG327716 LWB327716:LWC327716 MFX327716:MFY327716 MPT327716:MPU327716 MZP327716:MZQ327716 NJL327716:NJM327716 NTH327716:NTI327716 ODD327716:ODE327716 OMZ327716:ONA327716 OWV327716:OWW327716 PGR327716:PGS327716 PQN327716:PQO327716 QAJ327716:QAK327716 QKF327716:QKG327716 QUB327716:QUC327716 RDX327716:RDY327716 RNT327716:RNU327716 RXP327716:RXQ327716 SHL327716:SHM327716 SRH327716:SRI327716 TBD327716:TBE327716 TKZ327716:TLA327716 TUV327716:TUW327716 UER327716:UES327716 UON327716:UOO327716 UYJ327716:UYK327716 VIF327716:VIG327716 VSB327716:VSC327716 WBX327716:WBY327716 WLT327716:WLU327716 WVP327716:WVQ327716 H393252:I393252 JD393252:JE393252 SZ393252:TA393252 ACV393252:ACW393252 AMR393252:AMS393252 AWN393252:AWO393252 BGJ393252:BGK393252 BQF393252:BQG393252 CAB393252:CAC393252 CJX393252:CJY393252 CTT393252:CTU393252 DDP393252:DDQ393252 DNL393252:DNM393252 DXH393252:DXI393252 EHD393252:EHE393252 EQZ393252:ERA393252 FAV393252:FAW393252 FKR393252:FKS393252 FUN393252:FUO393252 GEJ393252:GEK393252 GOF393252:GOG393252 GYB393252:GYC393252 HHX393252:HHY393252 HRT393252:HRU393252 IBP393252:IBQ393252 ILL393252:ILM393252 IVH393252:IVI393252 JFD393252:JFE393252 JOZ393252:JPA393252 JYV393252:JYW393252 KIR393252:KIS393252 KSN393252:KSO393252 LCJ393252:LCK393252 LMF393252:LMG393252 LWB393252:LWC393252 MFX393252:MFY393252 MPT393252:MPU393252 MZP393252:MZQ393252 NJL393252:NJM393252 NTH393252:NTI393252 ODD393252:ODE393252 OMZ393252:ONA393252 OWV393252:OWW393252 PGR393252:PGS393252 PQN393252:PQO393252 QAJ393252:QAK393252 QKF393252:QKG393252 QUB393252:QUC393252 RDX393252:RDY393252 RNT393252:RNU393252 RXP393252:RXQ393252 SHL393252:SHM393252 SRH393252:SRI393252 TBD393252:TBE393252 TKZ393252:TLA393252 TUV393252:TUW393252 UER393252:UES393252 UON393252:UOO393252 UYJ393252:UYK393252 VIF393252:VIG393252 VSB393252:VSC393252 WBX393252:WBY393252 WLT393252:WLU393252 WVP393252:WVQ393252 H458788:I458788 JD458788:JE458788 SZ458788:TA458788 ACV458788:ACW458788 AMR458788:AMS458788 AWN458788:AWO458788 BGJ458788:BGK458788 BQF458788:BQG458788 CAB458788:CAC458788 CJX458788:CJY458788 CTT458788:CTU458788 DDP458788:DDQ458788 DNL458788:DNM458788 DXH458788:DXI458788 EHD458788:EHE458788 EQZ458788:ERA458788 FAV458788:FAW458788 FKR458788:FKS458788 FUN458788:FUO458788 GEJ458788:GEK458788 GOF458788:GOG458788 GYB458788:GYC458788 HHX458788:HHY458788 HRT458788:HRU458788 IBP458788:IBQ458788 ILL458788:ILM458788 IVH458788:IVI458788 JFD458788:JFE458788 JOZ458788:JPA458788 JYV458788:JYW458788 KIR458788:KIS458788 KSN458788:KSO458788 LCJ458788:LCK458788 LMF458788:LMG458788 LWB458788:LWC458788 MFX458788:MFY458788 MPT458788:MPU458788 MZP458788:MZQ458788 NJL458788:NJM458788 NTH458788:NTI458788 ODD458788:ODE458788 OMZ458788:ONA458788 OWV458788:OWW458788 PGR458788:PGS458788 PQN458788:PQO458788 QAJ458788:QAK458788 QKF458788:QKG458788 QUB458788:QUC458788 RDX458788:RDY458788 RNT458788:RNU458788 RXP458788:RXQ458788 SHL458788:SHM458788 SRH458788:SRI458788 TBD458788:TBE458788 TKZ458788:TLA458788 TUV458788:TUW458788 UER458788:UES458788 UON458788:UOO458788 UYJ458788:UYK458788 VIF458788:VIG458788 VSB458788:VSC458788 WBX458788:WBY458788 WLT458788:WLU458788 WVP458788:WVQ458788 H524324:I524324 JD524324:JE524324 SZ524324:TA524324 ACV524324:ACW524324 AMR524324:AMS524324 AWN524324:AWO524324 BGJ524324:BGK524324 BQF524324:BQG524324 CAB524324:CAC524324 CJX524324:CJY524324 CTT524324:CTU524324 DDP524324:DDQ524324 DNL524324:DNM524324 DXH524324:DXI524324 EHD524324:EHE524324 EQZ524324:ERA524324 FAV524324:FAW524324 FKR524324:FKS524324 FUN524324:FUO524324 GEJ524324:GEK524324 GOF524324:GOG524324 GYB524324:GYC524324 HHX524324:HHY524324 HRT524324:HRU524324 IBP524324:IBQ524324 ILL524324:ILM524324 IVH524324:IVI524324 JFD524324:JFE524324 JOZ524324:JPA524324 JYV524324:JYW524324 KIR524324:KIS524324 KSN524324:KSO524324 LCJ524324:LCK524324 LMF524324:LMG524324 LWB524324:LWC524324 MFX524324:MFY524324 MPT524324:MPU524324 MZP524324:MZQ524324 NJL524324:NJM524324 NTH524324:NTI524324 ODD524324:ODE524324 OMZ524324:ONA524324 OWV524324:OWW524324 PGR524324:PGS524324 PQN524324:PQO524324 QAJ524324:QAK524324 QKF524324:QKG524324 QUB524324:QUC524324 RDX524324:RDY524324 RNT524324:RNU524324 RXP524324:RXQ524324 SHL524324:SHM524324 SRH524324:SRI524324 TBD524324:TBE524324 TKZ524324:TLA524324 TUV524324:TUW524324 UER524324:UES524324 UON524324:UOO524324 UYJ524324:UYK524324 VIF524324:VIG524324 VSB524324:VSC524324 WBX524324:WBY524324 WLT524324:WLU524324 WVP524324:WVQ524324 H589860:I589860 JD589860:JE589860 SZ589860:TA589860 ACV589860:ACW589860 AMR589860:AMS589860 AWN589860:AWO589860 BGJ589860:BGK589860 BQF589860:BQG589860 CAB589860:CAC589860 CJX589860:CJY589860 CTT589860:CTU589860 DDP589860:DDQ589860 DNL589860:DNM589860 DXH589860:DXI589860 EHD589860:EHE589860 EQZ589860:ERA589860 FAV589860:FAW589860 FKR589860:FKS589860 FUN589860:FUO589860 GEJ589860:GEK589860 GOF589860:GOG589860 GYB589860:GYC589860 HHX589860:HHY589860 HRT589860:HRU589860 IBP589860:IBQ589860 ILL589860:ILM589860 IVH589860:IVI589860 JFD589860:JFE589860 JOZ589860:JPA589860 JYV589860:JYW589860 KIR589860:KIS589860 KSN589860:KSO589860 LCJ589860:LCK589860 LMF589860:LMG589860 LWB589860:LWC589860 MFX589860:MFY589860 MPT589860:MPU589860 MZP589860:MZQ589860 NJL589860:NJM589860 NTH589860:NTI589860 ODD589860:ODE589860 OMZ589860:ONA589860 OWV589860:OWW589860 PGR589860:PGS589860 PQN589860:PQO589860 QAJ589860:QAK589860 QKF589860:QKG589860 QUB589860:QUC589860 RDX589860:RDY589860 RNT589860:RNU589860 RXP589860:RXQ589860 SHL589860:SHM589860 SRH589860:SRI589860 TBD589860:TBE589860 TKZ589860:TLA589860 TUV589860:TUW589860 UER589860:UES589860 UON589860:UOO589860 UYJ589860:UYK589860 VIF589860:VIG589860 VSB589860:VSC589860 WBX589860:WBY589860 WLT589860:WLU589860 WVP589860:WVQ589860 H655396:I655396 JD655396:JE655396 SZ655396:TA655396 ACV655396:ACW655396 AMR655396:AMS655396 AWN655396:AWO655396 BGJ655396:BGK655396 BQF655396:BQG655396 CAB655396:CAC655396 CJX655396:CJY655396 CTT655396:CTU655396 DDP655396:DDQ655396 DNL655396:DNM655396 DXH655396:DXI655396 EHD655396:EHE655396 EQZ655396:ERA655396 FAV655396:FAW655396 FKR655396:FKS655396 FUN655396:FUO655396 GEJ655396:GEK655396 GOF655396:GOG655396 GYB655396:GYC655396 HHX655396:HHY655396 HRT655396:HRU655396 IBP655396:IBQ655396 ILL655396:ILM655396 IVH655396:IVI655396 JFD655396:JFE655396 JOZ655396:JPA655396 JYV655396:JYW655396 KIR655396:KIS655396 KSN655396:KSO655396 LCJ655396:LCK655396 LMF655396:LMG655396 LWB655396:LWC655396 MFX655396:MFY655396 MPT655396:MPU655396 MZP655396:MZQ655396 NJL655396:NJM655396 NTH655396:NTI655396 ODD655396:ODE655396 OMZ655396:ONA655396 OWV655396:OWW655396 PGR655396:PGS655396 PQN655396:PQO655396 QAJ655396:QAK655396 QKF655396:QKG655396 QUB655396:QUC655396 RDX655396:RDY655396 RNT655396:RNU655396 RXP655396:RXQ655396 SHL655396:SHM655396 SRH655396:SRI655396 TBD655396:TBE655396 TKZ655396:TLA655396 TUV655396:TUW655396 UER655396:UES655396 UON655396:UOO655396 UYJ655396:UYK655396 VIF655396:VIG655396 VSB655396:VSC655396 WBX655396:WBY655396 WLT655396:WLU655396 WVP655396:WVQ655396 H720932:I720932 JD720932:JE720932 SZ720932:TA720932 ACV720932:ACW720932 AMR720932:AMS720932 AWN720932:AWO720932 BGJ720932:BGK720932 BQF720932:BQG720932 CAB720932:CAC720932 CJX720932:CJY720932 CTT720932:CTU720932 DDP720932:DDQ720932 DNL720932:DNM720932 DXH720932:DXI720932 EHD720932:EHE720932 EQZ720932:ERA720932 FAV720932:FAW720932 FKR720932:FKS720932 FUN720932:FUO720932 GEJ720932:GEK720932 GOF720932:GOG720932 GYB720932:GYC720932 HHX720932:HHY720932 HRT720932:HRU720932 IBP720932:IBQ720932 ILL720932:ILM720932 IVH720932:IVI720932 JFD720932:JFE720932 JOZ720932:JPA720932 JYV720932:JYW720932 KIR720932:KIS720932 KSN720932:KSO720932 LCJ720932:LCK720932 LMF720932:LMG720932 LWB720932:LWC720932 MFX720932:MFY720932 MPT720932:MPU720932 MZP720932:MZQ720932 NJL720932:NJM720932 NTH720932:NTI720932 ODD720932:ODE720932 OMZ720932:ONA720932 OWV720932:OWW720932 PGR720932:PGS720932 PQN720932:PQO720932 QAJ720932:QAK720932 QKF720932:QKG720932 QUB720932:QUC720932 RDX720932:RDY720932 RNT720932:RNU720932 RXP720932:RXQ720932 SHL720932:SHM720932 SRH720932:SRI720932 TBD720932:TBE720932 TKZ720932:TLA720932 TUV720932:TUW720932 UER720932:UES720932 UON720932:UOO720932 UYJ720932:UYK720932 VIF720932:VIG720932 VSB720932:VSC720932 WBX720932:WBY720932 WLT720932:WLU720932 WVP720932:WVQ720932 H786468:I786468 JD786468:JE786468 SZ786468:TA786468 ACV786468:ACW786468 AMR786468:AMS786468 AWN786468:AWO786468 BGJ786468:BGK786468 BQF786468:BQG786468 CAB786468:CAC786468 CJX786468:CJY786468 CTT786468:CTU786468 DDP786468:DDQ786468 DNL786468:DNM786468 DXH786468:DXI786468 EHD786468:EHE786468 EQZ786468:ERA786468 FAV786468:FAW786468 FKR786468:FKS786468 FUN786468:FUO786468 GEJ786468:GEK786468 GOF786468:GOG786468 GYB786468:GYC786468 HHX786468:HHY786468 HRT786468:HRU786468 IBP786468:IBQ786468 ILL786468:ILM786468 IVH786468:IVI786468 JFD786468:JFE786468 JOZ786468:JPA786468 JYV786468:JYW786468 KIR786468:KIS786468 KSN786468:KSO786468 LCJ786468:LCK786468 LMF786468:LMG786468 LWB786468:LWC786468 MFX786468:MFY786468 MPT786468:MPU786468 MZP786468:MZQ786468 NJL786468:NJM786468 NTH786468:NTI786468 ODD786468:ODE786468 OMZ786468:ONA786468 OWV786468:OWW786468 PGR786468:PGS786468 PQN786468:PQO786468 QAJ786468:QAK786468 QKF786468:QKG786468 QUB786468:QUC786468 RDX786468:RDY786468 RNT786468:RNU786468 RXP786468:RXQ786468 SHL786468:SHM786468 SRH786468:SRI786468 TBD786468:TBE786468 TKZ786468:TLA786468 TUV786468:TUW786468 UER786468:UES786468 UON786468:UOO786468 UYJ786468:UYK786468 VIF786468:VIG786468 VSB786468:VSC786468 WBX786468:WBY786468 WLT786468:WLU786468 WVP786468:WVQ786468 H852004:I852004 JD852004:JE852004 SZ852004:TA852004 ACV852004:ACW852004 AMR852004:AMS852004 AWN852004:AWO852004 BGJ852004:BGK852004 BQF852004:BQG852004 CAB852004:CAC852004 CJX852004:CJY852004 CTT852004:CTU852004 DDP852004:DDQ852004 DNL852004:DNM852004 DXH852004:DXI852004 EHD852004:EHE852004 EQZ852004:ERA852004 FAV852004:FAW852004 FKR852004:FKS852004 FUN852004:FUO852004 GEJ852004:GEK852004 GOF852004:GOG852004 GYB852004:GYC852004 HHX852004:HHY852004 HRT852004:HRU852004 IBP852004:IBQ852004 ILL852004:ILM852004 IVH852004:IVI852004 JFD852004:JFE852004 JOZ852004:JPA852004 JYV852004:JYW852004 KIR852004:KIS852004 KSN852004:KSO852004 LCJ852004:LCK852004 LMF852004:LMG852004 LWB852004:LWC852004 MFX852004:MFY852004 MPT852004:MPU852004 MZP852004:MZQ852004 NJL852004:NJM852004 NTH852004:NTI852004 ODD852004:ODE852004 OMZ852004:ONA852004 OWV852004:OWW852004 PGR852004:PGS852004 PQN852004:PQO852004 QAJ852004:QAK852004 QKF852004:QKG852004 QUB852004:QUC852004 RDX852004:RDY852004 RNT852004:RNU852004 RXP852004:RXQ852004 SHL852004:SHM852004 SRH852004:SRI852004 TBD852004:TBE852004 TKZ852004:TLA852004 TUV852004:TUW852004 UER852004:UES852004 UON852004:UOO852004 UYJ852004:UYK852004 VIF852004:VIG852004 VSB852004:VSC852004 WBX852004:WBY852004 WLT852004:WLU852004 WVP852004:WVQ852004 H917540:I917540 JD917540:JE917540 SZ917540:TA917540 ACV917540:ACW917540 AMR917540:AMS917540 AWN917540:AWO917540 BGJ917540:BGK917540 BQF917540:BQG917540 CAB917540:CAC917540 CJX917540:CJY917540 CTT917540:CTU917540 DDP917540:DDQ917540 DNL917540:DNM917540 DXH917540:DXI917540 EHD917540:EHE917540 EQZ917540:ERA917540 FAV917540:FAW917540 FKR917540:FKS917540 FUN917540:FUO917540 GEJ917540:GEK917540 GOF917540:GOG917540 GYB917540:GYC917540 HHX917540:HHY917540 HRT917540:HRU917540 IBP917540:IBQ917540 ILL917540:ILM917540 IVH917540:IVI917540 JFD917540:JFE917540 JOZ917540:JPA917540 JYV917540:JYW917540 KIR917540:KIS917540 KSN917540:KSO917540 LCJ917540:LCK917540 LMF917540:LMG917540 LWB917540:LWC917540 MFX917540:MFY917540 MPT917540:MPU917540 MZP917540:MZQ917540 NJL917540:NJM917540 NTH917540:NTI917540 ODD917540:ODE917540 OMZ917540:ONA917540 OWV917540:OWW917540 PGR917540:PGS917540 PQN917540:PQO917540 QAJ917540:QAK917540 QKF917540:QKG917540 QUB917540:QUC917540 RDX917540:RDY917540 RNT917540:RNU917540 RXP917540:RXQ917540 SHL917540:SHM917540 SRH917540:SRI917540 TBD917540:TBE917540 TKZ917540:TLA917540 TUV917540:TUW917540 UER917540:UES917540 UON917540:UOO917540 UYJ917540:UYK917540 VIF917540:VIG917540 VSB917540:VSC917540 WBX917540:WBY917540 WLT917540:WLU917540 WVP917540:WVQ917540 H983076:I983076 JD983076:JE983076 SZ983076:TA983076 ACV983076:ACW983076 AMR983076:AMS983076 AWN983076:AWO983076 BGJ983076:BGK983076 BQF983076:BQG983076 CAB983076:CAC983076 CJX983076:CJY983076 CTT983076:CTU983076 DDP983076:DDQ983076 DNL983076:DNM983076 DXH983076:DXI983076 EHD983076:EHE983076 EQZ983076:ERA983076 FAV983076:FAW983076 FKR983076:FKS983076 FUN983076:FUO983076 GEJ983076:GEK983076 GOF983076:GOG983076 GYB983076:GYC983076 HHX983076:HHY983076 HRT983076:HRU983076 IBP983076:IBQ983076 ILL983076:ILM983076 IVH983076:IVI983076 JFD983076:JFE983076 JOZ983076:JPA983076 JYV983076:JYW983076 KIR983076:KIS983076 KSN983076:KSO983076 LCJ983076:LCK983076 LMF983076:LMG983076 LWB983076:LWC983076 MFX983076:MFY983076 MPT983076:MPU983076 MZP983076:MZQ983076 NJL983076:NJM983076 NTH983076:NTI983076 ODD983076:ODE983076 OMZ983076:ONA983076 OWV983076:OWW983076 PGR983076:PGS983076 PQN983076:PQO983076 QAJ983076:QAK983076 QKF983076:QKG983076 QUB983076:QUC983076 RDX983076:RDY983076 RNT983076:RNU983076 RXP983076:RXQ983076 SHL983076:SHM983076 SRH983076:SRI983076 TBD983076:TBE983076 TKZ983076:TLA983076 TUV983076:TUW983076 UER983076:UES983076 UON983076:UOO983076 UYJ983076:UYK983076 VIF983076:VIG983076 VSB983076:VSC983076 WBX983076:WBY983076 WLT983076:WLU983076 WVP983076:WVQ983076">
      <formula1>$Q$61:$Q$64</formula1>
    </dataValidation>
  </dataValidations>
  <hyperlinks>
    <hyperlink ref="A1" location="'Table Of Contents'!A1" display="TOC"/>
  </hyperlinks>
  <pageMargins left="0.75" right="0.75" top="1" bottom="1" header="0.5" footer="0.5"/>
  <pageSetup scale="52" fitToHeight="0" orientation="portrait" r:id="rId1"/>
  <headerFooter alignWithMargins="0">
    <oddFooter>Page &amp;P of &amp;N</oddFooter>
  </headerFooter>
  <rowBreaks count="1" manualBreakCount="1">
    <brk id="26" min="1" max="9" man="1"/>
  </rowBreaks>
  <drawing r:id="rId2"/>
  <legacyDrawing r:id="rId3"/>
  <legacyDrawingHF r:id="rId4"/>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9FF99"/>
    <pageSetUpPr fitToPage="1"/>
  </sheetPr>
  <dimension ref="A1:DU203"/>
  <sheetViews>
    <sheetView showGridLines="0" view="pageBreakPreview" zoomScale="90" zoomScaleNormal="75" zoomScaleSheetLayoutView="90" workbookViewId="0">
      <selection activeCell="C1" sqref="C1"/>
    </sheetView>
  </sheetViews>
  <sheetFormatPr defaultRowHeight="12.75"/>
  <cols>
    <col min="1" max="1" width="9.140625" style="1324"/>
    <col min="2" max="2" width="20" style="1324" customWidth="1"/>
    <col min="3" max="3" width="17.85546875" style="1324" customWidth="1"/>
    <col min="4" max="5" width="15.7109375" style="1324" customWidth="1"/>
    <col min="6" max="6" width="35.7109375" style="1324" customWidth="1"/>
    <col min="7" max="7" width="10.7109375" style="1324" customWidth="1"/>
    <col min="8" max="8" width="5.7109375" style="1324" customWidth="1"/>
    <col min="9" max="9" width="11" style="1324" customWidth="1"/>
    <col min="10" max="10" width="32.85546875" style="1324" customWidth="1"/>
    <col min="11" max="11" width="9.140625" style="1552"/>
    <col min="12" max="12" width="65.28515625" style="1324" customWidth="1"/>
    <col min="13" max="13" width="24.7109375" style="1324" customWidth="1"/>
    <col min="14" max="14" width="16.28515625" style="1324" bestFit="1" customWidth="1"/>
    <col min="15" max="15" width="9.28515625" style="1552" customWidth="1"/>
    <col min="16" max="16" width="11.42578125" style="1552" customWidth="1"/>
    <col min="17" max="17" width="9.140625" style="1324" hidden="1" customWidth="1"/>
    <col min="18" max="16384" width="9.140625" style="1324"/>
  </cols>
  <sheetData>
    <row r="1" spans="1:125" ht="26.25" customHeight="1">
      <c r="A1" s="1534" t="s">
        <v>1408</v>
      </c>
      <c r="B1" s="1138"/>
      <c r="C1" s="1137"/>
      <c r="D1" s="1138"/>
      <c r="E1" s="1138"/>
      <c r="F1" s="1140"/>
      <c r="G1" s="1138"/>
      <c r="H1" s="795"/>
      <c r="I1" s="795"/>
      <c r="J1" s="795"/>
      <c r="K1" s="1324"/>
      <c r="O1" s="1324"/>
      <c r="P1" s="1324"/>
    </row>
    <row r="2" spans="1:125" ht="26.25" customHeight="1">
      <c r="B2" s="1138"/>
      <c r="C2" s="1137" t="str">
        <f>'1.1 - APPLIANCES'!C2</f>
        <v>MULTIFAMILY PERFORMANCE PROGRAM</v>
      </c>
      <c r="D2" s="1138"/>
      <c r="E2" s="1138"/>
      <c r="F2" s="1140"/>
      <c r="G2" s="1138"/>
      <c r="H2" s="795"/>
      <c r="I2" s="795"/>
      <c r="J2" s="795"/>
      <c r="K2" s="1324"/>
      <c r="O2" s="1324"/>
      <c r="P2" s="1324"/>
    </row>
    <row r="3" spans="1:125" ht="26.25" customHeight="1">
      <c r="B3" s="1138"/>
      <c r="C3" s="1139" t="s">
        <v>368</v>
      </c>
      <c r="D3" s="1139">
        <f>'Project Info'!C3</f>
        <v>0</v>
      </c>
      <c r="E3" s="1138"/>
      <c r="F3" s="1140"/>
      <c r="G3" s="1138"/>
      <c r="H3" s="795"/>
      <c r="I3" s="795"/>
      <c r="J3" s="795"/>
      <c r="K3" s="1324"/>
      <c r="O3" s="1324"/>
      <c r="P3" s="1324"/>
    </row>
    <row r="4" spans="1:125" ht="26.25" customHeight="1">
      <c r="A4" s="1551"/>
      <c r="B4" s="1138"/>
      <c r="C4" s="1138"/>
      <c r="D4" s="1138"/>
      <c r="E4" s="1138"/>
      <c r="F4" s="1138"/>
      <c r="G4" s="1138"/>
      <c r="H4" s="795"/>
      <c r="I4" s="795"/>
      <c r="J4" s="1530"/>
    </row>
    <row r="5" spans="1:125" s="1629" customFormat="1" ht="15.75">
      <c r="A5" s="1540"/>
      <c r="B5" s="1141" t="s">
        <v>1547</v>
      </c>
      <c r="C5" s="1195"/>
      <c r="D5" s="1195"/>
      <c r="E5" s="1196"/>
      <c r="F5" s="1197"/>
      <c r="G5" s="1197"/>
      <c r="H5" s="2723" t="s">
        <v>1411</v>
      </c>
      <c r="I5" s="2723"/>
      <c r="J5" s="1352" t="s">
        <v>1412</v>
      </c>
      <c r="K5" s="1635"/>
      <c r="L5" s="1533"/>
      <c r="M5" s="1533"/>
      <c r="N5" s="1533"/>
      <c r="O5" s="1635"/>
      <c r="P5" s="1635"/>
      <c r="Q5" s="1540"/>
      <c r="R5" s="1540"/>
      <c r="S5" s="1540"/>
      <c r="T5" s="1540"/>
      <c r="U5" s="1540"/>
      <c r="V5" s="1540"/>
      <c r="W5" s="1540"/>
      <c r="X5" s="1540"/>
      <c r="Y5" s="1540"/>
      <c r="Z5" s="1540"/>
      <c r="AA5" s="1540"/>
      <c r="AB5" s="1540"/>
      <c r="AC5" s="1540"/>
      <c r="AD5" s="1540"/>
      <c r="AE5" s="1540"/>
      <c r="AF5" s="1540"/>
      <c r="AG5" s="1540"/>
      <c r="AH5" s="1540"/>
      <c r="AI5" s="1540"/>
      <c r="AJ5" s="1540"/>
      <c r="AK5" s="1540"/>
      <c r="AL5" s="1540"/>
      <c r="AM5" s="1540"/>
      <c r="AN5" s="1540"/>
      <c r="AO5" s="1540"/>
      <c r="AP5" s="1540"/>
      <c r="AQ5" s="1540"/>
      <c r="AR5" s="1540"/>
      <c r="AS5" s="1540"/>
      <c r="AT5" s="1540"/>
      <c r="AU5" s="1540"/>
      <c r="AV5" s="1540"/>
      <c r="AW5" s="1540"/>
      <c r="AX5" s="1540"/>
      <c r="AY5" s="1540"/>
      <c r="AZ5" s="1540"/>
      <c r="BA5" s="1540"/>
      <c r="BB5" s="1540"/>
      <c r="BC5" s="1540"/>
      <c r="BD5" s="1540"/>
      <c r="BE5" s="1540"/>
      <c r="BF5" s="1540"/>
      <c r="BG5" s="1540"/>
      <c r="BH5" s="1540"/>
      <c r="BI5" s="1540"/>
      <c r="BJ5" s="1540"/>
      <c r="BK5" s="1540"/>
      <c r="BL5" s="1540"/>
      <c r="BM5" s="1540"/>
      <c r="BN5" s="1540"/>
      <c r="BO5" s="1540"/>
      <c r="BP5" s="1540"/>
      <c r="BQ5" s="1540"/>
      <c r="BR5" s="1540"/>
      <c r="BS5" s="1540"/>
      <c r="BT5" s="1540"/>
      <c r="BU5" s="1540"/>
      <c r="BV5" s="1540"/>
      <c r="BW5" s="1540"/>
      <c r="BX5" s="1540"/>
      <c r="BY5" s="1540"/>
      <c r="BZ5" s="1540"/>
      <c r="CA5" s="1540"/>
      <c r="CB5" s="1540"/>
      <c r="CC5" s="1540"/>
      <c r="CD5" s="1540"/>
      <c r="CE5" s="1540"/>
      <c r="CF5" s="1540"/>
      <c r="CG5" s="1540"/>
      <c r="CH5" s="1540"/>
      <c r="CI5" s="1540"/>
      <c r="CJ5" s="1540"/>
      <c r="CK5" s="1540"/>
      <c r="CL5" s="1540"/>
      <c r="CM5" s="1540"/>
      <c r="CN5" s="1540"/>
      <c r="CO5" s="1540"/>
      <c r="CP5" s="1540"/>
      <c r="CQ5" s="1540"/>
      <c r="CR5" s="1540"/>
      <c r="CS5" s="1540"/>
      <c r="CT5" s="1540"/>
      <c r="CU5" s="1540"/>
      <c r="CV5" s="1540"/>
      <c r="CW5" s="1540"/>
      <c r="CX5" s="1540"/>
      <c r="CY5" s="1540"/>
      <c r="CZ5" s="1540"/>
      <c r="DA5" s="1540"/>
      <c r="DB5" s="1540"/>
      <c r="DC5" s="1540"/>
      <c r="DD5" s="1540"/>
      <c r="DE5" s="1540"/>
      <c r="DF5" s="1540"/>
      <c r="DG5" s="1540"/>
      <c r="DH5" s="1540"/>
      <c r="DI5" s="1540"/>
      <c r="DJ5" s="1540"/>
      <c r="DK5" s="1540"/>
      <c r="DL5" s="1540"/>
      <c r="DM5" s="1540"/>
      <c r="DN5" s="1540"/>
      <c r="DO5" s="1540"/>
      <c r="DP5" s="1540"/>
      <c r="DQ5" s="1540"/>
      <c r="DR5" s="1540"/>
      <c r="DS5" s="1540"/>
      <c r="DT5" s="1540"/>
      <c r="DU5" s="1540"/>
    </row>
    <row r="6" spans="1:125" s="1629" customFormat="1">
      <c r="A6" s="1540"/>
      <c r="B6" s="1198"/>
      <c r="C6" s="1198"/>
      <c r="D6" s="1199"/>
      <c r="E6" s="1199"/>
      <c r="F6" s="1199"/>
      <c r="G6" s="1199"/>
      <c r="H6" s="2756" t="s">
        <v>1413</v>
      </c>
      <c r="I6" s="2719"/>
      <c r="J6" s="913"/>
      <c r="K6" s="1635"/>
      <c r="L6" s="1430"/>
      <c r="M6" s="1430"/>
      <c r="N6" s="1430"/>
      <c r="O6" s="1635"/>
      <c r="P6" s="1635"/>
      <c r="Q6" s="1540"/>
      <c r="R6" s="1540"/>
      <c r="S6" s="1540"/>
      <c r="T6" s="1540"/>
      <c r="U6" s="1540"/>
      <c r="V6" s="1540"/>
      <c r="W6" s="1540"/>
      <c r="X6" s="1540"/>
      <c r="Y6" s="1540"/>
      <c r="Z6" s="1540"/>
      <c r="AA6" s="1540"/>
      <c r="AB6" s="1540"/>
      <c r="AC6" s="1540"/>
      <c r="AD6" s="1540"/>
      <c r="AE6" s="1540"/>
      <c r="AF6" s="1540"/>
      <c r="AG6" s="1540"/>
      <c r="AH6" s="1540"/>
      <c r="AI6" s="1540"/>
      <c r="AJ6" s="1540"/>
      <c r="AK6" s="1540"/>
      <c r="AL6" s="1540"/>
      <c r="AM6" s="1540"/>
      <c r="AN6" s="1540"/>
      <c r="AO6" s="1540"/>
      <c r="AP6" s="1540"/>
      <c r="AQ6" s="1540"/>
      <c r="AR6" s="1540"/>
      <c r="AS6" s="1540"/>
      <c r="AT6" s="1540"/>
      <c r="AU6" s="1540"/>
      <c r="AV6" s="1540"/>
      <c r="AW6" s="1540"/>
      <c r="AX6" s="1540"/>
      <c r="AY6" s="1540"/>
      <c r="AZ6" s="1540"/>
      <c r="BA6" s="1540"/>
      <c r="BB6" s="1540"/>
      <c r="BC6" s="1540"/>
      <c r="BD6" s="1540"/>
      <c r="BE6" s="1540"/>
      <c r="BF6" s="1540"/>
      <c r="BG6" s="1540"/>
      <c r="BH6" s="1540"/>
      <c r="BI6" s="1540"/>
      <c r="BJ6" s="1540"/>
      <c r="BK6" s="1540"/>
      <c r="BL6" s="1540"/>
      <c r="BM6" s="1540"/>
      <c r="BN6" s="1540"/>
      <c r="BO6" s="1540"/>
      <c r="BP6" s="1540"/>
      <c r="BQ6" s="1540"/>
      <c r="BR6" s="1540"/>
      <c r="BS6" s="1540"/>
      <c r="BT6" s="1540"/>
      <c r="BU6" s="1540"/>
      <c r="BV6" s="1540"/>
      <c r="BW6" s="1540"/>
      <c r="BX6" s="1540"/>
      <c r="BY6" s="1540"/>
      <c r="BZ6" s="1540"/>
      <c r="CA6" s="1540"/>
      <c r="CB6" s="1540"/>
      <c r="CC6" s="1540"/>
      <c r="CD6" s="1540"/>
      <c r="CE6" s="1540"/>
      <c r="CF6" s="1540"/>
      <c r="CG6" s="1540"/>
      <c r="CH6" s="1540"/>
      <c r="CI6" s="1540"/>
      <c r="CJ6" s="1540"/>
      <c r="CK6" s="1540"/>
      <c r="CL6" s="1540"/>
      <c r="CM6" s="1540"/>
      <c r="CN6" s="1540"/>
      <c r="CO6" s="1540"/>
      <c r="CP6" s="1540"/>
      <c r="CQ6" s="1540"/>
      <c r="CR6" s="1540"/>
      <c r="CS6" s="1540"/>
      <c r="CT6" s="1540"/>
      <c r="CU6" s="1540"/>
      <c r="CV6" s="1540"/>
      <c r="CW6" s="1540"/>
      <c r="CX6" s="1540"/>
      <c r="CY6" s="1540"/>
      <c r="CZ6" s="1540"/>
      <c r="DA6" s="1540"/>
      <c r="DB6" s="1540"/>
      <c r="DC6" s="1540"/>
      <c r="DD6" s="1540"/>
      <c r="DE6" s="1540"/>
      <c r="DF6" s="1540"/>
      <c r="DG6" s="1540"/>
      <c r="DH6" s="1540"/>
      <c r="DI6" s="1540"/>
      <c r="DJ6" s="1540"/>
      <c r="DK6" s="1540"/>
      <c r="DL6" s="1540"/>
      <c r="DM6" s="1540"/>
      <c r="DN6" s="1540"/>
      <c r="DO6" s="1540"/>
      <c r="DP6" s="1540"/>
      <c r="DQ6" s="1540"/>
      <c r="DR6" s="1540"/>
      <c r="DS6" s="1540"/>
      <c r="DT6" s="1540"/>
      <c r="DU6" s="1540"/>
    </row>
    <row r="7" spans="1:125">
      <c r="B7" s="2768"/>
      <c r="C7" s="2768"/>
      <c r="D7" s="2768"/>
      <c r="E7" s="2768"/>
      <c r="F7" s="2768"/>
      <c r="G7" s="2768"/>
      <c r="H7" s="2719"/>
      <c r="I7" s="2719"/>
      <c r="J7" s="890"/>
      <c r="L7" s="1430"/>
      <c r="M7" s="1430"/>
      <c r="N7" s="1430"/>
      <c r="Q7" s="795"/>
      <c r="R7" s="795"/>
      <c r="S7" s="795"/>
      <c r="T7" s="795"/>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c r="AT7" s="795"/>
      <c r="AU7" s="795"/>
      <c r="AV7" s="795"/>
      <c r="AW7" s="795"/>
      <c r="AX7" s="795"/>
      <c r="AY7" s="795"/>
      <c r="AZ7" s="795"/>
      <c r="BA7" s="795"/>
      <c r="BB7" s="795"/>
      <c r="BC7" s="795"/>
      <c r="BD7" s="795"/>
      <c r="BE7" s="795"/>
      <c r="BF7" s="795"/>
      <c r="BG7" s="795"/>
      <c r="BH7" s="795"/>
      <c r="BI7" s="795"/>
      <c r="BJ7" s="795"/>
      <c r="BK7" s="795"/>
      <c r="BL7" s="795"/>
      <c r="BM7" s="795"/>
      <c r="BN7" s="795"/>
      <c r="BO7" s="795"/>
      <c r="BP7" s="795"/>
      <c r="BQ7" s="795"/>
      <c r="BR7" s="795"/>
      <c r="BS7" s="795"/>
      <c r="BT7" s="795"/>
      <c r="BU7" s="795"/>
      <c r="BV7" s="795"/>
      <c r="BW7" s="795"/>
      <c r="BX7" s="795"/>
      <c r="BY7" s="795"/>
      <c r="BZ7" s="795"/>
      <c r="CA7" s="795"/>
      <c r="CB7" s="795"/>
      <c r="CC7" s="795"/>
      <c r="CD7" s="795"/>
      <c r="CE7" s="795"/>
      <c r="CF7" s="795"/>
      <c r="CG7" s="795"/>
      <c r="CH7" s="795"/>
      <c r="CI7" s="795"/>
      <c r="CJ7" s="795"/>
      <c r="CK7" s="795"/>
      <c r="CL7" s="795"/>
      <c r="CM7" s="795"/>
      <c r="CN7" s="795"/>
      <c r="CO7" s="795"/>
      <c r="CP7" s="795"/>
      <c r="CQ7" s="795"/>
      <c r="CR7" s="795"/>
      <c r="CS7" s="795"/>
      <c r="CT7" s="795"/>
      <c r="CU7" s="795"/>
      <c r="CV7" s="795"/>
      <c r="CW7" s="795"/>
      <c r="CX7" s="795"/>
      <c r="CY7" s="795"/>
      <c r="CZ7" s="795"/>
      <c r="DA7" s="795"/>
      <c r="DB7" s="795"/>
      <c r="DC7" s="795"/>
      <c r="DD7" s="795"/>
      <c r="DE7" s="795"/>
      <c r="DF7" s="795"/>
      <c r="DG7" s="795"/>
      <c r="DH7" s="795"/>
      <c r="DI7" s="795"/>
      <c r="DJ7" s="795"/>
      <c r="DK7" s="795"/>
      <c r="DL7" s="795"/>
      <c r="DM7" s="795"/>
      <c r="DN7" s="795"/>
      <c r="DO7" s="795"/>
      <c r="DP7" s="795"/>
      <c r="DQ7" s="795"/>
      <c r="DR7" s="795"/>
      <c r="DS7" s="795"/>
      <c r="DT7" s="795"/>
      <c r="DU7" s="795"/>
    </row>
    <row r="8" spans="1:125">
      <c r="A8" s="1430"/>
      <c r="B8" s="1148" t="s">
        <v>1414</v>
      </c>
      <c r="C8" s="1169"/>
      <c r="D8" s="1170"/>
      <c r="E8" s="1170"/>
      <c r="F8" s="1170"/>
      <c r="G8" s="1170"/>
      <c r="H8" s="2719"/>
      <c r="I8" s="2719"/>
      <c r="J8" s="890"/>
      <c r="K8" s="1430"/>
      <c r="L8" s="1430"/>
      <c r="M8" s="1430"/>
      <c r="N8" s="1430"/>
      <c r="O8" s="1430"/>
      <c r="P8" s="1430"/>
      <c r="Q8" s="1430"/>
      <c r="R8" s="1430"/>
      <c r="S8" s="1430"/>
      <c r="T8" s="1430"/>
      <c r="U8" s="1430"/>
      <c r="V8" s="1430"/>
      <c r="W8" s="1430"/>
      <c r="X8" s="1430"/>
      <c r="Y8" s="1430"/>
      <c r="Z8" s="1430"/>
      <c r="AA8" s="1430"/>
      <c r="AB8" s="1430"/>
      <c r="AC8" s="1430"/>
      <c r="AD8" s="1430"/>
      <c r="AE8" s="1430"/>
      <c r="AF8" s="1430"/>
      <c r="AG8" s="1430"/>
      <c r="AH8" s="1430"/>
      <c r="AI8" s="1430"/>
      <c r="AJ8" s="1430"/>
      <c r="AK8" s="1430"/>
      <c r="AL8" s="1430"/>
      <c r="AM8" s="1430"/>
      <c r="AN8" s="1430"/>
      <c r="AO8" s="1430"/>
      <c r="AP8" s="1430"/>
      <c r="AQ8" s="1430"/>
      <c r="AR8" s="1430"/>
      <c r="AS8" s="1430"/>
      <c r="AT8" s="1430"/>
      <c r="AU8" s="1430"/>
      <c r="AV8" s="1430"/>
      <c r="AW8" s="1430"/>
      <c r="AX8" s="1430"/>
      <c r="AY8" s="1430"/>
      <c r="AZ8" s="1430"/>
      <c r="BA8" s="1430"/>
    </row>
    <row r="9" spans="1:125" ht="29.25" customHeight="1">
      <c r="A9" s="1430"/>
      <c r="B9" s="2673" t="s">
        <v>1463</v>
      </c>
      <c r="C9" s="2673"/>
      <c r="D9" s="2673"/>
      <c r="E9" s="2673"/>
      <c r="F9" s="2673"/>
      <c r="G9" s="2673"/>
      <c r="H9" s="1529"/>
      <c r="I9" s="1529"/>
      <c r="J9" s="1530"/>
      <c r="K9" s="1430"/>
      <c r="L9" s="1430"/>
      <c r="M9" s="1430"/>
      <c r="N9" s="1430"/>
      <c r="O9" s="1430"/>
      <c r="P9" s="1430"/>
      <c r="Q9" s="1430"/>
      <c r="R9" s="1430"/>
      <c r="S9" s="1430"/>
      <c r="T9" s="1430"/>
      <c r="U9" s="1430"/>
      <c r="V9" s="1430"/>
      <c r="W9" s="1430"/>
      <c r="X9" s="1430"/>
      <c r="Y9" s="1430"/>
      <c r="Z9" s="1430"/>
      <c r="AA9" s="1430"/>
      <c r="AB9" s="1430"/>
      <c r="AC9" s="1430"/>
      <c r="AD9" s="1430"/>
      <c r="AE9" s="1430"/>
      <c r="AF9" s="1430"/>
      <c r="AG9" s="1430"/>
      <c r="AH9" s="1430"/>
      <c r="AI9" s="1430"/>
      <c r="AJ9" s="1430"/>
      <c r="AK9" s="1430"/>
      <c r="AL9" s="1430"/>
      <c r="AM9" s="1430"/>
      <c r="AN9" s="1430"/>
      <c r="AO9" s="1430"/>
      <c r="AP9" s="1430"/>
      <c r="AQ9" s="1430"/>
      <c r="AR9" s="1430"/>
      <c r="AS9" s="1430"/>
      <c r="AT9" s="1430"/>
      <c r="AU9" s="1430"/>
      <c r="AV9" s="1430"/>
      <c r="AW9" s="1430"/>
      <c r="AX9" s="1430"/>
      <c r="AY9" s="1430"/>
      <c r="AZ9" s="1430"/>
      <c r="BA9" s="1430"/>
      <c r="BB9" s="1430"/>
    </row>
    <row r="10" spans="1:125" ht="29.25" customHeight="1">
      <c r="A10" s="1430"/>
      <c r="B10" s="2673"/>
      <c r="C10" s="2673"/>
      <c r="D10" s="2673"/>
      <c r="E10" s="2673"/>
      <c r="F10" s="2673"/>
      <c r="G10" s="2673"/>
      <c r="H10" s="1529"/>
      <c r="I10" s="1529"/>
      <c r="J10" s="1530"/>
      <c r="K10" s="1430"/>
      <c r="L10" s="1430"/>
      <c r="M10" s="1430"/>
      <c r="N10" s="1430"/>
      <c r="O10" s="1430"/>
      <c r="P10" s="1430"/>
      <c r="Q10" s="1430"/>
      <c r="R10" s="1430"/>
      <c r="S10" s="1430"/>
      <c r="T10" s="1430"/>
      <c r="U10" s="1430"/>
      <c r="V10" s="1430"/>
      <c r="W10" s="1430"/>
      <c r="X10" s="1430"/>
      <c r="Y10" s="1430"/>
      <c r="Z10" s="1430"/>
      <c r="AA10" s="1430"/>
      <c r="AB10" s="1430"/>
      <c r="AC10" s="1430"/>
      <c r="AD10" s="1430"/>
      <c r="AE10" s="1430"/>
      <c r="AF10" s="1430"/>
      <c r="AG10" s="1430"/>
      <c r="AH10" s="1430"/>
      <c r="AI10" s="1430"/>
      <c r="AJ10" s="1430"/>
      <c r="AK10" s="1430"/>
      <c r="AL10" s="1430"/>
      <c r="AM10" s="1430"/>
      <c r="AN10" s="1430"/>
      <c r="AO10" s="1430"/>
      <c r="AP10" s="1430"/>
      <c r="AQ10" s="1430"/>
      <c r="AR10" s="1430"/>
      <c r="AS10" s="1430"/>
      <c r="AT10" s="1430"/>
      <c r="AU10" s="1430"/>
      <c r="AV10" s="1430"/>
      <c r="AW10" s="1430"/>
      <c r="AX10" s="1430"/>
      <c r="AY10" s="1430"/>
      <c r="AZ10" s="1430"/>
      <c r="BA10" s="1430"/>
    </row>
    <row r="11" spans="1:125">
      <c r="A11" s="1430"/>
      <c r="B11" s="1170"/>
      <c r="C11" s="1169"/>
      <c r="D11" s="1170"/>
      <c r="E11" s="1170"/>
      <c r="F11" s="1170"/>
      <c r="G11" s="1170"/>
      <c r="H11" s="1529"/>
      <c r="I11" s="1529"/>
      <c r="J11" s="1530"/>
      <c r="K11" s="1324"/>
      <c r="O11" s="1324"/>
      <c r="P11" s="1324"/>
    </row>
    <row r="12" spans="1:125">
      <c r="A12" s="1430"/>
      <c r="B12" s="1148" t="s">
        <v>1416</v>
      </c>
      <c r="C12" s="1169"/>
      <c r="D12" s="1170"/>
      <c r="E12" s="1170"/>
      <c r="F12" s="1170"/>
      <c r="G12" s="1170"/>
      <c r="H12" s="1529"/>
      <c r="I12" s="1529"/>
      <c r="J12" s="1530"/>
      <c r="K12" s="1324"/>
      <c r="O12" s="1324"/>
      <c r="P12" s="1324"/>
    </row>
    <row r="13" spans="1:125">
      <c r="A13" s="1430"/>
      <c r="B13" s="1170" t="s">
        <v>1417</v>
      </c>
      <c r="C13" s="1169"/>
      <c r="D13" s="1170"/>
      <c r="E13" s="1170"/>
      <c r="F13" s="1170"/>
      <c r="G13" s="1170"/>
      <c r="H13" s="1529"/>
      <c r="I13" s="1529"/>
      <c r="J13" s="1529"/>
      <c r="K13" s="1324"/>
      <c r="O13" s="1324"/>
      <c r="P13" s="1324"/>
    </row>
    <row r="14" spans="1:125">
      <c r="A14" s="1430"/>
      <c r="B14" s="1171" t="s">
        <v>1466</v>
      </c>
      <c r="C14" s="1169"/>
      <c r="D14" s="1170"/>
      <c r="E14" s="1170"/>
      <c r="F14" s="1170"/>
      <c r="G14" s="1170"/>
      <c r="H14" s="1529"/>
      <c r="I14" s="1529"/>
      <c r="J14" s="1529"/>
      <c r="K14" s="1324"/>
      <c r="O14" s="1324"/>
      <c r="P14" s="1324"/>
    </row>
    <row r="15" spans="1:125">
      <c r="A15" s="1430"/>
      <c r="B15" s="1171" t="s">
        <v>1548</v>
      </c>
      <c r="C15" s="1169"/>
      <c r="D15" s="1170"/>
      <c r="E15" s="1170"/>
      <c r="F15" s="1170"/>
      <c r="G15" s="1170"/>
      <c r="H15" s="1529"/>
      <c r="I15" s="1529"/>
      <c r="J15" s="1529"/>
      <c r="K15" s="1324"/>
      <c r="O15" s="1324"/>
      <c r="P15" s="1324"/>
    </row>
    <row r="16" spans="1:125">
      <c r="A16" s="1430"/>
      <c r="B16" s="1170"/>
      <c r="C16" s="1169"/>
      <c r="D16" s="1170"/>
      <c r="E16" s="1170"/>
      <c r="F16" s="1170"/>
      <c r="G16" s="1170"/>
      <c r="H16" s="1529"/>
      <c r="I16" s="1529"/>
      <c r="J16" s="1529"/>
      <c r="K16" s="1324"/>
      <c r="O16" s="1324"/>
      <c r="P16" s="1324"/>
    </row>
    <row r="17" spans="1:17">
      <c r="A17" s="1430"/>
      <c r="B17" s="1148" t="s">
        <v>1420</v>
      </c>
      <c r="C17" s="1169"/>
      <c r="D17" s="1170"/>
      <c r="E17" s="1170"/>
      <c r="F17" s="1170"/>
      <c r="G17" s="1170"/>
      <c r="H17" s="1529"/>
      <c r="I17" s="1529"/>
      <c r="J17" s="1529"/>
      <c r="K17" s="1324"/>
      <c r="O17" s="1324"/>
      <c r="P17" s="1324"/>
    </row>
    <row r="18" spans="1:17" ht="39.75" customHeight="1">
      <c r="A18" s="1430"/>
      <c r="B18" s="2673" t="s">
        <v>1549</v>
      </c>
      <c r="C18" s="2673"/>
      <c r="D18" s="2673"/>
      <c r="E18" s="2673"/>
      <c r="F18" s="2673"/>
      <c r="G18" s="2673"/>
      <c r="H18" s="1529"/>
      <c r="I18" s="1529"/>
      <c r="J18" s="1529"/>
      <c r="K18" s="1324"/>
      <c r="O18" s="1324"/>
      <c r="P18" s="1324"/>
    </row>
    <row r="19" spans="1:17" ht="57" customHeight="1">
      <c r="A19" s="1430"/>
      <c r="B19" s="2673" t="s">
        <v>1550</v>
      </c>
      <c r="C19" s="2673"/>
      <c r="D19" s="2673"/>
      <c r="E19" s="2673"/>
      <c r="F19" s="2673"/>
      <c r="G19" s="2673"/>
      <c r="H19" s="1529"/>
      <c r="I19" s="1529"/>
      <c r="J19" s="1529"/>
      <c r="K19" s="1324"/>
      <c r="O19" s="1324"/>
      <c r="P19" s="1324"/>
    </row>
    <row r="20" spans="1:17" ht="52.5" customHeight="1">
      <c r="A20" s="1430"/>
      <c r="B20" s="2673" t="s">
        <v>1484</v>
      </c>
      <c r="C20" s="2673"/>
      <c r="D20" s="2673"/>
      <c r="E20" s="2673"/>
      <c r="F20" s="2673"/>
      <c r="G20" s="2673"/>
      <c r="H20" s="1529"/>
      <c r="I20" s="1529"/>
      <c r="J20" s="1529"/>
      <c r="K20" s="1324"/>
      <c r="O20" s="1324"/>
      <c r="P20" s="1324"/>
    </row>
    <row r="21" spans="1:17" ht="18" customHeight="1">
      <c r="A21" s="1430"/>
      <c r="B21" s="2743" t="s">
        <v>1486</v>
      </c>
      <c r="C21" s="2743"/>
      <c r="D21" s="2743"/>
      <c r="E21" s="2743"/>
      <c r="F21" s="2743"/>
      <c r="G21" s="2743"/>
      <c r="H21" s="1529"/>
      <c r="I21" s="1529"/>
      <c r="J21" s="1529"/>
      <c r="K21" s="1528"/>
      <c r="O21" s="1528"/>
      <c r="P21" s="1528"/>
    </row>
    <row r="22" spans="1:17" ht="80.25" customHeight="1">
      <c r="A22" s="1430"/>
      <c r="B22" s="2716" t="s">
        <v>1551</v>
      </c>
      <c r="C22" s="2744"/>
      <c r="D22" s="2744"/>
      <c r="E22" s="2744"/>
      <c r="F22" s="2744"/>
      <c r="G22" s="2744"/>
      <c r="H22" s="1529"/>
      <c r="I22" s="1529"/>
      <c r="J22" s="1529"/>
      <c r="K22" s="1528"/>
      <c r="L22" s="1528"/>
      <c r="M22" s="1528"/>
      <c r="N22" s="1528"/>
      <c r="O22" s="1528"/>
      <c r="P22" s="1528"/>
    </row>
    <row r="23" spans="1:17" s="1526" customFormat="1" ht="80.099999999999994" customHeight="1">
      <c r="A23" s="1527"/>
      <c r="B23" s="1391" t="s">
        <v>1425</v>
      </c>
      <c r="C23" s="1339"/>
      <c r="D23" s="1339"/>
      <c r="E23" s="1339"/>
      <c r="F23" s="1339" t="s">
        <v>1433</v>
      </c>
      <c r="G23" s="1342" t="s">
        <v>1434</v>
      </c>
      <c r="H23" s="1155" t="s">
        <v>1435</v>
      </c>
      <c r="I23" s="1626"/>
      <c r="J23" s="1626"/>
      <c r="K23" s="1626"/>
      <c r="L23" s="1579"/>
      <c r="M23" s="1579"/>
      <c r="N23" s="1579"/>
    </row>
    <row r="24" spans="1:17" ht="330.75" customHeight="1">
      <c r="A24" s="1426"/>
      <c r="B24" s="2680" t="s">
        <v>2161</v>
      </c>
      <c r="C24" s="2694"/>
      <c r="D24" s="2694"/>
      <c r="E24" s="2733"/>
      <c r="F24" s="1366"/>
      <c r="G24" s="1359"/>
      <c r="H24" s="1343"/>
      <c r="K24" s="1324"/>
      <c r="L24" s="1528"/>
      <c r="M24" s="1528"/>
      <c r="N24" s="1528"/>
      <c r="O24" s="1324"/>
      <c r="P24" s="1324"/>
    </row>
    <row r="25" spans="1:17" ht="80.099999999999994" customHeight="1">
      <c r="A25" s="1430"/>
      <c r="B25" s="2667" t="s">
        <v>1552</v>
      </c>
      <c r="C25" s="2667"/>
      <c r="D25" s="2769"/>
      <c r="E25" s="2769"/>
      <c r="F25" s="1342" t="s">
        <v>2160</v>
      </c>
      <c r="G25" s="1339" t="s">
        <v>1434</v>
      </c>
      <c r="H25" s="1155" t="s">
        <v>1435</v>
      </c>
      <c r="I25" s="1155" t="s">
        <v>1436</v>
      </c>
      <c r="J25" s="1339" t="s">
        <v>1437</v>
      </c>
      <c r="L25" s="1528"/>
      <c r="M25" s="1528"/>
      <c r="N25" s="1528"/>
    </row>
    <row r="26" spans="1:17" s="1561" customFormat="1" ht="25.5" customHeight="1">
      <c r="A26" s="1565"/>
      <c r="B26" s="2770" t="s">
        <v>1553</v>
      </c>
      <c r="C26" s="2771"/>
      <c r="D26" s="2771"/>
      <c r="E26" s="1179" t="s">
        <v>1496</v>
      </c>
      <c r="F26" s="919"/>
      <c r="G26" s="2735"/>
      <c r="H26" s="896"/>
      <c r="I26" s="1011"/>
      <c r="J26" s="1390"/>
      <c r="K26" s="1562"/>
      <c r="L26" s="1324"/>
      <c r="M26" s="1324"/>
      <c r="N26" s="1324"/>
      <c r="O26" s="1562"/>
      <c r="P26" s="1645"/>
      <c r="Q26" s="1559"/>
    </row>
    <row r="27" spans="1:17" s="1561" customFormat="1" ht="45">
      <c r="A27" s="1565"/>
      <c r="B27" s="1567" t="s">
        <v>1520</v>
      </c>
      <c r="C27" s="1376"/>
      <c r="D27" s="1566"/>
      <c r="E27" s="1181" t="s">
        <v>1497</v>
      </c>
      <c r="F27" s="919"/>
      <c r="G27" s="2736"/>
      <c r="H27" s="896"/>
      <c r="I27" s="1011"/>
      <c r="J27" s="1390"/>
      <c r="K27" s="1562"/>
      <c r="L27" s="1172" t="s">
        <v>1467</v>
      </c>
      <c r="M27" s="1173" t="s">
        <v>1468</v>
      </c>
      <c r="N27" s="1172" t="s">
        <v>1469</v>
      </c>
      <c r="O27" s="1562"/>
      <c r="P27" s="1645"/>
      <c r="Q27" s="1559"/>
    </row>
    <row r="28" spans="1:17" s="1561" customFormat="1">
      <c r="A28" s="1565"/>
      <c r="B28" s="1567" t="s">
        <v>1521</v>
      </c>
      <c r="C28" s="1376"/>
      <c r="D28" s="1566"/>
      <c r="E28" s="1181" t="s">
        <v>1498</v>
      </c>
      <c r="F28" s="1376"/>
      <c r="G28" s="2736"/>
      <c r="H28" s="896"/>
      <c r="I28" s="1011"/>
      <c r="J28" s="1390"/>
      <c r="K28" s="1562"/>
      <c r="L28" s="1174" t="s">
        <v>1471</v>
      </c>
      <c r="M28" s="1175">
        <v>5</v>
      </c>
      <c r="N28" s="1174" t="s">
        <v>1472</v>
      </c>
      <c r="O28" s="1562"/>
      <c r="P28" s="1645"/>
      <c r="Q28" s="1559"/>
    </row>
    <row r="29" spans="1:17" s="1561" customFormat="1">
      <c r="A29" s="1565"/>
      <c r="B29" s="1185" t="s">
        <v>2159</v>
      </c>
      <c r="C29" s="1376"/>
      <c r="D29" s="1566"/>
      <c r="E29" s="1181" t="s">
        <v>1499</v>
      </c>
      <c r="F29" s="902"/>
      <c r="G29" s="2736"/>
      <c r="H29" s="920"/>
      <c r="I29" s="1011"/>
      <c r="J29" s="1390"/>
      <c r="K29" s="1562"/>
      <c r="L29" s="1174" t="s">
        <v>1474</v>
      </c>
      <c r="M29" s="1176">
        <v>5.6</v>
      </c>
      <c r="N29" s="1174" t="s">
        <v>1475</v>
      </c>
      <c r="O29" s="1562"/>
      <c r="P29" s="1645"/>
      <c r="Q29" s="1559"/>
    </row>
    <row r="30" spans="1:17" s="1561" customFormat="1" ht="25.5">
      <c r="A30" s="1565"/>
      <c r="B30" s="1192" t="s">
        <v>2132</v>
      </c>
      <c r="C30" s="1376"/>
      <c r="D30" s="1566"/>
      <c r="E30" s="1181" t="s">
        <v>1500</v>
      </c>
      <c r="F30" s="896"/>
      <c r="G30" s="2736"/>
      <c r="H30" s="920"/>
      <c r="I30" s="1011"/>
      <c r="J30" s="903"/>
      <c r="K30" s="1562"/>
      <c r="L30" s="1174" t="s">
        <v>1476</v>
      </c>
      <c r="M30" s="1176">
        <v>3.4</v>
      </c>
      <c r="N30" s="1174" t="s">
        <v>1477</v>
      </c>
      <c r="O30" s="1562"/>
      <c r="P30" s="1645"/>
      <c r="Q30" s="1559"/>
    </row>
    <row r="31" spans="1:17" s="1561" customFormat="1">
      <c r="A31" s="1565"/>
      <c r="B31" s="1182"/>
      <c r="C31" s="1564"/>
      <c r="D31" s="1564"/>
      <c r="E31" s="1563"/>
      <c r="F31" s="1376"/>
      <c r="G31" s="2736"/>
      <c r="H31" s="920"/>
      <c r="I31" s="1011"/>
      <c r="J31" s="1390"/>
      <c r="K31" s="1562"/>
      <c r="L31" s="1174" t="s">
        <v>1478</v>
      </c>
      <c r="M31" s="1176">
        <v>3.4</v>
      </c>
      <c r="N31" s="1174" t="s">
        <v>1477</v>
      </c>
      <c r="O31" s="1562"/>
      <c r="P31" s="1562"/>
      <c r="Q31" s="1559"/>
    </row>
    <row r="32" spans="1:17" s="1561" customFormat="1" ht="27" customHeight="1">
      <c r="A32" s="1565"/>
      <c r="B32" s="2752" t="s">
        <v>2158</v>
      </c>
      <c r="C32" s="2765"/>
      <c r="D32" s="2753"/>
      <c r="E32" s="1184" t="s">
        <v>1502</v>
      </c>
      <c r="F32" s="1376"/>
      <c r="G32" s="2737"/>
      <c r="H32" s="920"/>
      <c r="I32" s="1011"/>
      <c r="J32" s="1390"/>
      <c r="K32" s="1562"/>
      <c r="L32" s="1177" t="s">
        <v>1480</v>
      </c>
      <c r="M32" s="1175">
        <v>3.2</v>
      </c>
      <c r="N32" s="1174" t="s">
        <v>1477</v>
      </c>
      <c r="O32" s="1562"/>
      <c r="P32" s="1562"/>
      <c r="Q32" s="1559"/>
    </row>
    <row r="33" spans="1:18" s="1562" customFormat="1" ht="80.099999999999994" customHeight="1">
      <c r="B33" s="2742" t="s">
        <v>1426</v>
      </c>
      <c r="C33" s="2742"/>
      <c r="D33" s="2741" t="s">
        <v>1504</v>
      </c>
      <c r="E33" s="2741"/>
      <c r="F33" s="1342" t="s">
        <v>1554</v>
      </c>
      <c r="G33" s="1342" t="s">
        <v>1493</v>
      </c>
      <c r="H33" s="1155" t="s">
        <v>1435</v>
      </c>
      <c r="I33" s="1155" t="s">
        <v>1436</v>
      </c>
      <c r="J33" s="1187"/>
      <c r="L33" s="1177" t="s">
        <v>1482</v>
      </c>
      <c r="M33" s="1175" t="s">
        <v>1483</v>
      </c>
      <c r="N33" s="1174" t="s">
        <v>1477</v>
      </c>
    </row>
    <row r="34" spans="1:18" s="1561" customFormat="1" ht="120" customHeight="1">
      <c r="A34" s="1574"/>
      <c r="B34" s="2676" t="str">
        <f>IF('Project Info'!C4='Project Info'!P32,'Prescriptive Path Checklist'!C27,IF('Project Info'!C4='Project Info'!P33,#REF!,"&lt;Select compliance path on the 'Project Info' tab&gt;"))</f>
        <v>Assembly U-value determinations must follow ASHRAE 90.1-2010, Appendix A.
See Tables 2 and 3 for climate specific envelope requirements for the following components: roof insulation; above grade and below grade wall insulation; floor and slab insulation; exterior doors; and vertical glazing.</v>
      </c>
      <c r="C34" s="2676"/>
      <c r="D34" s="2700">
        <f>ERMs!B27</f>
        <v>0</v>
      </c>
      <c r="E34" s="2702"/>
      <c r="F34" s="1388"/>
      <c r="G34" s="1388"/>
      <c r="H34" s="1343"/>
      <c r="I34" s="910"/>
      <c r="J34" s="1341"/>
      <c r="K34" s="1562"/>
      <c r="O34" s="1559"/>
      <c r="P34" s="1559"/>
      <c r="Q34" s="1558"/>
      <c r="R34" s="1559"/>
    </row>
    <row r="35" spans="1:18" s="1561" customFormat="1">
      <c r="A35" s="1565"/>
      <c r="B35" s="1644"/>
      <c r="C35" s="1642"/>
      <c r="D35" s="1642"/>
      <c r="E35" s="1643"/>
      <c r="F35" s="1641"/>
      <c r="G35" s="1642"/>
      <c r="H35" s="1641"/>
      <c r="I35" s="1641"/>
      <c r="J35" s="1640"/>
      <c r="K35" s="1562"/>
      <c r="O35" s="1559"/>
      <c r="P35" s="1559"/>
      <c r="Q35" s="1558"/>
      <c r="R35" s="1559"/>
    </row>
    <row r="36" spans="1:18" s="1561" customFormat="1">
      <c r="A36" s="1565"/>
      <c r="B36" s="1639" t="s">
        <v>2157</v>
      </c>
      <c r="C36" s="1568"/>
      <c r="D36" s="1568"/>
      <c r="E36" s="1179" t="s">
        <v>1496</v>
      </c>
      <c r="F36" s="919"/>
      <c r="G36" s="2735"/>
      <c r="H36" s="896"/>
      <c r="I36" s="1011"/>
      <c r="J36" s="1390"/>
      <c r="K36" s="1562"/>
      <c r="O36" s="1559"/>
      <c r="P36" s="1559"/>
      <c r="Q36" s="1558"/>
      <c r="R36" s="1559"/>
    </row>
    <row r="37" spans="1:18" s="1561" customFormat="1">
      <c r="A37" s="1565"/>
      <c r="B37" s="1567" t="s">
        <v>1520</v>
      </c>
      <c r="C37" s="1376"/>
      <c r="D37" s="1566"/>
      <c r="E37" s="1181" t="s">
        <v>1497</v>
      </c>
      <c r="F37" s="919"/>
      <c r="G37" s="2736"/>
      <c r="H37" s="896"/>
      <c r="I37" s="1011"/>
      <c r="J37" s="1390"/>
      <c r="K37" s="1562"/>
      <c r="O37" s="1559"/>
      <c r="P37" s="1559"/>
      <c r="Q37" s="1558"/>
      <c r="R37" s="1559"/>
    </row>
    <row r="38" spans="1:18" s="1561" customFormat="1">
      <c r="A38" s="1565"/>
      <c r="B38" s="1567" t="s">
        <v>1521</v>
      </c>
      <c r="C38" s="1376"/>
      <c r="D38" s="1566"/>
      <c r="E38" s="1181" t="s">
        <v>1498</v>
      </c>
      <c r="F38" s="1376"/>
      <c r="G38" s="2736"/>
      <c r="H38" s="896"/>
      <c r="I38" s="1011"/>
      <c r="J38" s="1390"/>
      <c r="K38" s="1562"/>
      <c r="O38" s="1559"/>
      <c r="P38" s="1559"/>
      <c r="Q38" s="1558"/>
      <c r="R38" s="1559"/>
    </row>
    <row r="39" spans="1:18" s="1561" customFormat="1">
      <c r="A39" s="1574"/>
      <c r="B39" s="1185" t="s">
        <v>2156</v>
      </c>
      <c r="C39" s="1376"/>
      <c r="D39" s="1566"/>
      <c r="E39" s="1181" t="s">
        <v>1499</v>
      </c>
      <c r="F39" s="902"/>
      <c r="G39" s="2736"/>
      <c r="H39" s="920"/>
      <c r="I39" s="1011"/>
      <c r="J39" s="1390"/>
      <c r="K39" s="1562"/>
      <c r="O39" s="1559"/>
      <c r="P39" s="1559"/>
      <c r="Q39" s="1558"/>
      <c r="R39" s="1559"/>
    </row>
    <row r="40" spans="1:18" s="1561" customFormat="1" ht="25.5">
      <c r="A40" s="1565"/>
      <c r="B40" s="1192" t="s">
        <v>2132</v>
      </c>
      <c r="C40" s="1376"/>
      <c r="D40" s="1566"/>
      <c r="E40" s="1181" t="s">
        <v>1500</v>
      </c>
      <c r="F40" s="896"/>
      <c r="G40" s="2736"/>
      <c r="H40" s="920"/>
      <c r="I40" s="1011"/>
      <c r="J40" s="903"/>
      <c r="K40" s="1562"/>
      <c r="O40" s="1559"/>
      <c r="P40" s="1559"/>
      <c r="Q40" s="1558"/>
      <c r="R40" s="1559"/>
    </row>
    <row r="41" spans="1:18">
      <c r="A41" s="1430"/>
      <c r="B41" s="1182"/>
      <c r="C41" s="1564"/>
      <c r="D41" s="1564"/>
      <c r="E41" s="1563"/>
      <c r="F41" s="1376"/>
      <c r="G41" s="2736"/>
      <c r="H41" s="920"/>
      <c r="I41" s="1011"/>
      <c r="J41" s="1390"/>
      <c r="L41" s="1528"/>
      <c r="M41" s="1528"/>
      <c r="N41" s="1528"/>
      <c r="O41" s="1528"/>
      <c r="P41" s="1528"/>
      <c r="Q41" s="1528"/>
      <c r="R41" s="1528"/>
    </row>
    <row r="42" spans="1:18" ht="14.25">
      <c r="A42" s="1553"/>
      <c r="B42" s="2752" t="s">
        <v>1555</v>
      </c>
      <c r="C42" s="2765"/>
      <c r="D42" s="2753"/>
      <c r="E42" s="1184" t="s">
        <v>1502</v>
      </c>
      <c r="F42" s="1376"/>
      <c r="G42" s="2737"/>
      <c r="H42" s="920"/>
      <c r="I42" s="1011"/>
      <c r="J42" s="1390"/>
      <c r="L42" s="1557"/>
      <c r="M42" s="1557"/>
      <c r="N42" s="1557"/>
      <c r="O42" s="1557"/>
      <c r="P42" s="1557"/>
      <c r="Q42" s="1528"/>
      <c r="R42" s="1528"/>
    </row>
    <row r="43" spans="1:18" s="1561" customFormat="1" ht="80.099999999999994" customHeight="1">
      <c r="A43" s="1565"/>
      <c r="B43" s="2742" t="s">
        <v>1426</v>
      </c>
      <c r="C43" s="2742"/>
      <c r="D43" s="2741" t="s">
        <v>1504</v>
      </c>
      <c r="E43" s="2741"/>
      <c r="F43" s="1342" t="s">
        <v>1556</v>
      </c>
      <c r="G43" s="1342" t="s">
        <v>1493</v>
      </c>
      <c r="H43" s="1155" t="s">
        <v>1435</v>
      </c>
      <c r="I43" s="1155" t="s">
        <v>1436</v>
      </c>
      <c r="J43" s="1569"/>
      <c r="K43" s="1562"/>
      <c r="O43" s="1559"/>
      <c r="P43" s="1559"/>
      <c r="Q43" s="1558"/>
      <c r="R43" s="1559"/>
    </row>
    <row r="44" spans="1:18" s="1561" customFormat="1" ht="120" customHeight="1">
      <c r="A44" s="1574"/>
      <c r="B44" s="2676" t="str">
        <f>IF('Project Info'!C4='Project Info'!P32,'Prescriptive Path Checklist'!C27,IF('Project Info'!C4='Project Info'!P33,#REF!,"&lt;Select compliance path on the 'Project Info' tab&gt;"))</f>
        <v>Assembly U-value determinations must follow ASHRAE 90.1-2010, Appendix A.
See Tables 2 and 3 for climate specific envelope requirements for the following components: roof insulation; above grade and below grade wall insulation; floor and slab insulation; exterior doors; and vertical glazing.</v>
      </c>
      <c r="C44" s="2676"/>
      <c r="D44" s="2700">
        <f>ERMs!B28</f>
        <v>0</v>
      </c>
      <c r="E44" s="2702"/>
      <c r="F44" s="1388"/>
      <c r="G44" s="1388"/>
      <c r="H44" s="1343"/>
      <c r="I44" s="910"/>
      <c r="J44" s="1341"/>
      <c r="K44" s="1562"/>
      <c r="O44" s="1559"/>
      <c r="P44" s="1559"/>
      <c r="Q44" s="1558"/>
      <c r="R44" s="1559"/>
    </row>
    <row r="45" spans="1:18" s="1561" customFormat="1">
      <c r="A45" s="1565"/>
      <c r="B45" s="1644"/>
      <c r="C45" s="1642"/>
      <c r="D45" s="1642"/>
      <c r="E45" s="1643"/>
      <c r="F45" s="1641"/>
      <c r="G45" s="1642"/>
      <c r="H45" s="1641"/>
      <c r="I45" s="1641"/>
      <c r="J45" s="1640"/>
      <c r="K45" s="1562"/>
      <c r="O45" s="1559"/>
      <c r="P45" s="1559"/>
      <c r="Q45" s="1558"/>
      <c r="R45" s="1559"/>
    </row>
    <row r="46" spans="1:18" s="1561" customFormat="1">
      <c r="A46" s="1565"/>
      <c r="B46" s="1639" t="s">
        <v>1557</v>
      </c>
      <c r="C46" s="1568"/>
      <c r="D46" s="1568"/>
      <c r="E46" s="1179" t="s">
        <v>1496</v>
      </c>
      <c r="F46" s="919"/>
      <c r="G46" s="2735"/>
      <c r="H46" s="896"/>
      <c r="I46" s="1011"/>
      <c r="J46" s="1390"/>
      <c r="K46" s="1562"/>
      <c r="O46" s="1559"/>
      <c r="P46" s="1559"/>
      <c r="Q46" s="1558"/>
      <c r="R46" s="1559"/>
    </row>
    <row r="47" spans="1:18" s="1561" customFormat="1">
      <c r="A47" s="1565"/>
      <c r="B47" s="1567" t="s">
        <v>1520</v>
      </c>
      <c r="C47" s="1376"/>
      <c r="D47" s="1566"/>
      <c r="E47" s="1181" t="s">
        <v>1497</v>
      </c>
      <c r="F47" s="919"/>
      <c r="G47" s="2736"/>
      <c r="H47" s="896"/>
      <c r="I47" s="1011"/>
      <c r="J47" s="1390"/>
      <c r="K47" s="1562"/>
      <c r="O47" s="1559"/>
      <c r="P47" s="1559"/>
      <c r="Q47" s="1558"/>
      <c r="R47" s="1559"/>
    </row>
    <row r="48" spans="1:18" s="1561" customFormat="1">
      <c r="A48" s="1565"/>
      <c r="B48" s="1567" t="s">
        <v>1521</v>
      </c>
      <c r="C48" s="1376"/>
      <c r="D48" s="1566"/>
      <c r="E48" s="1181" t="s">
        <v>1498</v>
      </c>
      <c r="F48" s="1376"/>
      <c r="G48" s="2736"/>
      <c r="H48" s="896"/>
      <c r="I48" s="1011"/>
      <c r="J48" s="1390"/>
      <c r="K48" s="1562"/>
      <c r="O48" s="1559"/>
      <c r="P48" s="1559"/>
      <c r="Q48" s="1558"/>
      <c r="R48" s="1559"/>
    </row>
    <row r="49" spans="1:18" s="1561" customFormat="1">
      <c r="A49" s="1574"/>
      <c r="B49" s="1185" t="s">
        <v>2153</v>
      </c>
      <c r="C49" s="1376"/>
      <c r="D49" s="1566"/>
      <c r="E49" s="1181" t="s">
        <v>1499</v>
      </c>
      <c r="F49" s="902"/>
      <c r="G49" s="2736"/>
      <c r="H49" s="896"/>
      <c r="I49" s="1011"/>
      <c r="J49" s="1390"/>
      <c r="K49" s="1562"/>
      <c r="O49" s="1559"/>
      <c r="P49" s="1559"/>
      <c r="Q49" s="1558"/>
      <c r="R49" s="1559"/>
    </row>
    <row r="50" spans="1:18" s="1561" customFormat="1" ht="25.5">
      <c r="A50" s="1565"/>
      <c r="B50" s="1192" t="s">
        <v>2132</v>
      </c>
      <c r="C50" s="1376"/>
      <c r="D50" s="1566"/>
      <c r="E50" s="1181" t="s">
        <v>1500</v>
      </c>
      <c r="F50" s="896"/>
      <c r="G50" s="2736"/>
      <c r="H50" s="896"/>
      <c r="I50" s="1011"/>
      <c r="J50" s="903"/>
      <c r="K50" s="1562"/>
      <c r="O50" s="1559"/>
      <c r="P50" s="1559"/>
      <c r="Q50" s="1558"/>
      <c r="R50" s="1559"/>
    </row>
    <row r="51" spans="1:18">
      <c r="A51" s="1430"/>
      <c r="B51" s="1182"/>
      <c r="C51" s="1564"/>
      <c r="D51" s="1564"/>
      <c r="E51" s="1563"/>
      <c r="F51" s="1376"/>
      <c r="G51" s="2736"/>
      <c r="H51" s="896"/>
      <c r="I51" s="1011"/>
      <c r="J51" s="1390"/>
      <c r="L51" s="1528"/>
      <c r="M51" s="1528"/>
      <c r="N51" s="1528"/>
      <c r="O51" s="1528"/>
      <c r="P51" s="1528"/>
      <c r="Q51" s="1528"/>
      <c r="R51" s="1528"/>
    </row>
    <row r="52" spans="1:18" ht="14.25">
      <c r="A52" s="1553"/>
      <c r="B52" s="2752" t="s">
        <v>1558</v>
      </c>
      <c r="C52" s="2765"/>
      <c r="D52" s="2753"/>
      <c r="E52" s="1184" t="s">
        <v>1502</v>
      </c>
      <c r="F52" s="1376"/>
      <c r="G52" s="2737"/>
      <c r="H52" s="896"/>
      <c r="I52" s="1011"/>
      <c r="J52" s="1390"/>
      <c r="L52" s="1557"/>
      <c r="M52" s="1557"/>
      <c r="N52" s="1557"/>
      <c r="O52" s="1557"/>
      <c r="P52" s="1557"/>
      <c r="Q52" s="1528"/>
      <c r="R52" s="1528"/>
    </row>
    <row r="53" spans="1:18" s="1561" customFormat="1" ht="80.099999999999994" customHeight="1">
      <c r="A53" s="1565"/>
      <c r="B53" s="2742" t="s">
        <v>1426</v>
      </c>
      <c r="C53" s="2742"/>
      <c r="D53" s="2741" t="s">
        <v>1504</v>
      </c>
      <c r="E53" s="2741"/>
      <c r="F53" s="1342" t="s">
        <v>2155</v>
      </c>
      <c r="G53" s="1342" t="s">
        <v>1493</v>
      </c>
      <c r="H53" s="1155" t="s">
        <v>1435</v>
      </c>
      <c r="I53" s="1155" t="s">
        <v>1436</v>
      </c>
      <c r="J53" s="1569"/>
      <c r="K53" s="1562"/>
      <c r="O53" s="1559"/>
      <c r="P53" s="1559"/>
      <c r="Q53" s="1558"/>
      <c r="R53" s="1559"/>
    </row>
    <row r="54" spans="1:18" s="1561" customFormat="1" ht="120" customHeight="1">
      <c r="A54" s="1574"/>
      <c r="B54" s="2676" t="str">
        <f>IF('Project Info'!C4='Project Info'!P32,'Prescriptive Path Checklist'!C27,IF('Project Info'!C4='Project Info'!P33,#REF!,"&lt;Select compliance path on the 'Project Info' tab&gt;"))</f>
        <v>Assembly U-value determinations must follow ASHRAE 90.1-2010, Appendix A.
See Tables 2 and 3 for climate specific envelope requirements for the following components: roof insulation; above grade and below grade wall insulation; floor and slab insulation; exterior doors; and vertical glazing.</v>
      </c>
      <c r="C54" s="2676"/>
      <c r="D54" s="2700">
        <f>ERMs!B29</f>
        <v>0</v>
      </c>
      <c r="E54" s="2702"/>
      <c r="F54" s="1388"/>
      <c r="G54" s="1388"/>
      <c r="H54" s="1343"/>
      <c r="I54" s="910"/>
      <c r="J54" s="1341"/>
      <c r="K54" s="1562"/>
      <c r="O54" s="1559"/>
      <c r="P54" s="1559"/>
      <c r="Q54" s="1558"/>
      <c r="R54" s="1559"/>
    </row>
    <row r="55" spans="1:18" s="1561" customFormat="1">
      <c r="A55" s="1565"/>
      <c r="B55" s="1644"/>
      <c r="C55" s="1642"/>
      <c r="D55" s="1642"/>
      <c r="E55" s="1643"/>
      <c r="F55" s="1641"/>
      <c r="G55" s="1642"/>
      <c r="H55" s="1641"/>
      <c r="I55" s="1641"/>
      <c r="J55" s="1640"/>
      <c r="K55" s="1562"/>
      <c r="O55" s="1559"/>
      <c r="P55" s="1559"/>
      <c r="Q55" s="1558"/>
      <c r="R55" s="1559"/>
    </row>
    <row r="56" spans="1:18" s="1561" customFormat="1">
      <c r="A56" s="1565"/>
      <c r="B56" s="1639" t="s">
        <v>2154</v>
      </c>
      <c r="C56" s="1568"/>
      <c r="D56" s="1568"/>
      <c r="E56" s="1179" t="s">
        <v>1496</v>
      </c>
      <c r="F56" s="919"/>
      <c r="G56" s="2735"/>
      <c r="H56" s="896"/>
      <c r="I56" s="1011"/>
      <c r="J56" s="1390"/>
      <c r="K56" s="1562"/>
      <c r="O56" s="1559"/>
      <c r="P56" s="1559"/>
      <c r="Q56" s="1558"/>
      <c r="R56" s="1559"/>
    </row>
    <row r="57" spans="1:18" s="1561" customFormat="1">
      <c r="A57" s="1565"/>
      <c r="B57" s="1567" t="s">
        <v>1520</v>
      </c>
      <c r="C57" s="1376"/>
      <c r="D57" s="1566"/>
      <c r="E57" s="1181" t="s">
        <v>1497</v>
      </c>
      <c r="F57" s="919"/>
      <c r="G57" s="2736"/>
      <c r="H57" s="896"/>
      <c r="I57" s="1011"/>
      <c r="J57" s="1390"/>
      <c r="K57" s="1562"/>
      <c r="O57" s="1559"/>
      <c r="P57" s="1559"/>
      <c r="Q57" s="1558"/>
      <c r="R57" s="1559"/>
    </row>
    <row r="58" spans="1:18" s="1561" customFormat="1">
      <c r="A58" s="1565"/>
      <c r="B58" s="1567" t="s">
        <v>1521</v>
      </c>
      <c r="C58" s="1376"/>
      <c r="D58" s="1566"/>
      <c r="E58" s="1181" t="s">
        <v>1498</v>
      </c>
      <c r="F58" s="1376"/>
      <c r="G58" s="2736"/>
      <c r="H58" s="896"/>
      <c r="I58" s="1011"/>
      <c r="J58" s="1390"/>
      <c r="K58" s="1562"/>
      <c r="O58" s="1559"/>
      <c r="P58" s="1559"/>
      <c r="Q58" s="1558"/>
      <c r="R58" s="1559"/>
    </row>
    <row r="59" spans="1:18" s="1561" customFormat="1">
      <c r="A59" s="1574"/>
      <c r="B59" s="1185" t="s">
        <v>2153</v>
      </c>
      <c r="C59" s="1376"/>
      <c r="D59" s="1566"/>
      <c r="E59" s="1181" t="s">
        <v>1499</v>
      </c>
      <c r="F59" s="902"/>
      <c r="G59" s="2736"/>
      <c r="H59" s="896"/>
      <c r="I59" s="1011"/>
      <c r="J59" s="1390"/>
      <c r="K59" s="1562"/>
      <c r="O59" s="1559"/>
      <c r="P59" s="1559"/>
      <c r="Q59" s="1558"/>
      <c r="R59" s="1559"/>
    </row>
    <row r="60" spans="1:18" s="1561" customFormat="1" ht="25.5">
      <c r="A60" s="1565"/>
      <c r="B60" s="1192" t="s">
        <v>2132</v>
      </c>
      <c r="C60" s="1376"/>
      <c r="D60" s="1566"/>
      <c r="E60" s="1181" t="s">
        <v>1500</v>
      </c>
      <c r="F60" s="896"/>
      <c r="G60" s="2736"/>
      <c r="H60" s="896"/>
      <c r="I60" s="1011"/>
      <c r="J60" s="903"/>
      <c r="K60" s="1562"/>
      <c r="O60" s="1559"/>
      <c r="P60" s="1559"/>
      <c r="Q60" s="1558"/>
      <c r="R60" s="1559"/>
    </row>
    <row r="61" spans="1:18">
      <c r="A61" s="1430"/>
      <c r="B61" s="1182"/>
      <c r="C61" s="1564"/>
      <c r="D61" s="1564"/>
      <c r="E61" s="1563"/>
      <c r="F61" s="1376"/>
      <c r="G61" s="2736"/>
      <c r="H61" s="896"/>
      <c r="I61" s="1011"/>
      <c r="J61" s="1390"/>
      <c r="L61" s="1528"/>
      <c r="M61" s="1528"/>
      <c r="N61" s="1528"/>
      <c r="O61" s="1528"/>
      <c r="P61" s="1528"/>
      <c r="Q61" s="1528"/>
      <c r="R61" s="1528"/>
    </row>
    <row r="62" spans="1:18" ht="14.25">
      <c r="A62" s="1553"/>
      <c r="B62" s="2752" t="s">
        <v>2152</v>
      </c>
      <c r="C62" s="2765"/>
      <c r="D62" s="2753"/>
      <c r="E62" s="1184" t="s">
        <v>1502</v>
      </c>
      <c r="F62" s="1376"/>
      <c r="G62" s="2737"/>
      <c r="H62" s="896"/>
      <c r="I62" s="1011"/>
      <c r="J62" s="1390"/>
      <c r="L62" s="1557"/>
      <c r="M62" s="1557"/>
      <c r="N62" s="1557"/>
      <c r="O62" s="1557"/>
      <c r="P62" s="1557"/>
      <c r="Q62" s="1528"/>
      <c r="R62" s="1528"/>
    </row>
    <row r="63" spans="1:18" s="1561" customFormat="1" ht="80.099999999999994" customHeight="1">
      <c r="A63" s="1565"/>
      <c r="B63" s="2742" t="s">
        <v>1426</v>
      </c>
      <c r="C63" s="2742"/>
      <c r="D63" s="2741" t="s">
        <v>1504</v>
      </c>
      <c r="E63" s="2741"/>
      <c r="F63" s="1342" t="s">
        <v>2151</v>
      </c>
      <c r="G63" s="1342" t="s">
        <v>1493</v>
      </c>
      <c r="H63" s="1155" t="s">
        <v>1435</v>
      </c>
      <c r="I63" s="1155" t="s">
        <v>1436</v>
      </c>
      <c r="J63" s="1187"/>
      <c r="K63" s="1562"/>
      <c r="O63" s="1559"/>
      <c r="P63" s="1559"/>
      <c r="Q63" s="1558"/>
      <c r="R63" s="1559"/>
    </row>
    <row r="64" spans="1:18" s="1561" customFormat="1" ht="120" customHeight="1">
      <c r="A64" s="1574"/>
      <c r="B64" s="2676" t="str">
        <f>IF('Project Info'!C4='Project Info'!P32,'Prescriptive Path Checklist'!C27,IF('Project Info'!C4='Project Info'!P33,#REF!,"&lt;Select compliance path on the 'Project Info' tab&gt;"))</f>
        <v>Assembly U-value determinations must follow ASHRAE 90.1-2010, Appendix A.
See Tables 2 and 3 for climate specific envelope requirements for the following components: roof insulation; above grade and below grade wall insulation; floor and slab insulation; exterior doors; and vertical glazing.</v>
      </c>
      <c r="C64" s="2676"/>
      <c r="D64" s="2700">
        <f>ERMs!B30</f>
        <v>0</v>
      </c>
      <c r="E64" s="2702"/>
      <c r="F64" s="1388"/>
      <c r="G64" s="1388"/>
      <c r="H64" s="1343"/>
      <c r="I64" s="910"/>
      <c r="J64" s="1341"/>
      <c r="K64" s="1562"/>
      <c r="O64" s="1559"/>
      <c r="P64" s="1559"/>
      <c r="Q64" s="1558"/>
      <c r="R64" s="1559"/>
    </row>
    <row r="65" spans="1:18" s="1561" customFormat="1">
      <c r="A65" s="1565"/>
      <c r="B65" s="1573"/>
      <c r="C65" s="1571"/>
      <c r="D65" s="1571"/>
      <c r="E65" s="1572"/>
      <c r="F65" s="1570"/>
      <c r="G65" s="1571"/>
      <c r="H65" s="1570"/>
      <c r="I65" s="1570"/>
      <c r="J65" s="1569"/>
      <c r="K65" s="1562"/>
      <c r="O65" s="1559"/>
      <c r="P65" s="1559"/>
      <c r="Q65" s="1558"/>
      <c r="R65" s="1559"/>
    </row>
    <row r="66" spans="1:18" s="1561" customFormat="1" ht="80.099999999999994" customHeight="1">
      <c r="A66" s="1565"/>
      <c r="B66" s="2710" t="s">
        <v>1439</v>
      </c>
      <c r="C66" s="2710"/>
      <c r="D66" s="2710" t="s">
        <v>1426</v>
      </c>
      <c r="E66" s="2710"/>
      <c r="F66" s="1339" t="s">
        <v>1559</v>
      </c>
      <c r="G66" s="1342" t="s">
        <v>1434</v>
      </c>
      <c r="H66" s="1155" t="s">
        <v>1435</v>
      </c>
      <c r="I66" s="1155" t="s">
        <v>1436</v>
      </c>
      <c r="J66" s="1147" t="s">
        <v>1560</v>
      </c>
      <c r="K66" s="1562"/>
      <c r="O66" s="1559"/>
      <c r="P66" s="1559"/>
      <c r="Q66" s="1558"/>
      <c r="R66" s="1559"/>
    </row>
    <row r="67" spans="1:18" s="1561" customFormat="1" ht="72" customHeight="1">
      <c r="A67" s="1565"/>
      <c r="B67" s="2757" t="s">
        <v>1545</v>
      </c>
      <c r="C67" s="2758"/>
      <c r="D67" s="2758"/>
      <c r="E67" s="2759"/>
      <c r="F67" s="1388"/>
      <c r="G67" s="1388"/>
      <c r="H67" s="1343"/>
      <c r="I67" s="910"/>
      <c r="J67" s="1386"/>
      <c r="K67" s="1562"/>
      <c r="O67" s="1559"/>
      <c r="P67" s="1559"/>
      <c r="Q67" s="1558"/>
      <c r="R67" s="1559"/>
    </row>
    <row r="68" spans="1:18" s="1561" customFormat="1" ht="144" customHeight="1">
      <c r="A68" s="1565"/>
      <c r="B68" s="2693" t="s">
        <v>1561</v>
      </c>
      <c r="C68" s="2699"/>
      <c r="D68" s="2766" t="str">
        <f>IF('Project Info'!C4='Project Info'!P32,'Prescriptive Path Checklist'!C37,IF('Project Info'!C4='Project Info'!P33,#REF!,"&lt;Select compliance path on the 'Project Info' tab&gt;"))</f>
        <v>The envelope components must comply with ASHRAE 90.1-2010 Sections 5.4.
All roof, wall, floor and slab insulation shall achieve RESNET-defined Grade I installation or, alternatively, Grade II for surfaces that contain a layer of continuous, air impermeable insulation (≥R-3 in CZ1-4 and ≥R-5 in CZ 5-8).</v>
      </c>
      <c r="E68" s="2767"/>
      <c r="F68" s="1388"/>
      <c r="G68" s="1388"/>
      <c r="H68" s="1343"/>
      <c r="I68" s="1383"/>
      <c r="J68" s="1383"/>
      <c r="K68" s="1562"/>
      <c r="O68" s="1559"/>
      <c r="P68" s="1559"/>
      <c r="Q68" s="1558"/>
      <c r="R68" s="1559"/>
    </row>
    <row r="69" spans="1:18" s="1561" customFormat="1" ht="132" customHeight="1">
      <c r="A69" s="1574"/>
      <c r="B69" s="2693" t="s">
        <v>1562</v>
      </c>
      <c r="C69" s="2699"/>
      <c r="D69" s="2748"/>
      <c r="E69" s="2749"/>
      <c r="F69" s="1388"/>
      <c r="G69" s="1388"/>
      <c r="H69" s="1343"/>
      <c r="I69" s="1383"/>
      <c r="J69" s="1383"/>
      <c r="K69" s="1562"/>
      <c r="O69" s="1559"/>
      <c r="P69" s="1559"/>
      <c r="Q69" s="1558"/>
      <c r="R69" s="1559"/>
    </row>
    <row r="70" spans="1:18" s="1561" customFormat="1" ht="276" customHeight="1">
      <c r="A70" s="1565"/>
      <c r="B70" s="2693" t="s">
        <v>2150</v>
      </c>
      <c r="C70" s="2699"/>
      <c r="D70" s="2748"/>
      <c r="E70" s="2749"/>
      <c r="F70" s="1388"/>
      <c r="G70" s="1388"/>
      <c r="H70" s="1343"/>
      <c r="I70" s="1383"/>
      <c r="J70" s="1383"/>
      <c r="K70" s="1562"/>
      <c r="O70" s="1559"/>
      <c r="P70" s="1559"/>
      <c r="Q70" s="1558"/>
      <c r="R70" s="1559"/>
    </row>
    <row r="71" spans="1:18" ht="276" customHeight="1">
      <c r="A71" s="1430"/>
      <c r="B71" s="2693" t="s">
        <v>2149</v>
      </c>
      <c r="C71" s="2772"/>
      <c r="D71" s="2750"/>
      <c r="E71" s="2751"/>
      <c r="F71" s="1388"/>
      <c r="G71" s="1388"/>
      <c r="H71" s="1343"/>
      <c r="I71" s="1383"/>
      <c r="J71" s="1383"/>
      <c r="L71" s="1528"/>
      <c r="M71" s="1528"/>
      <c r="N71" s="1528"/>
      <c r="O71" s="1528"/>
      <c r="P71" s="1528"/>
      <c r="Q71" s="1528"/>
      <c r="R71" s="1528"/>
    </row>
    <row r="72" spans="1:18" ht="54.75" customHeight="1">
      <c r="A72" s="1525"/>
      <c r="B72" s="2680" t="s">
        <v>2129</v>
      </c>
      <c r="C72" s="2681"/>
      <c r="D72" s="2681"/>
      <c r="E72" s="2738"/>
      <c r="F72" s="1388"/>
      <c r="G72" s="1388"/>
      <c r="H72" s="1343"/>
      <c r="I72" s="1383"/>
      <c r="J72" s="1383"/>
      <c r="O72" s="1528"/>
      <c r="P72" s="1528"/>
      <c r="Q72" s="1528"/>
    </row>
    <row r="73" spans="1:18" s="1561" customFormat="1" ht="32.25" customHeight="1">
      <c r="A73" s="1565"/>
      <c r="B73" s="2680" t="s">
        <v>1508</v>
      </c>
      <c r="C73" s="2681"/>
      <c r="D73" s="2681"/>
      <c r="E73" s="2681"/>
      <c r="F73" s="2681"/>
      <c r="G73" s="2681"/>
      <c r="H73" s="2681"/>
      <c r="I73" s="1383"/>
      <c r="J73" s="1383"/>
      <c r="K73" s="1562"/>
      <c r="O73" s="1559"/>
      <c r="P73" s="1559"/>
      <c r="Q73" s="1558"/>
      <c r="R73" s="1559"/>
    </row>
    <row r="74" spans="1:18" s="1526" customFormat="1" ht="33.75" customHeight="1">
      <c r="A74" s="1527"/>
      <c r="B74" s="2673" t="s">
        <v>1509</v>
      </c>
      <c r="C74" s="2673"/>
      <c r="D74" s="2673"/>
      <c r="E74" s="2673"/>
      <c r="F74" s="2673"/>
      <c r="G74" s="2673"/>
      <c r="H74" s="2673"/>
      <c r="I74" s="2673"/>
      <c r="J74" s="2673"/>
      <c r="K74" s="1626"/>
      <c r="L74" s="1528"/>
      <c r="M74" s="1528"/>
      <c r="N74" s="1528"/>
      <c r="O74" s="1626"/>
      <c r="P74" s="1626"/>
    </row>
    <row r="75" spans="1:18" ht="212.25" customHeight="1">
      <c r="K75" s="1630"/>
      <c r="O75" s="1630"/>
      <c r="P75" s="1630"/>
    </row>
    <row r="76" spans="1:18" ht="282" customHeight="1">
      <c r="A76" s="1525"/>
      <c r="O76" s="1528"/>
      <c r="P76" s="1528"/>
      <c r="Q76" s="1528"/>
    </row>
    <row r="77" spans="1:18" ht="194.25" customHeight="1">
      <c r="A77" s="1553"/>
      <c r="O77" s="1528"/>
      <c r="P77" s="1528"/>
      <c r="Q77" s="1528"/>
    </row>
    <row r="78" spans="1:18" ht="274.5" customHeight="1">
      <c r="A78" s="1525"/>
      <c r="C78" s="1524"/>
      <c r="O78" s="1528"/>
      <c r="P78" s="1528"/>
      <c r="Q78" s="1528"/>
    </row>
    <row r="79" spans="1:18" ht="139.5" customHeight="1">
      <c r="A79" s="1525"/>
      <c r="C79" s="1524"/>
      <c r="O79" s="1528"/>
      <c r="P79" s="1528"/>
      <c r="Q79" s="1528"/>
    </row>
    <row r="80" spans="1:18" ht="41.25" customHeight="1">
      <c r="A80" s="1430"/>
      <c r="C80" s="1524"/>
      <c r="K80" s="1556"/>
      <c r="O80" s="1528"/>
      <c r="P80" s="1528"/>
      <c r="Q80" s="1528"/>
    </row>
    <row r="81" spans="1:17" ht="30" customHeight="1">
      <c r="A81" s="1525"/>
      <c r="O81" s="1528"/>
      <c r="P81" s="1528"/>
      <c r="Q81" s="1528"/>
    </row>
    <row r="82" spans="1:17" ht="30" customHeight="1">
      <c r="A82" s="1553"/>
      <c r="O82" s="1528"/>
      <c r="P82" s="1528"/>
      <c r="Q82" s="1528"/>
    </row>
    <row r="83" spans="1:17">
      <c r="K83" s="1638"/>
    </row>
    <row r="84" spans="1:17">
      <c r="K84" s="1638"/>
    </row>
    <row r="85" spans="1:17">
      <c r="K85" s="1637"/>
      <c r="O85" s="1324"/>
      <c r="P85" s="1324"/>
    </row>
    <row r="86" spans="1:17">
      <c r="K86" s="1324"/>
      <c r="O86" s="1324"/>
      <c r="P86" s="1324"/>
    </row>
    <row r="87" spans="1:17">
      <c r="K87" s="1324"/>
      <c r="O87" s="1324"/>
      <c r="P87" s="1324"/>
      <c r="Q87" s="1426" t="s">
        <v>362</v>
      </c>
    </row>
    <row r="88" spans="1:17">
      <c r="K88" s="1324"/>
      <c r="O88" s="1324"/>
      <c r="P88" s="1324"/>
      <c r="Q88" s="1426" t="s">
        <v>364</v>
      </c>
    </row>
    <row r="89" spans="1:17">
      <c r="Q89" s="1426" t="s">
        <v>363</v>
      </c>
    </row>
    <row r="203" spans="2:2" ht="18">
      <c r="B203" s="794"/>
    </row>
  </sheetData>
  <sheetProtection formatCells="0" formatColumns="0" formatRows="0" insertColumns="0" insertRows="0"/>
  <mergeCells count="50">
    <mergeCell ref="B68:C68"/>
    <mergeCell ref="B71:C71"/>
    <mergeCell ref="B70:C70"/>
    <mergeCell ref="B67:E67"/>
    <mergeCell ref="D43:E43"/>
    <mergeCell ref="D44:E44"/>
    <mergeCell ref="D53:E53"/>
    <mergeCell ref="D54:E54"/>
    <mergeCell ref="D63:E63"/>
    <mergeCell ref="D64:E64"/>
    <mergeCell ref="B74:J74"/>
    <mergeCell ref="B73:H73"/>
    <mergeCell ref="B20:G20"/>
    <mergeCell ref="B25:E25"/>
    <mergeCell ref="B42:D42"/>
    <mergeCell ref="B52:D52"/>
    <mergeCell ref="B72:E72"/>
    <mergeCell ref="B63:C63"/>
    <mergeCell ref="G26:G32"/>
    <mergeCell ref="B26:D26"/>
    <mergeCell ref="B33:C33"/>
    <mergeCell ref="B34:C34"/>
    <mergeCell ref="B21:G21"/>
    <mergeCell ref="B22:G22"/>
    <mergeCell ref="B64:C64"/>
    <mergeCell ref="B66:C66"/>
    <mergeCell ref="H5:I5"/>
    <mergeCell ref="B10:G10"/>
    <mergeCell ref="B18:G18"/>
    <mergeCell ref="H6:I6"/>
    <mergeCell ref="H7:I7"/>
    <mergeCell ref="B7:G7"/>
    <mergeCell ref="H8:I8"/>
    <mergeCell ref="B9:G9"/>
    <mergeCell ref="B19:G19"/>
    <mergeCell ref="G46:G52"/>
    <mergeCell ref="B69:C69"/>
    <mergeCell ref="B24:E24"/>
    <mergeCell ref="B53:C53"/>
    <mergeCell ref="B54:C54"/>
    <mergeCell ref="G56:G62"/>
    <mergeCell ref="B62:D62"/>
    <mergeCell ref="B32:D32"/>
    <mergeCell ref="G36:G42"/>
    <mergeCell ref="B43:C43"/>
    <mergeCell ref="B44:C44"/>
    <mergeCell ref="D33:E33"/>
    <mergeCell ref="D34:E34"/>
    <mergeCell ref="D68:E71"/>
    <mergeCell ref="D66:E66"/>
  </mergeCells>
  <dataValidations count="1">
    <dataValidation type="list" allowBlank="1" showInputMessage="1" showErrorMessage="1" sqref="H65:I65 JD65:JE65 SZ65:TA65 ACV65:ACW65 AMR65:AMS65 AWN65:AWO65 BGJ65:BGK65 BQF65:BQG65 CAB65:CAC65 CJX65:CJY65 CTT65:CTU65 DDP65:DDQ65 DNL65:DNM65 DXH65:DXI65 EHD65:EHE65 EQZ65:ERA65 FAV65:FAW65 FKR65:FKS65 FUN65:FUO65 GEJ65:GEK65 GOF65:GOG65 GYB65:GYC65 HHX65:HHY65 HRT65:HRU65 IBP65:IBQ65 ILL65:ILM65 IVH65:IVI65 JFD65:JFE65 JOZ65:JPA65 JYV65:JYW65 KIR65:KIS65 KSN65:KSO65 LCJ65:LCK65 LMF65:LMG65 LWB65:LWC65 MFX65:MFY65 MPT65:MPU65 MZP65:MZQ65 NJL65:NJM65 NTH65:NTI65 ODD65:ODE65 OMZ65:ONA65 OWV65:OWW65 PGR65:PGS65 PQN65:PQO65 QAJ65:QAK65 QKF65:QKG65 QUB65:QUC65 RDX65:RDY65 RNT65:RNU65 RXP65:RXQ65 SHL65:SHM65 SRH65:SRI65 TBD65:TBE65 TKZ65:TLA65 TUV65:TUW65 UER65:UES65 UON65:UOO65 UYJ65:UYK65 VIF65:VIG65 VSB65:VSC65 WBX65:WBY65 WLT65:WLU65 WVP65:WVQ65 H65601:I65601 JD65601:JE65601 SZ65601:TA65601 ACV65601:ACW65601 AMR65601:AMS65601 AWN65601:AWO65601 BGJ65601:BGK65601 BQF65601:BQG65601 CAB65601:CAC65601 CJX65601:CJY65601 CTT65601:CTU65601 DDP65601:DDQ65601 DNL65601:DNM65601 DXH65601:DXI65601 EHD65601:EHE65601 EQZ65601:ERA65601 FAV65601:FAW65601 FKR65601:FKS65601 FUN65601:FUO65601 GEJ65601:GEK65601 GOF65601:GOG65601 GYB65601:GYC65601 HHX65601:HHY65601 HRT65601:HRU65601 IBP65601:IBQ65601 ILL65601:ILM65601 IVH65601:IVI65601 JFD65601:JFE65601 JOZ65601:JPA65601 JYV65601:JYW65601 KIR65601:KIS65601 KSN65601:KSO65601 LCJ65601:LCK65601 LMF65601:LMG65601 LWB65601:LWC65601 MFX65601:MFY65601 MPT65601:MPU65601 MZP65601:MZQ65601 NJL65601:NJM65601 NTH65601:NTI65601 ODD65601:ODE65601 OMZ65601:ONA65601 OWV65601:OWW65601 PGR65601:PGS65601 PQN65601:PQO65601 QAJ65601:QAK65601 QKF65601:QKG65601 QUB65601:QUC65601 RDX65601:RDY65601 RNT65601:RNU65601 RXP65601:RXQ65601 SHL65601:SHM65601 SRH65601:SRI65601 TBD65601:TBE65601 TKZ65601:TLA65601 TUV65601:TUW65601 UER65601:UES65601 UON65601:UOO65601 UYJ65601:UYK65601 VIF65601:VIG65601 VSB65601:VSC65601 WBX65601:WBY65601 WLT65601:WLU65601 WVP65601:WVQ65601 H131137:I131137 JD131137:JE131137 SZ131137:TA131137 ACV131137:ACW131137 AMR131137:AMS131137 AWN131137:AWO131137 BGJ131137:BGK131137 BQF131137:BQG131137 CAB131137:CAC131137 CJX131137:CJY131137 CTT131137:CTU131137 DDP131137:DDQ131137 DNL131137:DNM131137 DXH131137:DXI131137 EHD131137:EHE131137 EQZ131137:ERA131137 FAV131137:FAW131137 FKR131137:FKS131137 FUN131137:FUO131137 GEJ131137:GEK131137 GOF131137:GOG131137 GYB131137:GYC131137 HHX131137:HHY131137 HRT131137:HRU131137 IBP131137:IBQ131137 ILL131137:ILM131137 IVH131137:IVI131137 JFD131137:JFE131137 JOZ131137:JPA131137 JYV131137:JYW131137 KIR131137:KIS131137 KSN131137:KSO131137 LCJ131137:LCK131137 LMF131137:LMG131137 LWB131137:LWC131137 MFX131137:MFY131137 MPT131137:MPU131137 MZP131137:MZQ131137 NJL131137:NJM131137 NTH131137:NTI131137 ODD131137:ODE131137 OMZ131137:ONA131137 OWV131137:OWW131137 PGR131137:PGS131137 PQN131137:PQO131137 QAJ131137:QAK131137 QKF131137:QKG131137 QUB131137:QUC131137 RDX131137:RDY131137 RNT131137:RNU131137 RXP131137:RXQ131137 SHL131137:SHM131137 SRH131137:SRI131137 TBD131137:TBE131137 TKZ131137:TLA131137 TUV131137:TUW131137 UER131137:UES131137 UON131137:UOO131137 UYJ131137:UYK131137 VIF131137:VIG131137 VSB131137:VSC131137 WBX131137:WBY131137 WLT131137:WLU131137 WVP131137:WVQ131137 H196673:I196673 JD196673:JE196673 SZ196673:TA196673 ACV196673:ACW196673 AMR196673:AMS196673 AWN196673:AWO196673 BGJ196673:BGK196673 BQF196673:BQG196673 CAB196673:CAC196673 CJX196673:CJY196673 CTT196673:CTU196673 DDP196673:DDQ196673 DNL196673:DNM196673 DXH196673:DXI196673 EHD196673:EHE196673 EQZ196673:ERA196673 FAV196673:FAW196673 FKR196673:FKS196673 FUN196673:FUO196673 GEJ196673:GEK196673 GOF196673:GOG196673 GYB196673:GYC196673 HHX196673:HHY196673 HRT196673:HRU196673 IBP196673:IBQ196673 ILL196673:ILM196673 IVH196673:IVI196673 JFD196673:JFE196673 JOZ196673:JPA196673 JYV196673:JYW196673 KIR196673:KIS196673 KSN196673:KSO196673 LCJ196673:LCK196673 LMF196673:LMG196673 LWB196673:LWC196673 MFX196673:MFY196673 MPT196673:MPU196673 MZP196673:MZQ196673 NJL196673:NJM196673 NTH196673:NTI196673 ODD196673:ODE196673 OMZ196673:ONA196673 OWV196673:OWW196673 PGR196673:PGS196673 PQN196673:PQO196673 QAJ196673:QAK196673 QKF196673:QKG196673 QUB196673:QUC196673 RDX196673:RDY196673 RNT196673:RNU196673 RXP196673:RXQ196673 SHL196673:SHM196673 SRH196673:SRI196673 TBD196673:TBE196673 TKZ196673:TLA196673 TUV196673:TUW196673 UER196673:UES196673 UON196673:UOO196673 UYJ196673:UYK196673 VIF196673:VIG196673 VSB196673:VSC196673 WBX196673:WBY196673 WLT196673:WLU196673 WVP196673:WVQ196673 H262209:I262209 JD262209:JE262209 SZ262209:TA262209 ACV262209:ACW262209 AMR262209:AMS262209 AWN262209:AWO262209 BGJ262209:BGK262209 BQF262209:BQG262209 CAB262209:CAC262209 CJX262209:CJY262209 CTT262209:CTU262209 DDP262209:DDQ262209 DNL262209:DNM262209 DXH262209:DXI262209 EHD262209:EHE262209 EQZ262209:ERA262209 FAV262209:FAW262209 FKR262209:FKS262209 FUN262209:FUO262209 GEJ262209:GEK262209 GOF262209:GOG262209 GYB262209:GYC262209 HHX262209:HHY262209 HRT262209:HRU262209 IBP262209:IBQ262209 ILL262209:ILM262209 IVH262209:IVI262209 JFD262209:JFE262209 JOZ262209:JPA262209 JYV262209:JYW262209 KIR262209:KIS262209 KSN262209:KSO262209 LCJ262209:LCK262209 LMF262209:LMG262209 LWB262209:LWC262209 MFX262209:MFY262209 MPT262209:MPU262209 MZP262209:MZQ262209 NJL262209:NJM262209 NTH262209:NTI262209 ODD262209:ODE262209 OMZ262209:ONA262209 OWV262209:OWW262209 PGR262209:PGS262209 PQN262209:PQO262209 QAJ262209:QAK262209 QKF262209:QKG262209 QUB262209:QUC262209 RDX262209:RDY262209 RNT262209:RNU262209 RXP262209:RXQ262209 SHL262209:SHM262209 SRH262209:SRI262209 TBD262209:TBE262209 TKZ262209:TLA262209 TUV262209:TUW262209 UER262209:UES262209 UON262209:UOO262209 UYJ262209:UYK262209 VIF262209:VIG262209 VSB262209:VSC262209 WBX262209:WBY262209 WLT262209:WLU262209 WVP262209:WVQ262209 H327745:I327745 JD327745:JE327745 SZ327745:TA327745 ACV327745:ACW327745 AMR327745:AMS327745 AWN327745:AWO327745 BGJ327745:BGK327745 BQF327745:BQG327745 CAB327745:CAC327745 CJX327745:CJY327745 CTT327745:CTU327745 DDP327745:DDQ327745 DNL327745:DNM327745 DXH327745:DXI327745 EHD327745:EHE327745 EQZ327745:ERA327745 FAV327745:FAW327745 FKR327745:FKS327745 FUN327745:FUO327745 GEJ327745:GEK327745 GOF327745:GOG327745 GYB327745:GYC327745 HHX327745:HHY327745 HRT327745:HRU327745 IBP327745:IBQ327745 ILL327745:ILM327745 IVH327745:IVI327745 JFD327745:JFE327745 JOZ327745:JPA327745 JYV327745:JYW327745 KIR327745:KIS327745 KSN327745:KSO327745 LCJ327745:LCK327745 LMF327745:LMG327745 LWB327745:LWC327745 MFX327745:MFY327745 MPT327745:MPU327745 MZP327745:MZQ327745 NJL327745:NJM327745 NTH327745:NTI327745 ODD327745:ODE327745 OMZ327745:ONA327745 OWV327745:OWW327745 PGR327745:PGS327745 PQN327745:PQO327745 QAJ327745:QAK327745 QKF327745:QKG327745 QUB327745:QUC327745 RDX327745:RDY327745 RNT327745:RNU327745 RXP327745:RXQ327745 SHL327745:SHM327745 SRH327745:SRI327745 TBD327745:TBE327745 TKZ327745:TLA327745 TUV327745:TUW327745 UER327745:UES327745 UON327745:UOO327745 UYJ327745:UYK327745 VIF327745:VIG327745 VSB327745:VSC327745 WBX327745:WBY327745 WLT327745:WLU327745 WVP327745:WVQ327745 H393281:I393281 JD393281:JE393281 SZ393281:TA393281 ACV393281:ACW393281 AMR393281:AMS393281 AWN393281:AWO393281 BGJ393281:BGK393281 BQF393281:BQG393281 CAB393281:CAC393281 CJX393281:CJY393281 CTT393281:CTU393281 DDP393281:DDQ393281 DNL393281:DNM393281 DXH393281:DXI393281 EHD393281:EHE393281 EQZ393281:ERA393281 FAV393281:FAW393281 FKR393281:FKS393281 FUN393281:FUO393281 GEJ393281:GEK393281 GOF393281:GOG393281 GYB393281:GYC393281 HHX393281:HHY393281 HRT393281:HRU393281 IBP393281:IBQ393281 ILL393281:ILM393281 IVH393281:IVI393281 JFD393281:JFE393281 JOZ393281:JPA393281 JYV393281:JYW393281 KIR393281:KIS393281 KSN393281:KSO393281 LCJ393281:LCK393281 LMF393281:LMG393281 LWB393281:LWC393281 MFX393281:MFY393281 MPT393281:MPU393281 MZP393281:MZQ393281 NJL393281:NJM393281 NTH393281:NTI393281 ODD393281:ODE393281 OMZ393281:ONA393281 OWV393281:OWW393281 PGR393281:PGS393281 PQN393281:PQO393281 QAJ393281:QAK393281 QKF393281:QKG393281 QUB393281:QUC393281 RDX393281:RDY393281 RNT393281:RNU393281 RXP393281:RXQ393281 SHL393281:SHM393281 SRH393281:SRI393281 TBD393281:TBE393281 TKZ393281:TLA393281 TUV393281:TUW393281 UER393281:UES393281 UON393281:UOO393281 UYJ393281:UYK393281 VIF393281:VIG393281 VSB393281:VSC393281 WBX393281:WBY393281 WLT393281:WLU393281 WVP393281:WVQ393281 H458817:I458817 JD458817:JE458817 SZ458817:TA458817 ACV458817:ACW458817 AMR458817:AMS458817 AWN458817:AWO458817 BGJ458817:BGK458817 BQF458817:BQG458817 CAB458817:CAC458817 CJX458817:CJY458817 CTT458817:CTU458817 DDP458817:DDQ458817 DNL458817:DNM458817 DXH458817:DXI458817 EHD458817:EHE458817 EQZ458817:ERA458817 FAV458817:FAW458817 FKR458817:FKS458817 FUN458817:FUO458817 GEJ458817:GEK458817 GOF458817:GOG458817 GYB458817:GYC458817 HHX458817:HHY458817 HRT458817:HRU458817 IBP458817:IBQ458817 ILL458817:ILM458817 IVH458817:IVI458817 JFD458817:JFE458817 JOZ458817:JPA458817 JYV458817:JYW458817 KIR458817:KIS458817 KSN458817:KSO458817 LCJ458817:LCK458817 LMF458817:LMG458817 LWB458817:LWC458817 MFX458817:MFY458817 MPT458817:MPU458817 MZP458817:MZQ458817 NJL458817:NJM458817 NTH458817:NTI458817 ODD458817:ODE458817 OMZ458817:ONA458817 OWV458817:OWW458817 PGR458817:PGS458817 PQN458817:PQO458817 QAJ458817:QAK458817 QKF458817:QKG458817 QUB458817:QUC458817 RDX458817:RDY458817 RNT458817:RNU458817 RXP458817:RXQ458817 SHL458817:SHM458817 SRH458817:SRI458817 TBD458817:TBE458817 TKZ458817:TLA458817 TUV458817:TUW458817 UER458817:UES458817 UON458817:UOO458817 UYJ458817:UYK458817 VIF458817:VIG458817 VSB458817:VSC458817 WBX458817:WBY458817 WLT458817:WLU458817 WVP458817:WVQ458817 H524353:I524353 JD524353:JE524353 SZ524353:TA524353 ACV524353:ACW524353 AMR524353:AMS524353 AWN524353:AWO524353 BGJ524353:BGK524353 BQF524353:BQG524353 CAB524353:CAC524353 CJX524353:CJY524353 CTT524353:CTU524353 DDP524353:DDQ524353 DNL524353:DNM524353 DXH524353:DXI524353 EHD524353:EHE524353 EQZ524353:ERA524353 FAV524353:FAW524353 FKR524353:FKS524353 FUN524353:FUO524353 GEJ524353:GEK524353 GOF524353:GOG524353 GYB524353:GYC524353 HHX524353:HHY524353 HRT524353:HRU524353 IBP524353:IBQ524353 ILL524353:ILM524353 IVH524353:IVI524353 JFD524353:JFE524353 JOZ524353:JPA524353 JYV524353:JYW524353 KIR524353:KIS524353 KSN524353:KSO524353 LCJ524353:LCK524353 LMF524353:LMG524353 LWB524353:LWC524353 MFX524353:MFY524353 MPT524353:MPU524353 MZP524353:MZQ524353 NJL524353:NJM524353 NTH524353:NTI524353 ODD524353:ODE524353 OMZ524353:ONA524353 OWV524353:OWW524353 PGR524353:PGS524353 PQN524353:PQO524353 QAJ524353:QAK524353 QKF524353:QKG524353 QUB524353:QUC524353 RDX524353:RDY524353 RNT524353:RNU524353 RXP524353:RXQ524353 SHL524353:SHM524353 SRH524353:SRI524353 TBD524353:TBE524353 TKZ524353:TLA524353 TUV524353:TUW524353 UER524353:UES524353 UON524353:UOO524353 UYJ524353:UYK524353 VIF524353:VIG524353 VSB524353:VSC524353 WBX524353:WBY524353 WLT524353:WLU524353 WVP524353:WVQ524353 H589889:I589889 JD589889:JE589889 SZ589889:TA589889 ACV589889:ACW589889 AMR589889:AMS589889 AWN589889:AWO589889 BGJ589889:BGK589889 BQF589889:BQG589889 CAB589889:CAC589889 CJX589889:CJY589889 CTT589889:CTU589889 DDP589889:DDQ589889 DNL589889:DNM589889 DXH589889:DXI589889 EHD589889:EHE589889 EQZ589889:ERA589889 FAV589889:FAW589889 FKR589889:FKS589889 FUN589889:FUO589889 GEJ589889:GEK589889 GOF589889:GOG589889 GYB589889:GYC589889 HHX589889:HHY589889 HRT589889:HRU589889 IBP589889:IBQ589889 ILL589889:ILM589889 IVH589889:IVI589889 JFD589889:JFE589889 JOZ589889:JPA589889 JYV589889:JYW589889 KIR589889:KIS589889 KSN589889:KSO589889 LCJ589889:LCK589889 LMF589889:LMG589889 LWB589889:LWC589889 MFX589889:MFY589889 MPT589889:MPU589889 MZP589889:MZQ589889 NJL589889:NJM589889 NTH589889:NTI589889 ODD589889:ODE589889 OMZ589889:ONA589889 OWV589889:OWW589889 PGR589889:PGS589889 PQN589889:PQO589889 QAJ589889:QAK589889 QKF589889:QKG589889 QUB589889:QUC589889 RDX589889:RDY589889 RNT589889:RNU589889 RXP589889:RXQ589889 SHL589889:SHM589889 SRH589889:SRI589889 TBD589889:TBE589889 TKZ589889:TLA589889 TUV589889:TUW589889 UER589889:UES589889 UON589889:UOO589889 UYJ589889:UYK589889 VIF589889:VIG589889 VSB589889:VSC589889 WBX589889:WBY589889 WLT589889:WLU589889 WVP589889:WVQ589889 H655425:I655425 JD655425:JE655425 SZ655425:TA655425 ACV655425:ACW655425 AMR655425:AMS655425 AWN655425:AWO655425 BGJ655425:BGK655425 BQF655425:BQG655425 CAB655425:CAC655425 CJX655425:CJY655425 CTT655425:CTU655425 DDP655425:DDQ655425 DNL655425:DNM655425 DXH655425:DXI655425 EHD655425:EHE655425 EQZ655425:ERA655425 FAV655425:FAW655425 FKR655425:FKS655425 FUN655425:FUO655425 GEJ655425:GEK655425 GOF655425:GOG655425 GYB655425:GYC655425 HHX655425:HHY655425 HRT655425:HRU655425 IBP655425:IBQ655425 ILL655425:ILM655425 IVH655425:IVI655425 JFD655425:JFE655425 JOZ655425:JPA655425 JYV655425:JYW655425 KIR655425:KIS655425 KSN655425:KSO655425 LCJ655425:LCK655425 LMF655425:LMG655425 LWB655425:LWC655425 MFX655425:MFY655425 MPT655425:MPU655425 MZP655425:MZQ655425 NJL655425:NJM655425 NTH655425:NTI655425 ODD655425:ODE655425 OMZ655425:ONA655425 OWV655425:OWW655425 PGR655425:PGS655425 PQN655425:PQO655425 QAJ655425:QAK655425 QKF655425:QKG655425 QUB655425:QUC655425 RDX655425:RDY655425 RNT655425:RNU655425 RXP655425:RXQ655425 SHL655425:SHM655425 SRH655425:SRI655425 TBD655425:TBE655425 TKZ655425:TLA655425 TUV655425:TUW655425 UER655425:UES655425 UON655425:UOO655425 UYJ655425:UYK655425 VIF655425:VIG655425 VSB655425:VSC655425 WBX655425:WBY655425 WLT655425:WLU655425 WVP655425:WVQ655425 H720961:I720961 JD720961:JE720961 SZ720961:TA720961 ACV720961:ACW720961 AMR720961:AMS720961 AWN720961:AWO720961 BGJ720961:BGK720961 BQF720961:BQG720961 CAB720961:CAC720961 CJX720961:CJY720961 CTT720961:CTU720961 DDP720961:DDQ720961 DNL720961:DNM720961 DXH720961:DXI720961 EHD720961:EHE720961 EQZ720961:ERA720961 FAV720961:FAW720961 FKR720961:FKS720961 FUN720961:FUO720961 GEJ720961:GEK720961 GOF720961:GOG720961 GYB720961:GYC720961 HHX720961:HHY720961 HRT720961:HRU720961 IBP720961:IBQ720961 ILL720961:ILM720961 IVH720961:IVI720961 JFD720961:JFE720961 JOZ720961:JPA720961 JYV720961:JYW720961 KIR720961:KIS720961 KSN720961:KSO720961 LCJ720961:LCK720961 LMF720961:LMG720961 LWB720961:LWC720961 MFX720961:MFY720961 MPT720961:MPU720961 MZP720961:MZQ720961 NJL720961:NJM720961 NTH720961:NTI720961 ODD720961:ODE720961 OMZ720961:ONA720961 OWV720961:OWW720961 PGR720961:PGS720961 PQN720961:PQO720961 QAJ720961:QAK720961 QKF720961:QKG720961 QUB720961:QUC720961 RDX720961:RDY720961 RNT720961:RNU720961 RXP720961:RXQ720961 SHL720961:SHM720961 SRH720961:SRI720961 TBD720961:TBE720961 TKZ720961:TLA720961 TUV720961:TUW720961 UER720961:UES720961 UON720961:UOO720961 UYJ720961:UYK720961 VIF720961:VIG720961 VSB720961:VSC720961 WBX720961:WBY720961 WLT720961:WLU720961 WVP720961:WVQ720961 H786497:I786497 JD786497:JE786497 SZ786497:TA786497 ACV786497:ACW786497 AMR786497:AMS786497 AWN786497:AWO786497 BGJ786497:BGK786497 BQF786497:BQG786497 CAB786497:CAC786497 CJX786497:CJY786497 CTT786497:CTU786497 DDP786497:DDQ786497 DNL786497:DNM786497 DXH786497:DXI786497 EHD786497:EHE786497 EQZ786497:ERA786497 FAV786497:FAW786497 FKR786497:FKS786497 FUN786497:FUO786497 GEJ786497:GEK786497 GOF786497:GOG786497 GYB786497:GYC786497 HHX786497:HHY786497 HRT786497:HRU786497 IBP786497:IBQ786497 ILL786497:ILM786497 IVH786497:IVI786497 JFD786497:JFE786497 JOZ786497:JPA786497 JYV786497:JYW786497 KIR786497:KIS786497 KSN786497:KSO786497 LCJ786497:LCK786497 LMF786497:LMG786497 LWB786497:LWC786497 MFX786497:MFY786497 MPT786497:MPU786497 MZP786497:MZQ786497 NJL786497:NJM786497 NTH786497:NTI786497 ODD786497:ODE786497 OMZ786497:ONA786497 OWV786497:OWW786497 PGR786497:PGS786497 PQN786497:PQO786497 QAJ786497:QAK786497 QKF786497:QKG786497 QUB786497:QUC786497 RDX786497:RDY786497 RNT786497:RNU786497 RXP786497:RXQ786497 SHL786497:SHM786497 SRH786497:SRI786497 TBD786497:TBE786497 TKZ786497:TLA786497 TUV786497:TUW786497 UER786497:UES786497 UON786497:UOO786497 UYJ786497:UYK786497 VIF786497:VIG786497 VSB786497:VSC786497 WBX786497:WBY786497 WLT786497:WLU786497 WVP786497:WVQ786497 H852033:I852033 JD852033:JE852033 SZ852033:TA852033 ACV852033:ACW852033 AMR852033:AMS852033 AWN852033:AWO852033 BGJ852033:BGK852033 BQF852033:BQG852033 CAB852033:CAC852033 CJX852033:CJY852033 CTT852033:CTU852033 DDP852033:DDQ852033 DNL852033:DNM852033 DXH852033:DXI852033 EHD852033:EHE852033 EQZ852033:ERA852033 FAV852033:FAW852033 FKR852033:FKS852033 FUN852033:FUO852033 GEJ852033:GEK852033 GOF852033:GOG852033 GYB852033:GYC852033 HHX852033:HHY852033 HRT852033:HRU852033 IBP852033:IBQ852033 ILL852033:ILM852033 IVH852033:IVI852033 JFD852033:JFE852033 JOZ852033:JPA852033 JYV852033:JYW852033 KIR852033:KIS852033 KSN852033:KSO852033 LCJ852033:LCK852033 LMF852033:LMG852033 LWB852033:LWC852033 MFX852033:MFY852033 MPT852033:MPU852033 MZP852033:MZQ852033 NJL852033:NJM852033 NTH852033:NTI852033 ODD852033:ODE852033 OMZ852033:ONA852033 OWV852033:OWW852033 PGR852033:PGS852033 PQN852033:PQO852033 QAJ852033:QAK852033 QKF852033:QKG852033 QUB852033:QUC852033 RDX852033:RDY852033 RNT852033:RNU852033 RXP852033:RXQ852033 SHL852033:SHM852033 SRH852033:SRI852033 TBD852033:TBE852033 TKZ852033:TLA852033 TUV852033:TUW852033 UER852033:UES852033 UON852033:UOO852033 UYJ852033:UYK852033 VIF852033:VIG852033 VSB852033:VSC852033 WBX852033:WBY852033 WLT852033:WLU852033 WVP852033:WVQ852033 H917569:I917569 JD917569:JE917569 SZ917569:TA917569 ACV917569:ACW917569 AMR917569:AMS917569 AWN917569:AWO917569 BGJ917569:BGK917569 BQF917569:BQG917569 CAB917569:CAC917569 CJX917569:CJY917569 CTT917569:CTU917569 DDP917569:DDQ917569 DNL917569:DNM917569 DXH917569:DXI917569 EHD917569:EHE917569 EQZ917569:ERA917569 FAV917569:FAW917569 FKR917569:FKS917569 FUN917569:FUO917569 GEJ917569:GEK917569 GOF917569:GOG917569 GYB917569:GYC917569 HHX917569:HHY917569 HRT917569:HRU917569 IBP917569:IBQ917569 ILL917569:ILM917569 IVH917569:IVI917569 JFD917569:JFE917569 JOZ917569:JPA917569 JYV917569:JYW917569 KIR917569:KIS917569 KSN917569:KSO917569 LCJ917569:LCK917569 LMF917569:LMG917569 LWB917569:LWC917569 MFX917569:MFY917569 MPT917569:MPU917569 MZP917569:MZQ917569 NJL917569:NJM917569 NTH917569:NTI917569 ODD917569:ODE917569 OMZ917569:ONA917569 OWV917569:OWW917569 PGR917569:PGS917569 PQN917569:PQO917569 QAJ917569:QAK917569 QKF917569:QKG917569 QUB917569:QUC917569 RDX917569:RDY917569 RNT917569:RNU917569 RXP917569:RXQ917569 SHL917569:SHM917569 SRH917569:SRI917569 TBD917569:TBE917569 TKZ917569:TLA917569 TUV917569:TUW917569 UER917569:UES917569 UON917569:UOO917569 UYJ917569:UYK917569 VIF917569:VIG917569 VSB917569:VSC917569 WBX917569:WBY917569 WLT917569:WLU917569 WVP917569:WVQ917569 H983105:I983105 JD983105:JE983105 SZ983105:TA983105 ACV983105:ACW983105 AMR983105:AMS983105 AWN983105:AWO983105 BGJ983105:BGK983105 BQF983105:BQG983105 CAB983105:CAC983105 CJX983105:CJY983105 CTT983105:CTU983105 DDP983105:DDQ983105 DNL983105:DNM983105 DXH983105:DXI983105 EHD983105:EHE983105 EQZ983105:ERA983105 FAV983105:FAW983105 FKR983105:FKS983105 FUN983105:FUO983105 GEJ983105:GEK983105 GOF983105:GOG983105 GYB983105:GYC983105 HHX983105:HHY983105 HRT983105:HRU983105 IBP983105:IBQ983105 ILL983105:ILM983105 IVH983105:IVI983105 JFD983105:JFE983105 JOZ983105:JPA983105 JYV983105:JYW983105 KIR983105:KIS983105 KSN983105:KSO983105 LCJ983105:LCK983105 LMF983105:LMG983105 LWB983105:LWC983105 MFX983105:MFY983105 MPT983105:MPU983105 MZP983105:MZQ983105 NJL983105:NJM983105 NTH983105:NTI983105 ODD983105:ODE983105 OMZ983105:ONA983105 OWV983105:OWW983105 PGR983105:PGS983105 PQN983105:PQO983105 QAJ983105:QAK983105 QKF983105:QKG983105 QUB983105:QUC983105 RDX983105:RDY983105 RNT983105:RNU983105 RXP983105:RXQ983105 SHL983105:SHM983105 SRH983105:SRI983105 TBD983105:TBE983105 TKZ983105:TLA983105 TUV983105:TUW983105 UER983105:UES983105 UON983105:UOO983105 UYJ983105:UYK983105 VIF983105:VIG983105 VSB983105:VSC983105 WBX983105:WBY983105 WLT983105:WLU983105 WVP983105:WVQ983105 H55:I55 JD55:JE55 SZ55:TA55 ACV55:ACW55 AMR55:AMS55 AWN55:AWO55 BGJ55:BGK55 BQF55:BQG55 CAB55:CAC55 CJX55:CJY55 CTT55:CTU55 DDP55:DDQ55 DNL55:DNM55 DXH55:DXI55 EHD55:EHE55 EQZ55:ERA55 FAV55:FAW55 FKR55:FKS55 FUN55:FUO55 GEJ55:GEK55 GOF55:GOG55 GYB55:GYC55 HHX55:HHY55 HRT55:HRU55 IBP55:IBQ55 ILL55:ILM55 IVH55:IVI55 JFD55:JFE55 JOZ55:JPA55 JYV55:JYW55 KIR55:KIS55 KSN55:KSO55 LCJ55:LCK55 LMF55:LMG55 LWB55:LWC55 MFX55:MFY55 MPT55:MPU55 MZP55:MZQ55 NJL55:NJM55 NTH55:NTI55 ODD55:ODE55 OMZ55:ONA55 OWV55:OWW55 PGR55:PGS55 PQN55:PQO55 QAJ55:QAK55 QKF55:QKG55 QUB55:QUC55 RDX55:RDY55 RNT55:RNU55 RXP55:RXQ55 SHL55:SHM55 SRH55:SRI55 TBD55:TBE55 TKZ55:TLA55 TUV55:TUW55 UER55:UES55 UON55:UOO55 UYJ55:UYK55 VIF55:VIG55 VSB55:VSC55 WBX55:WBY55 WLT55:WLU55 WVP55:WVQ55 H65591:I65591 JD65591:JE65591 SZ65591:TA65591 ACV65591:ACW65591 AMR65591:AMS65591 AWN65591:AWO65591 BGJ65591:BGK65591 BQF65591:BQG65591 CAB65591:CAC65591 CJX65591:CJY65591 CTT65591:CTU65591 DDP65591:DDQ65591 DNL65591:DNM65591 DXH65591:DXI65591 EHD65591:EHE65591 EQZ65591:ERA65591 FAV65591:FAW65591 FKR65591:FKS65591 FUN65591:FUO65591 GEJ65591:GEK65591 GOF65591:GOG65591 GYB65591:GYC65591 HHX65591:HHY65591 HRT65591:HRU65591 IBP65591:IBQ65591 ILL65591:ILM65591 IVH65591:IVI65591 JFD65591:JFE65591 JOZ65591:JPA65591 JYV65591:JYW65591 KIR65591:KIS65591 KSN65591:KSO65591 LCJ65591:LCK65591 LMF65591:LMG65591 LWB65591:LWC65591 MFX65591:MFY65591 MPT65591:MPU65591 MZP65591:MZQ65591 NJL65591:NJM65591 NTH65591:NTI65591 ODD65591:ODE65591 OMZ65591:ONA65591 OWV65591:OWW65591 PGR65591:PGS65591 PQN65591:PQO65591 QAJ65591:QAK65591 QKF65591:QKG65591 QUB65591:QUC65591 RDX65591:RDY65591 RNT65591:RNU65591 RXP65591:RXQ65591 SHL65591:SHM65591 SRH65591:SRI65591 TBD65591:TBE65591 TKZ65591:TLA65591 TUV65591:TUW65591 UER65591:UES65591 UON65591:UOO65591 UYJ65591:UYK65591 VIF65591:VIG65591 VSB65591:VSC65591 WBX65591:WBY65591 WLT65591:WLU65591 WVP65591:WVQ65591 H131127:I131127 JD131127:JE131127 SZ131127:TA131127 ACV131127:ACW131127 AMR131127:AMS131127 AWN131127:AWO131127 BGJ131127:BGK131127 BQF131127:BQG131127 CAB131127:CAC131127 CJX131127:CJY131127 CTT131127:CTU131127 DDP131127:DDQ131127 DNL131127:DNM131127 DXH131127:DXI131127 EHD131127:EHE131127 EQZ131127:ERA131127 FAV131127:FAW131127 FKR131127:FKS131127 FUN131127:FUO131127 GEJ131127:GEK131127 GOF131127:GOG131127 GYB131127:GYC131127 HHX131127:HHY131127 HRT131127:HRU131127 IBP131127:IBQ131127 ILL131127:ILM131127 IVH131127:IVI131127 JFD131127:JFE131127 JOZ131127:JPA131127 JYV131127:JYW131127 KIR131127:KIS131127 KSN131127:KSO131127 LCJ131127:LCK131127 LMF131127:LMG131127 LWB131127:LWC131127 MFX131127:MFY131127 MPT131127:MPU131127 MZP131127:MZQ131127 NJL131127:NJM131127 NTH131127:NTI131127 ODD131127:ODE131127 OMZ131127:ONA131127 OWV131127:OWW131127 PGR131127:PGS131127 PQN131127:PQO131127 QAJ131127:QAK131127 QKF131127:QKG131127 QUB131127:QUC131127 RDX131127:RDY131127 RNT131127:RNU131127 RXP131127:RXQ131127 SHL131127:SHM131127 SRH131127:SRI131127 TBD131127:TBE131127 TKZ131127:TLA131127 TUV131127:TUW131127 UER131127:UES131127 UON131127:UOO131127 UYJ131127:UYK131127 VIF131127:VIG131127 VSB131127:VSC131127 WBX131127:WBY131127 WLT131127:WLU131127 WVP131127:WVQ131127 H196663:I196663 JD196663:JE196663 SZ196663:TA196663 ACV196663:ACW196663 AMR196663:AMS196663 AWN196663:AWO196663 BGJ196663:BGK196663 BQF196663:BQG196663 CAB196663:CAC196663 CJX196663:CJY196663 CTT196663:CTU196663 DDP196663:DDQ196663 DNL196663:DNM196663 DXH196663:DXI196663 EHD196663:EHE196663 EQZ196663:ERA196663 FAV196663:FAW196663 FKR196663:FKS196663 FUN196663:FUO196663 GEJ196663:GEK196663 GOF196663:GOG196663 GYB196663:GYC196663 HHX196663:HHY196663 HRT196663:HRU196663 IBP196663:IBQ196663 ILL196663:ILM196663 IVH196663:IVI196663 JFD196663:JFE196663 JOZ196663:JPA196663 JYV196663:JYW196663 KIR196663:KIS196663 KSN196663:KSO196663 LCJ196663:LCK196663 LMF196663:LMG196663 LWB196663:LWC196663 MFX196663:MFY196663 MPT196663:MPU196663 MZP196663:MZQ196663 NJL196663:NJM196663 NTH196663:NTI196663 ODD196663:ODE196663 OMZ196663:ONA196663 OWV196663:OWW196663 PGR196663:PGS196663 PQN196663:PQO196663 QAJ196663:QAK196663 QKF196663:QKG196663 QUB196663:QUC196663 RDX196663:RDY196663 RNT196663:RNU196663 RXP196663:RXQ196663 SHL196663:SHM196663 SRH196663:SRI196663 TBD196663:TBE196663 TKZ196663:TLA196663 TUV196663:TUW196663 UER196663:UES196663 UON196663:UOO196663 UYJ196663:UYK196663 VIF196663:VIG196663 VSB196663:VSC196663 WBX196663:WBY196663 WLT196663:WLU196663 WVP196663:WVQ196663 H262199:I262199 JD262199:JE262199 SZ262199:TA262199 ACV262199:ACW262199 AMR262199:AMS262199 AWN262199:AWO262199 BGJ262199:BGK262199 BQF262199:BQG262199 CAB262199:CAC262199 CJX262199:CJY262199 CTT262199:CTU262199 DDP262199:DDQ262199 DNL262199:DNM262199 DXH262199:DXI262199 EHD262199:EHE262199 EQZ262199:ERA262199 FAV262199:FAW262199 FKR262199:FKS262199 FUN262199:FUO262199 GEJ262199:GEK262199 GOF262199:GOG262199 GYB262199:GYC262199 HHX262199:HHY262199 HRT262199:HRU262199 IBP262199:IBQ262199 ILL262199:ILM262199 IVH262199:IVI262199 JFD262199:JFE262199 JOZ262199:JPA262199 JYV262199:JYW262199 KIR262199:KIS262199 KSN262199:KSO262199 LCJ262199:LCK262199 LMF262199:LMG262199 LWB262199:LWC262199 MFX262199:MFY262199 MPT262199:MPU262199 MZP262199:MZQ262199 NJL262199:NJM262199 NTH262199:NTI262199 ODD262199:ODE262199 OMZ262199:ONA262199 OWV262199:OWW262199 PGR262199:PGS262199 PQN262199:PQO262199 QAJ262199:QAK262199 QKF262199:QKG262199 QUB262199:QUC262199 RDX262199:RDY262199 RNT262199:RNU262199 RXP262199:RXQ262199 SHL262199:SHM262199 SRH262199:SRI262199 TBD262199:TBE262199 TKZ262199:TLA262199 TUV262199:TUW262199 UER262199:UES262199 UON262199:UOO262199 UYJ262199:UYK262199 VIF262199:VIG262199 VSB262199:VSC262199 WBX262199:WBY262199 WLT262199:WLU262199 WVP262199:WVQ262199 H327735:I327735 JD327735:JE327735 SZ327735:TA327735 ACV327735:ACW327735 AMR327735:AMS327735 AWN327735:AWO327735 BGJ327735:BGK327735 BQF327735:BQG327735 CAB327735:CAC327735 CJX327735:CJY327735 CTT327735:CTU327735 DDP327735:DDQ327735 DNL327735:DNM327735 DXH327735:DXI327735 EHD327735:EHE327735 EQZ327735:ERA327735 FAV327735:FAW327735 FKR327735:FKS327735 FUN327735:FUO327735 GEJ327735:GEK327735 GOF327735:GOG327735 GYB327735:GYC327735 HHX327735:HHY327735 HRT327735:HRU327735 IBP327735:IBQ327735 ILL327735:ILM327735 IVH327735:IVI327735 JFD327735:JFE327735 JOZ327735:JPA327735 JYV327735:JYW327735 KIR327735:KIS327735 KSN327735:KSO327735 LCJ327735:LCK327735 LMF327735:LMG327735 LWB327735:LWC327735 MFX327735:MFY327735 MPT327735:MPU327735 MZP327735:MZQ327735 NJL327735:NJM327735 NTH327735:NTI327735 ODD327735:ODE327735 OMZ327735:ONA327735 OWV327735:OWW327735 PGR327735:PGS327735 PQN327735:PQO327735 QAJ327735:QAK327735 QKF327735:QKG327735 QUB327735:QUC327735 RDX327735:RDY327735 RNT327735:RNU327735 RXP327735:RXQ327735 SHL327735:SHM327735 SRH327735:SRI327735 TBD327735:TBE327735 TKZ327735:TLA327735 TUV327735:TUW327735 UER327735:UES327735 UON327735:UOO327735 UYJ327735:UYK327735 VIF327735:VIG327735 VSB327735:VSC327735 WBX327735:WBY327735 WLT327735:WLU327735 WVP327735:WVQ327735 H393271:I393271 JD393271:JE393271 SZ393271:TA393271 ACV393271:ACW393271 AMR393271:AMS393271 AWN393271:AWO393271 BGJ393271:BGK393271 BQF393271:BQG393271 CAB393271:CAC393271 CJX393271:CJY393271 CTT393271:CTU393271 DDP393271:DDQ393271 DNL393271:DNM393271 DXH393271:DXI393271 EHD393271:EHE393271 EQZ393271:ERA393271 FAV393271:FAW393271 FKR393271:FKS393271 FUN393271:FUO393271 GEJ393271:GEK393271 GOF393271:GOG393271 GYB393271:GYC393271 HHX393271:HHY393271 HRT393271:HRU393271 IBP393271:IBQ393271 ILL393271:ILM393271 IVH393271:IVI393271 JFD393271:JFE393271 JOZ393271:JPA393271 JYV393271:JYW393271 KIR393271:KIS393271 KSN393271:KSO393271 LCJ393271:LCK393271 LMF393271:LMG393271 LWB393271:LWC393271 MFX393271:MFY393271 MPT393271:MPU393271 MZP393271:MZQ393271 NJL393271:NJM393271 NTH393271:NTI393271 ODD393271:ODE393271 OMZ393271:ONA393271 OWV393271:OWW393271 PGR393271:PGS393271 PQN393271:PQO393271 QAJ393271:QAK393271 QKF393271:QKG393271 QUB393271:QUC393271 RDX393271:RDY393271 RNT393271:RNU393271 RXP393271:RXQ393271 SHL393271:SHM393271 SRH393271:SRI393271 TBD393271:TBE393271 TKZ393271:TLA393271 TUV393271:TUW393271 UER393271:UES393271 UON393271:UOO393271 UYJ393271:UYK393271 VIF393271:VIG393271 VSB393271:VSC393271 WBX393271:WBY393271 WLT393271:WLU393271 WVP393271:WVQ393271 H458807:I458807 JD458807:JE458807 SZ458807:TA458807 ACV458807:ACW458807 AMR458807:AMS458807 AWN458807:AWO458807 BGJ458807:BGK458807 BQF458807:BQG458807 CAB458807:CAC458807 CJX458807:CJY458807 CTT458807:CTU458807 DDP458807:DDQ458807 DNL458807:DNM458807 DXH458807:DXI458807 EHD458807:EHE458807 EQZ458807:ERA458807 FAV458807:FAW458807 FKR458807:FKS458807 FUN458807:FUO458807 GEJ458807:GEK458807 GOF458807:GOG458807 GYB458807:GYC458807 HHX458807:HHY458807 HRT458807:HRU458807 IBP458807:IBQ458807 ILL458807:ILM458807 IVH458807:IVI458807 JFD458807:JFE458807 JOZ458807:JPA458807 JYV458807:JYW458807 KIR458807:KIS458807 KSN458807:KSO458807 LCJ458807:LCK458807 LMF458807:LMG458807 LWB458807:LWC458807 MFX458807:MFY458807 MPT458807:MPU458807 MZP458807:MZQ458807 NJL458807:NJM458807 NTH458807:NTI458807 ODD458807:ODE458807 OMZ458807:ONA458807 OWV458807:OWW458807 PGR458807:PGS458807 PQN458807:PQO458807 QAJ458807:QAK458807 QKF458807:QKG458807 QUB458807:QUC458807 RDX458807:RDY458807 RNT458807:RNU458807 RXP458807:RXQ458807 SHL458807:SHM458807 SRH458807:SRI458807 TBD458807:TBE458807 TKZ458807:TLA458807 TUV458807:TUW458807 UER458807:UES458807 UON458807:UOO458807 UYJ458807:UYK458807 VIF458807:VIG458807 VSB458807:VSC458807 WBX458807:WBY458807 WLT458807:WLU458807 WVP458807:WVQ458807 H524343:I524343 JD524343:JE524343 SZ524343:TA524343 ACV524343:ACW524343 AMR524343:AMS524343 AWN524343:AWO524343 BGJ524343:BGK524343 BQF524343:BQG524343 CAB524343:CAC524343 CJX524343:CJY524343 CTT524343:CTU524343 DDP524343:DDQ524343 DNL524343:DNM524343 DXH524343:DXI524343 EHD524343:EHE524343 EQZ524343:ERA524343 FAV524343:FAW524343 FKR524343:FKS524343 FUN524343:FUO524343 GEJ524343:GEK524343 GOF524343:GOG524343 GYB524343:GYC524343 HHX524343:HHY524343 HRT524343:HRU524343 IBP524343:IBQ524343 ILL524343:ILM524343 IVH524343:IVI524343 JFD524343:JFE524343 JOZ524343:JPA524343 JYV524343:JYW524343 KIR524343:KIS524343 KSN524343:KSO524343 LCJ524343:LCK524343 LMF524343:LMG524343 LWB524343:LWC524343 MFX524343:MFY524343 MPT524343:MPU524343 MZP524343:MZQ524343 NJL524343:NJM524343 NTH524343:NTI524343 ODD524343:ODE524343 OMZ524343:ONA524343 OWV524343:OWW524343 PGR524343:PGS524343 PQN524343:PQO524343 QAJ524343:QAK524343 QKF524343:QKG524343 QUB524343:QUC524343 RDX524343:RDY524343 RNT524343:RNU524343 RXP524343:RXQ524343 SHL524343:SHM524343 SRH524343:SRI524343 TBD524343:TBE524343 TKZ524343:TLA524343 TUV524343:TUW524343 UER524343:UES524343 UON524343:UOO524343 UYJ524343:UYK524343 VIF524343:VIG524343 VSB524343:VSC524343 WBX524343:WBY524343 WLT524343:WLU524343 WVP524343:WVQ524343 H589879:I589879 JD589879:JE589879 SZ589879:TA589879 ACV589879:ACW589879 AMR589879:AMS589879 AWN589879:AWO589879 BGJ589879:BGK589879 BQF589879:BQG589879 CAB589879:CAC589879 CJX589879:CJY589879 CTT589879:CTU589879 DDP589879:DDQ589879 DNL589879:DNM589879 DXH589879:DXI589879 EHD589879:EHE589879 EQZ589879:ERA589879 FAV589879:FAW589879 FKR589879:FKS589879 FUN589879:FUO589879 GEJ589879:GEK589879 GOF589879:GOG589879 GYB589879:GYC589879 HHX589879:HHY589879 HRT589879:HRU589879 IBP589879:IBQ589879 ILL589879:ILM589879 IVH589879:IVI589879 JFD589879:JFE589879 JOZ589879:JPA589879 JYV589879:JYW589879 KIR589879:KIS589879 KSN589879:KSO589879 LCJ589879:LCK589879 LMF589879:LMG589879 LWB589879:LWC589879 MFX589879:MFY589879 MPT589879:MPU589879 MZP589879:MZQ589879 NJL589879:NJM589879 NTH589879:NTI589879 ODD589879:ODE589879 OMZ589879:ONA589879 OWV589879:OWW589879 PGR589879:PGS589879 PQN589879:PQO589879 QAJ589879:QAK589879 QKF589879:QKG589879 QUB589879:QUC589879 RDX589879:RDY589879 RNT589879:RNU589879 RXP589879:RXQ589879 SHL589879:SHM589879 SRH589879:SRI589879 TBD589879:TBE589879 TKZ589879:TLA589879 TUV589879:TUW589879 UER589879:UES589879 UON589879:UOO589879 UYJ589879:UYK589879 VIF589879:VIG589879 VSB589879:VSC589879 WBX589879:WBY589879 WLT589879:WLU589879 WVP589879:WVQ589879 H655415:I655415 JD655415:JE655415 SZ655415:TA655415 ACV655415:ACW655415 AMR655415:AMS655415 AWN655415:AWO655415 BGJ655415:BGK655415 BQF655415:BQG655415 CAB655415:CAC655415 CJX655415:CJY655415 CTT655415:CTU655415 DDP655415:DDQ655415 DNL655415:DNM655415 DXH655415:DXI655415 EHD655415:EHE655415 EQZ655415:ERA655415 FAV655415:FAW655415 FKR655415:FKS655415 FUN655415:FUO655415 GEJ655415:GEK655415 GOF655415:GOG655415 GYB655415:GYC655415 HHX655415:HHY655415 HRT655415:HRU655415 IBP655415:IBQ655415 ILL655415:ILM655415 IVH655415:IVI655415 JFD655415:JFE655415 JOZ655415:JPA655415 JYV655415:JYW655415 KIR655415:KIS655415 KSN655415:KSO655415 LCJ655415:LCK655415 LMF655415:LMG655415 LWB655415:LWC655415 MFX655415:MFY655415 MPT655415:MPU655415 MZP655415:MZQ655415 NJL655415:NJM655415 NTH655415:NTI655415 ODD655415:ODE655415 OMZ655415:ONA655415 OWV655415:OWW655415 PGR655415:PGS655415 PQN655415:PQO655415 QAJ655415:QAK655415 QKF655415:QKG655415 QUB655415:QUC655415 RDX655415:RDY655415 RNT655415:RNU655415 RXP655415:RXQ655415 SHL655415:SHM655415 SRH655415:SRI655415 TBD655415:TBE655415 TKZ655415:TLA655415 TUV655415:TUW655415 UER655415:UES655415 UON655415:UOO655415 UYJ655415:UYK655415 VIF655415:VIG655415 VSB655415:VSC655415 WBX655415:WBY655415 WLT655415:WLU655415 WVP655415:WVQ655415 H720951:I720951 JD720951:JE720951 SZ720951:TA720951 ACV720951:ACW720951 AMR720951:AMS720951 AWN720951:AWO720951 BGJ720951:BGK720951 BQF720951:BQG720951 CAB720951:CAC720951 CJX720951:CJY720951 CTT720951:CTU720951 DDP720951:DDQ720951 DNL720951:DNM720951 DXH720951:DXI720951 EHD720951:EHE720951 EQZ720951:ERA720951 FAV720951:FAW720951 FKR720951:FKS720951 FUN720951:FUO720951 GEJ720951:GEK720951 GOF720951:GOG720951 GYB720951:GYC720951 HHX720951:HHY720951 HRT720951:HRU720951 IBP720951:IBQ720951 ILL720951:ILM720951 IVH720951:IVI720951 JFD720951:JFE720951 JOZ720951:JPA720951 JYV720951:JYW720951 KIR720951:KIS720951 KSN720951:KSO720951 LCJ720951:LCK720951 LMF720951:LMG720951 LWB720951:LWC720951 MFX720951:MFY720951 MPT720951:MPU720951 MZP720951:MZQ720951 NJL720951:NJM720951 NTH720951:NTI720951 ODD720951:ODE720951 OMZ720951:ONA720951 OWV720951:OWW720951 PGR720951:PGS720951 PQN720951:PQO720951 QAJ720951:QAK720951 QKF720951:QKG720951 QUB720951:QUC720951 RDX720951:RDY720951 RNT720951:RNU720951 RXP720951:RXQ720951 SHL720951:SHM720951 SRH720951:SRI720951 TBD720951:TBE720951 TKZ720951:TLA720951 TUV720951:TUW720951 UER720951:UES720951 UON720951:UOO720951 UYJ720951:UYK720951 VIF720951:VIG720951 VSB720951:VSC720951 WBX720951:WBY720951 WLT720951:WLU720951 WVP720951:WVQ720951 H786487:I786487 JD786487:JE786487 SZ786487:TA786487 ACV786487:ACW786487 AMR786487:AMS786487 AWN786487:AWO786487 BGJ786487:BGK786487 BQF786487:BQG786487 CAB786487:CAC786487 CJX786487:CJY786487 CTT786487:CTU786487 DDP786487:DDQ786487 DNL786487:DNM786487 DXH786487:DXI786487 EHD786487:EHE786487 EQZ786487:ERA786487 FAV786487:FAW786487 FKR786487:FKS786487 FUN786487:FUO786487 GEJ786487:GEK786487 GOF786487:GOG786487 GYB786487:GYC786487 HHX786487:HHY786487 HRT786487:HRU786487 IBP786487:IBQ786487 ILL786487:ILM786487 IVH786487:IVI786487 JFD786487:JFE786487 JOZ786487:JPA786487 JYV786487:JYW786487 KIR786487:KIS786487 KSN786487:KSO786487 LCJ786487:LCK786487 LMF786487:LMG786487 LWB786487:LWC786487 MFX786487:MFY786487 MPT786487:MPU786487 MZP786487:MZQ786487 NJL786487:NJM786487 NTH786487:NTI786487 ODD786487:ODE786487 OMZ786487:ONA786487 OWV786487:OWW786487 PGR786487:PGS786487 PQN786487:PQO786487 QAJ786487:QAK786487 QKF786487:QKG786487 QUB786487:QUC786487 RDX786487:RDY786487 RNT786487:RNU786487 RXP786487:RXQ786487 SHL786487:SHM786487 SRH786487:SRI786487 TBD786487:TBE786487 TKZ786487:TLA786487 TUV786487:TUW786487 UER786487:UES786487 UON786487:UOO786487 UYJ786487:UYK786487 VIF786487:VIG786487 VSB786487:VSC786487 WBX786487:WBY786487 WLT786487:WLU786487 WVP786487:WVQ786487 H852023:I852023 JD852023:JE852023 SZ852023:TA852023 ACV852023:ACW852023 AMR852023:AMS852023 AWN852023:AWO852023 BGJ852023:BGK852023 BQF852023:BQG852023 CAB852023:CAC852023 CJX852023:CJY852023 CTT852023:CTU852023 DDP852023:DDQ852023 DNL852023:DNM852023 DXH852023:DXI852023 EHD852023:EHE852023 EQZ852023:ERA852023 FAV852023:FAW852023 FKR852023:FKS852023 FUN852023:FUO852023 GEJ852023:GEK852023 GOF852023:GOG852023 GYB852023:GYC852023 HHX852023:HHY852023 HRT852023:HRU852023 IBP852023:IBQ852023 ILL852023:ILM852023 IVH852023:IVI852023 JFD852023:JFE852023 JOZ852023:JPA852023 JYV852023:JYW852023 KIR852023:KIS852023 KSN852023:KSO852023 LCJ852023:LCK852023 LMF852023:LMG852023 LWB852023:LWC852023 MFX852023:MFY852023 MPT852023:MPU852023 MZP852023:MZQ852023 NJL852023:NJM852023 NTH852023:NTI852023 ODD852023:ODE852023 OMZ852023:ONA852023 OWV852023:OWW852023 PGR852023:PGS852023 PQN852023:PQO852023 QAJ852023:QAK852023 QKF852023:QKG852023 QUB852023:QUC852023 RDX852023:RDY852023 RNT852023:RNU852023 RXP852023:RXQ852023 SHL852023:SHM852023 SRH852023:SRI852023 TBD852023:TBE852023 TKZ852023:TLA852023 TUV852023:TUW852023 UER852023:UES852023 UON852023:UOO852023 UYJ852023:UYK852023 VIF852023:VIG852023 VSB852023:VSC852023 WBX852023:WBY852023 WLT852023:WLU852023 WVP852023:WVQ852023 H917559:I917559 JD917559:JE917559 SZ917559:TA917559 ACV917559:ACW917559 AMR917559:AMS917559 AWN917559:AWO917559 BGJ917559:BGK917559 BQF917559:BQG917559 CAB917559:CAC917559 CJX917559:CJY917559 CTT917559:CTU917559 DDP917559:DDQ917559 DNL917559:DNM917559 DXH917559:DXI917559 EHD917559:EHE917559 EQZ917559:ERA917559 FAV917559:FAW917559 FKR917559:FKS917559 FUN917559:FUO917559 GEJ917559:GEK917559 GOF917559:GOG917559 GYB917559:GYC917559 HHX917559:HHY917559 HRT917559:HRU917559 IBP917559:IBQ917559 ILL917559:ILM917559 IVH917559:IVI917559 JFD917559:JFE917559 JOZ917559:JPA917559 JYV917559:JYW917559 KIR917559:KIS917559 KSN917559:KSO917559 LCJ917559:LCK917559 LMF917559:LMG917559 LWB917559:LWC917559 MFX917559:MFY917559 MPT917559:MPU917559 MZP917559:MZQ917559 NJL917559:NJM917559 NTH917559:NTI917559 ODD917559:ODE917559 OMZ917559:ONA917559 OWV917559:OWW917559 PGR917559:PGS917559 PQN917559:PQO917559 QAJ917559:QAK917559 QKF917559:QKG917559 QUB917559:QUC917559 RDX917559:RDY917559 RNT917559:RNU917559 RXP917559:RXQ917559 SHL917559:SHM917559 SRH917559:SRI917559 TBD917559:TBE917559 TKZ917559:TLA917559 TUV917559:TUW917559 UER917559:UES917559 UON917559:UOO917559 UYJ917559:UYK917559 VIF917559:VIG917559 VSB917559:VSC917559 WBX917559:WBY917559 WLT917559:WLU917559 WVP917559:WVQ917559 H983095:I983095 JD983095:JE983095 SZ983095:TA983095 ACV983095:ACW983095 AMR983095:AMS983095 AWN983095:AWO983095 BGJ983095:BGK983095 BQF983095:BQG983095 CAB983095:CAC983095 CJX983095:CJY983095 CTT983095:CTU983095 DDP983095:DDQ983095 DNL983095:DNM983095 DXH983095:DXI983095 EHD983095:EHE983095 EQZ983095:ERA983095 FAV983095:FAW983095 FKR983095:FKS983095 FUN983095:FUO983095 GEJ983095:GEK983095 GOF983095:GOG983095 GYB983095:GYC983095 HHX983095:HHY983095 HRT983095:HRU983095 IBP983095:IBQ983095 ILL983095:ILM983095 IVH983095:IVI983095 JFD983095:JFE983095 JOZ983095:JPA983095 JYV983095:JYW983095 KIR983095:KIS983095 KSN983095:KSO983095 LCJ983095:LCK983095 LMF983095:LMG983095 LWB983095:LWC983095 MFX983095:MFY983095 MPT983095:MPU983095 MZP983095:MZQ983095 NJL983095:NJM983095 NTH983095:NTI983095 ODD983095:ODE983095 OMZ983095:ONA983095 OWV983095:OWW983095 PGR983095:PGS983095 PQN983095:PQO983095 QAJ983095:QAK983095 QKF983095:QKG983095 QUB983095:QUC983095 RDX983095:RDY983095 RNT983095:RNU983095 RXP983095:RXQ983095 SHL983095:SHM983095 SRH983095:SRI983095 TBD983095:TBE983095 TKZ983095:TLA983095 TUV983095:TUW983095 UER983095:UES983095 UON983095:UOO983095 UYJ983095:UYK983095 VIF983095:VIG983095 VSB983095:VSC983095 WBX983095:WBY983095 WLT983095:WLU983095 WVP983095:WVQ983095 H45:I45 JD45:JE45 SZ45:TA45 ACV45:ACW45 AMR45:AMS45 AWN45:AWO45 BGJ45:BGK45 BQF45:BQG45 CAB45:CAC45 CJX45:CJY45 CTT45:CTU45 DDP45:DDQ45 DNL45:DNM45 DXH45:DXI45 EHD45:EHE45 EQZ45:ERA45 FAV45:FAW45 FKR45:FKS45 FUN45:FUO45 GEJ45:GEK45 GOF45:GOG45 GYB45:GYC45 HHX45:HHY45 HRT45:HRU45 IBP45:IBQ45 ILL45:ILM45 IVH45:IVI45 JFD45:JFE45 JOZ45:JPA45 JYV45:JYW45 KIR45:KIS45 KSN45:KSO45 LCJ45:LCK45 LMF45:LMG45 LWB45:LWC45 MFX45:MFY45 MPT45:MPU45 MZP45:MZQ45 NJL45:NJM45 NTH45:NTI45 ODD45:ODE45 OMZ45:ONA45 OWV45:OWW45 PGR45:PGS45 PQN45:PQO45 QAJ45:QAK45 QKF45:QKG45 QUB45:QUC45 RDX45:RDY45 RNT45:RNU45 RXP45:RXQ45 SHL45:SHM45 SRH45:SRI45 TBD45:TBE45 TKZ45:TLA45 TUV45:TUW45 UER45:UES45 UON45:UOO45 UYJ45:UYK45 VIF45:VIG45 VSB45:VSC45 WBX45:WBY45 WLT45:WLU45 WVP45:WVQ45 H65581:I65581 JD65581:JE65581 SZ65581:TA65581 ACV65581:ACW65581 AMR65581:AMS65581 AWN65581:AWO65581 BGJ65581:BGK65581 BQF65581:BQG65581 CAB65581:CAC65581 CJX65581:CJY65581 CTT65581:CTU65581 DDP65581:DDQ65581 DNL65581:DNM65581 DXH65581:DXI65581 EHD65581:EHE65581 EQZ65581:ERA65581 FAV65581:FAW65581 FKR65581:FKS65581 FUN65581:FUO65581 GEJ65581:GEK65581 GOF65581:GOG65581 GYB65581:GYC65581 HHX65581:HHY65581 HRT65581:HRU65581 IBP65581:IBQ65581 ILL65581:ILM65581 IVH65581:IVI65581 JFD65581:JFE65581 JOZ65581:JPA65581 JYV65581:JYW65581 KIR65581:KIS65581 KSN65581:KSO65581 LCJ65581:LCK65581 LMF65581:LMG65581 LWB65581:LWC65581 MFX65581:MFY65581 MPT65581:MPU65581 MZP65581:MZQ65581 NJL65581:NJM65581 NTH65581:NTI65581 ODD65581:ODE65581 OMZ65581:ONA65581 OWV65581:OWW65581 PGR65581:PGS65581 PQN65581:PQO65581 QAJ65581:QAK65581 QKF65581:QKG65581 QUB65581:QUC65581 RDX65581:RDY65581 RNT65581:RNU65581 RXP65581:RXQ65581 SHL65581:SHM65581 SRH65581:SRI65581 TBD65581:TBE65581 TKZ65581:TLA65581 TUV65581:TUW65581 UER65581:UES65581 UON65581:UOO65581 UYJ65581:UYK65581 VIF65581:VIG65581 VSB65581:VSC65581 WBX65581:WBY65581 WLT65581:WLU65581 WVP65581:WVQ65581 H131117:I131117 JD131117:JE131117 SZ131117:TA131117 ACV131117:ACW131117 AMR131117:AMS131117 AWN131117:AWO131117 BGJ131117:BGK131117 BQF131117:BQG131117 CAB131117:CAC131117 CJX131117:CJY131117 CTT131117:CTU131117 DDP131117:DDQ131117 DNL131117:DNM131117 DXH131117:DXI131117 EHD131117:EHE131117 EQZ131117:ERA131117 FAV131117:FAW131117 FKR131117:FKS131117 FUN131117:FUO131117 GEJ131117:GEK131117 GOF131117:GOG131117 GYB131117:GYC131117 HHX131117:HHY131117 HRT131117:HRU131117 IBP131117:IBQ131117 ILL131117:ILM131117 IVH131117:IVI131117 JFD131117:JFE131117 JOZ131117:JPA131117 JYV131117:JYW131117 KIR131117:KIS131117 KSN131117:KSO131117 LCJ131117:LCK131117 LMF131117:LMG131117 LWB131117:LWC131117 MFX131117:MFY131117 MPT131117:MPU131117 MZP131117:MZQ131117 NJL131117:NJM131117 NTH131117:NTI131117 ODD131117:ODE131117 OMZ131117:ONA131117 OWV131117:OWW131117 PGR131117:PGS131117 PQN131117:PQO131117 QAJ131117:QAK131117 QKF131117:QKG131117 QUB131117:QUC131117 RDX131117:RDY131117 RNT131117:RNU131117 RXP131117:RXQ131117 SHL131117:SHM131117 SRH131117:SRI131117 TBD131117:TBE131117 TKZ131117:TLA131117 TUV131117:TUW131117 UER131117:UES131117 UON131117:UOO131117 UYJ131117:UYK131117 VIF131117:VIG131117 VSB131117:VSC131117 WBX131117:WBY131117 WLT131117:WLU131117 WVP131117:WVQ131117 H196653:I196653 JD196653:JE196653 SZ196653:TA196653 ACV196653:ACW196653 AMR196653:AMS196653 AWN196653:AWO196653 BGJ196653:BGK196653 BQF196653:BQG196653 CAB196653:CAC196653 CJX196653:CJY196653 CTT196653:CTU196653 DDP196653:DDQ196653 DNL196653:DNM196653 DXH196653:DXI196653 EHD196653:EHE196653 EQZ196653:ERA196653 FAV196653:FAW196653 FKR196653:FKS196653 FUN196653:FUO196653 GEJ196653:GEK196653 GOF196653:GOG196653 GYB196653:GYC196653 HHX196653:HHY196653 HRT196653:HRU196653 IBP196653:IBQ196653 ILL196653:ILM196653 IVH196653:IVI196653 JFD196653:JFE196653 JOZ196653:JPA196653 JYV196653:JYW196653 KIR196653:KIS196653 KSN196653:KSO196653 LCJ196653:LCK196653 LMF196653:LMG196653 LWB196653:LWC196653 MFX196653:MFY196653 MPT196653:MPU196653 MZP196653:MZQ196653 NJL196653:NJM196653 NTH196653:NTI196653 ODD196653:ODE196653 OMZ196653:ONA196653 OWV196653:OWW196653 PGR196653:PGS196653 PQN196653:PQO196653 QAJ196653:QAK196653 QKF196653:QKG196653 QUB196653:QUC196653 RDX196653:RDY196653 RNT196653:RNU196653 RXP196653:RXQ196653 SHL196653:SHM196653 SRH196653:SRI196653 TBD196653:TBE196653 TKZ196653:TLA196653 TUV196653:TUW196653 UER196653:UES196653 UON196653:UOO196653 UYJ196653:UYK196653 VIF196653:VIG196653 VSB196653:VSC196653 WBX196653:WBY196653 WLT196653:WLU196653 WVP196653:WVQ196653 H262189:I262189 JD262189:JE262189 SZ262189:TA262189 ACV262189:ACW262189 AMR262189:AMS262189 AWN262189:AWO262189 BGJ262189:BGK262189 BQF262189:BQG262189 CAB262189:CAC262189 CJX262189:CJY262189 CTT262189:CTU262189 DDP262189:DDQ262189 DNL262189:DNM262189 DXH262189:DXI262189 EHD262189:EHE262189 EQZ262189:ERA262189 FAV262189:FAW262189 FKR262189:FKS262189 FUN262189:FUO262189 GEJ262189:GEK262189 GOF262189:GOG262189 GYB262189:GYC262189 HHX262189:HHY262189 HRT262189:HRU262189 IBP262189:IBQ262189 ILL262189:ILM262189 IVH262189:IVI262189 JFD262189:JFE262189 JOZ262189:JPA262189 JYV262189:JYW262189 KIR262189:KIS262189 KSN262189:KSO262189 LCJ262189:LCK262189 LMF262189:LMG262189 LWB262189:LWC262189 MFX262189:MFY262189 MPT262189:MPU262189 MZP262189:MZQ262189 NJL262189:NJM262189 NTH262189:NTI262189 ODD262189:ODE262189 OMZ262189:ONA262189 OWV262189:OWW262189 PGR262189:PGS262189 PQN262189:PQO262189 QAJ262189:QAK262189 QKF262189:QKG262189 QUB262189:QUC262189 RDX262189:RDY262189 RNT262189:RNU262189 RXP262189:RXQ262189 SHL262189:SHM262189 SRH262189:SRI262189 TBD262189:TBE262189 TKZ262189:TLA262189 TUV262189:TUW262189 UER262189:UES262189 UON262189:UOO262189 UYJ262189:UYK262189 VIF262189:VIG262189 VSB262189:VSC262189 WBX262189:WBY262189 WLT262189:WLU262189 WVP262189:WVQ262189 H327725:I327725 JD327725:JE327725 SZ327725:TA327725 ACV327725:ACW327725 AMR327725:AMS327725 AWN327725:AWO327725 BGJ327725:BGK327725 BQF327725:BQG327725 CAB327725:CAC327725 CJX327725:CJY327725 CTT327725:CTU327725 DDP327725:DDQ327725 DNL327725:DNM327725 DXH327725:DXI327725 EHD327725:EHE327725 EQZ327725:ERA327725 FAV327725:FAW327725 FKR327725:FKS327725 FUN327725:FUO327725 GEJ327725:GEK327725 GOF327725:GOG327725 GYB327725:GYC327725 HHX327725:HHY327725 HRT327725:HRU327725 IBP327725:IBQ327725 ILL327725:ILM327725 IVH327725:IVI327725 JFD327725:JFE327725 JOZ327725:JPA327725 JYV327725:JYW327725 KIR327725:KIS327725 KSN327725:KSO327725 LCJ327725:LCK327725 LMF327725:LMG327725 LWB327725:LWC327725 MFX327725:MFY327725 MPT327725:MPU327725 MZP327725:MZQ327725 NJL327725:NJM327725 NTH327725:NTI327725 ODD327725:ODE327725 OMZ327725:ONA327725 OWV327725:OWW327725 PGR327725:PGS327725 PQN327725:PQO327725 QAJ327725:QAK327725 QKF327725:QKG327725 QUB327725:QUC327725 RDX327725:RDY327725 RNT327725:RNU327725 RXP327725:RXQ327725 SHL327725:SHM327725 SRH327725:SRI327725 TBD327725:TBE327725 TKZ327725:TLA327725 TUV327725:TUW327725 UER327725:UES327725 UON327725:UOO327725 UYJ327725:UYK327725 VIF327725:VIG327725 VSB327725:VSC327725 WBX327725:WBY327725 WLT327725:WLU327725 WVP327725:WVQ327725 H393261:I393261 JD393261:JE393261 SZ393261:TA393261 ACV393261:ACW393261 AMR393261:AMS393261 AWN393261:AWO393261 BGJ393261:BGK393261 BQF393261:BQG393261 CAB393261:CAC393261 CJX393261:CJY393261 CTT393261:CTU393261 DDP393261:DDQ393261 DNL393261:DNM393261 DXH393261:DXI393261 EHD393261:EHE393261 EQZ393261:ERA393261 FAV393261:FAW393261 FKR393261:FKS393261 FUN393261:FUO393261 GEJ393261:GEK393261 GOF393261:GOG393261 GYB393261:GYC393261 HHX393261:HHY393261 HRT393261:HRU393261 IBP393261:IBQ393261 ILL393261:ILM393261 IVH393261:IVI393261 JFD393261:JFE393261 JOZ393261:JPA393261 JYV393261:JYW393261 KIR393261:KIS393261 KSN393261:KSO393261 LCJ393261:LCK393261 LMF393261:LMG393261 LWB393261:LWC393261 MFX393261:MFY393261 MPT393261:MPU393261 MZP393261:MZQ393261 NJL393261:NJM393261 NTH393261:NTI393261 ODD393261:ODE393261 OMZ393261:ONA393261 OWV393261:OWW393261 PGR393261:PGS393261 PQN393261:PQO393261 QAJ393261:QAK393261 QKF393261:QKG393261 QUB393261:QUC393261 RDX393261:RDY393261 RNT393261:RNU393261 RXP393261:RXQ393261 SHL393261:SHM393261 SRH393261:SRI393261 TBD393261:TBE393261 TKZ393261:TLA393261 TUV393261:TUW393261 UER393261:UES393261 UON393261:UOO393261 UYJ393261:UYK393261 VIF393261:VIG393261 VSB393261:VSC393261 WBX393261:WBY393261 WLT393261:WLU393261 WVP393261:WVQ393261 H458797:I458797 JD458797:JE458797 SZ458797:TA458797 ACV458797:ACW458797 AMR458797:AMS458797 AWN458797:AWO458797 BGJ458797:BGK458797 BQF458797:BQG458797 CAB458797:CAC458797 CJX458797:CJY458797 CTT458797:CTU458797 DDP458797:DDQ458797 DNL458797:DNM458797 DXH458797:DXI458797 EHD458797:EHE458797 EQZ458797:ERA458797 FAV458797:FAW458797 FKR458797:FKS458797 FUN458797:FUO458797 GEJ458797:GEK458797 GOF458797:GOG458797 GYB458797:GYC458797 HHX458797:HHY458797 HRT458797:HRU458797 IBP458797:IBQ458797 ILL458797:ILM458797 IVH458797:IVI458797 JFD458797:JFE458797 JOZ458797:JPA458797 JYV458797:JYW458797 KIR458797:KIS458797 KSN458797:KSO458797 LCJ458797:LCK458797 LMF458797:LMG458797 LWB458797:LWC458797 MFX458797:MFY458797 MPT458797:MPU458797 MZP458797:MZQ458797 NJL458797:NJM458797 NTH458797:NTI458797 ODD458797:ODE458797 OMZ458797:ONA458797 OWV458797:OWW458797 PGR458797:PGS458797 PQN458797:PQO458797 QAJ458797:QAK458797 QKF458797:QKG458797 QUB458797:QUC458797 RDX458797:RDY458797 RNT458797:RNU458797 RXP458797:RXQ458797 SHL458797:SHM458797 SRH458797:SRI458797 TBD458797:TBE458797 TKZ458797:TLA458797 TUV458797:TUW458797 UER458797:UES458797 UON458797:UOO458797 UYJ458797:UYK458797 VIF458797:VIG458797 VSB458797:VSC458797 WBX458797:WBY458797 WLT458797:WLU458797 WVP458797:WVQ458797 H524333:I524333 JD524333:JE524333 SZ524333:TA524333 ACV524333:ACW524333 AMR524333:AMS524333 AWN524333:AWO524333 BGJ524333:BGK524333 BQF524333:BQG524333 CAB524333:CAC524333 CJX524333:CJY524333 CTT524333:CTU524333 DDP524333:DDQ524333 DNL524333:DNM524333 DXH524333:DXI524333 EHD524333:EHE524333 EQZ524333:ERA524333 FAV524333:FAW524333 FKR524333:FKS524333 FUN524333:FUO524333 GEJ524333:GEK524333 GOF524333:GOG524333 GYB524333:GYC524333 HHX524333:HHY524333 HRT524333:HRU524333 IBP524333:IBQ524333 ILL524333:ILM524333 IVH524333:IVI524333 JFD524333:JFE524333 JOZ524333:JPA524333 JYV524333:JYW524333 KIR524333:KIS524333 KSN524333:KSO524333 LCJ524333:LCK524333 LMF524333:LMG524333 LWB524333:LWC524333 MFX524333:MFY524333 MPT524333:MPU524333 MZP524333:MZQ524333 NJL524333:NJM524333 NTH524333:NTI524333 ODD524333:ODE524333 OMZ524333:ONA524333 OWV524333:OWW524333 PGR524333:PGS524333 PQN524333:PQO524333 QAJ524333:QAK524333 QKF524333:QKG524333 QUB524333:QUC524333 RDX524333:RDY524333 RNT524333:RNU524333 RXP524333:RXQ524333 SHL524333:SHM524333 SRH524333:SRI524333 TBD524333:TBE524333 TKZ524333:TLA524333 TUV524333:TUW524333 UER524333:UES524333 UON524333:UOO524333 UYJ524333:UYK524333 VIF524333:VIG524333 VSB524333:VSC524333 WBX524333:WBY524333 WLT524333:WLU524333 WVP524333:WVQ524333 H589869:I589869 JD589869:JE589869 SZ589869:TA589869 ACV589869:ACW589869 AMR589869:AMS589869 AWN589869:AWO589869 BGJ589869:BGK589869 BQF589869:BQG589869 CAB589869:CAC589869 CJX589869:CJY589869 CTT589869:CTU589869 DDP589869:DDQ589869 DNL589869:DNM589869 DXH589869:DXI589869 EHD589869:EHE589869 EQZ589869:ERA589869 FAV589869:FAW589869 FKR589869:FKS589869 FUN589869:FUO589869 GEJ589869:GEK589869 GOF589869:GOG589869 GYB589869:GYC589869 HHX589869:HHY589869 HRT589869:HRU589869 IBP589869:IBQ589869 ILL589869:ILM589869 IVH589869:IVI589869 JFD589869:JFE589869 JOZ589869:JPA589869 JYV589869:JYW589869 KIR589869:KIS589869 KSN589869:KSO589869 LCJ589869:LCK589869 LMF589869:LMG589869 LWB589869:LWC589869 MFX589869:MFY589869 MPT589869:MPU589869 MZP589869:MZQ589869 NJL589869:NJM589869 NTH589869:NTI589869 ODD589869:ODE589869 OMZ589869:ONA589869 OWV589869:OWW589869 PGR589869:PGS589869 PQN589869:PQO589869 QAJ589869:QAK589869 QKF589869:QKG589869 QUB589869:QUC589869 RDX589869:RDY589869 RNT589869:RNU589869 RXP589869:RXQ589869 SHL589869:SHM589869 SRH589869:SRI589869 TBD589869:TBE589869 TKZ589869:TLA589869 TUV589869:TUW589869 UER589869:UES589869 UON589869:UOO589869 UYJ589869:UYK589869 VIF589869:VIG589869 VSB589869:VSC589869 WBX589869:WBY589869 WLT589869:WLU589869 WVP589869:WVQ589869 H655405:I655405 JD655405:JE655405 SZ655405:TA655405 ACV655405:ACW655405 AMR655405:AMS655405 AWN655405:AWO655405 BGJ655405:BGK655405 BQF655405:BQG655405 CAB655405:CAC655405 CJX655405:CJY655405 CTT655405:CTU655405 DDP655405:DDQ655405 DNL655405:DNM655405 DXH655405:DXI655405 EHD655405:EHE655405 EQZ655405:ERA655405 FAV655405:FAW655405 FKR655405:FKS655405 FUN655405:FUO655405 GEJ655405:GEK655405 GOF655405:GOG655405 GYB655405:GYC655405 HHX655405:HHY655405 HRT655405:HRU655405 IBP655405:IBQ655405 ILL655405:ILM655405 IVH655405:IVI655405 JFD655405:JFE655405 JOZ655405:JPA655405 JYV655405:JYW655405 KIR655405:KIS655405 KSN655405:KSO655405 LCJ655405:LCK655405 LMF655405:LMG655405 LWB655405:LWC655405 MFX655405:MFY655405 MPT655405:MPU655405 MZP655405:MZQ655405 NJL655405:NJM655405 NTH655405:NTI655405 ODD655405:ODE655405 OMZ655405:ONA655405 OWV655405:OWW655405 PGR655405:PGS655405 PQN655405:PQO655405 QAJ655405:QAK655405 QKF655405:QKG655405 QUB655405:QUC655405 RDX655405:RDY655405 RNT655405:RNU655405 RXP655405:RXQ655405 SHL655405:SHM655405 SRH655405:SRI655405 TBD655405:TBE655405 TKZ655405:TLA655405 TUV655405:TUW655405 UER655405:UES655405 UON655405:UOO655405 UYJ655405:UYK655405 VIF655405:VIG655405 VSB655405:VSC655405 WBX655405:WBY655405 WLT655405:WLU655405 WVP655405:WVQ655405 H720941:I720941 JD720941:JE720941 SZ720941:TA720941 ACV720941:ACW720941 AMR720941:AMS720941 AWN720941:AWO720941 BGJ720941:BGK720941 BQF720941:BQG720941 CAB720941:CAC720941 CJX720941:CJY720941 CTT720941:CTU720941 DDP720941:DDQ720941 DNL720941:DNM720941 DXH720941:DXI720941 EHD720941:EHE720941 EQZ720941:ERA720941 FAV720941:FAW720941 FKR720941:FKS720941 FUN720941:FUO720941 GEJ720941:GEK720941 GOF720941:GOG720941 GYB720941:GYC720941 HHX720941:HHY720941 HRT720941:HRU720941 IBP720941:IBQ720941 ILL720941:ILM720941 IVH720941:IVI720941 JFD720941:JFE720941 JOZ720941:JPA720941 JYV720941:JYW720941 KIR720941:KIS720941 KSN720941:KSO720941 LCJ720941:LCK720941 LMF720941:LMG720941 LWB720941:LWC720941 MFX720941:MFY720941 MPT720941:MPU720941 MZP720941:MZQ720941 NJL720941:NJM720941 NTH720941:NTI720941 ODD720941:ODE720941 OMZ720941:ONA720941 OWV720941:OWW720941 PGR720941:PGS720941 PQN720941:PQO720941 QAJ720941:QAK720941 QKF720941:QKG720941 QUB720941:QUC720941 RDX720941:RDY720941 RNT720941:RNU720941 RXP720941:RXQ720941 SHL720941:SHM720941 SRH720941:SRI720941 TBD720941:TBE720941 TKZ720941:TLA720941 TUV720941:TUW720941 UER720941:UES720941 UON720941:UOO720941 UYJ720941:UYK720941 VIF720941:VIG720941 VSB720941:VSC720941 WBX720941:WBY720941 WLT720941:WLU720941 WVP720941:WVQ720941 H786477:I786477 JD786477:JE786477 SZ786477:TA786477 ACV786477:ACW786477 AMR786477:AMS786477 AWN786477:AWO786477 BGJ786477:BGK786477 BQF786477:BQG786477 CAB786477:CAC786477 CJX786477:CJY786477 CTT786477:CTU786477 DDP786477:DDQ786477 DNL786477:DNM786477 DXH786477:DXI786477 EHD786477:EHE786477 EQZ786477:ERA786477 FAV786477:FAW786477 FKR786477:FKS786477 FUN786477:FUO786477 GEJ786477:GEK786477 GOF786477:GOG786477 GYB786477:GYC786477 HHX786477:HHY786477 HRT786477:HRU786477 IBP786477:IBQ786477 ILL786477:ILM786477 IVH786477:IVI786477 JFD786477:JFE786477 JOZ786477:JPA786477 JYV786477:JYW786477 KIR786477:KIS786477 KSN786477:KSO786477 LCJ786477:LCK786477 LMF786477:LMG786477 LWB786477:LWC786477 MFX786477:MFY786477 MPT786477:MPU786477 MZP786477:MZQ786477 NJL786477:NJM786477 NTH786477:NTI786477 ODD786477:ODE786477 OMZ786477:ONA786477 OWV786477:OWW786477 PGR786477:PGS786477 PQN786477:PQO786477 QAJ786477:QAK786477 QKF786477:QKG786477 QUB786477:QUC786477 RDX786477:RDY786477 RNT786477:RNU786477 RXP786477:RXQ786477 SHL786477:SHM786477 SRH786477:SRI786477 TBD786477:TBE786477 TKZ786477:TLA786477 TUV786477:TUW786477 UER786477:UES786477 UON786477:UOO786477 UYJ786477:UYK786477 VIF786477:VIG786477 VSB786477:VSC786477 WBX786477:WBY786477 WLT786477:WLU786477 WVP786477:WVQ786477 H852013:I852013 JD852013:JE852013 SZ852013:TA852013 ACV852013:ACW852013 AMR852013:AMS852013 AWN852013:AWO852013 BGJ852013:BGK852013 BQF852013:BQG852013 CAB852013:CAC852013 CJX852013:CJY852013 CTT852013:CTU852013 DDP852013:DDQ852013 DNL852013:DNM852013 DXH852013:DXI852013 EHD852013:EHE852013 EQZ852013:ERA852013 FAV852013:FAW852013 FKR852013:FKS852013 FUN852013:FUO852013 GEJ852013:GEK852013 GOF852013:GOG852013 GYB852013:GYC852013 HHX852013:HHY852013 HRT852013:HRU852013 IBP852013:IBQ852013 ILL852013:ILM852013 IVH852013:IVI852013 JFD852013:JFE852013 JOZ852013:JPA852013 JYV852013:JYW852013 KIR852013:KIS852013 KSN852013:KSO852013 LCJ852013:LCK852013 LMF852013:LMG852013 LWB852013:LWC852013 MFX852013:MFY852013 MPT852013:MPU852013 MZP852013:MZQ852013 NJL852013:NJM852013 NTH852013:NTI852013 ODD852013:ODE852013 OMZ852013:ONA852013 OWV852013:OWW852013 PGR852013:PGS852013 PQN852013:PQO852013 QAJ852013:QAK852013 QKF852013:QKG852013 QUB852013:QUC852013 RDX852013:RDY852013 RNT852013:RNU852013 RXP852013:RXQ852013 SHL852013:SHM852013 SRH852013:SRI852013 TBD852013:TBE852013 TKZ852013:TLA852013 TUV852013:TUW852013 UER852013:UES852013 UON852013:UOO852013 UYJ852013:UYK852013 VIF852013:VIG852013 VSB852013:VSC852013 WBX852013:WBY852013 WLT852013:WLU852013 WVP852013:WVQ852013 H917549:I917549 JD917549:JE917549 SZ917549:TA917549 ACV917549:ACW917549 AMR917549:AMS917549 AWN917549:AWO917549 BGJ917549:BGK917549 BQF917549:BQG917549 CAB917549:CAC917549 CJX917549:CJY917549 CTT917549:CTU917549 DDP917549:DDQ917549 DNL917549:DNM917549 DXH917549:DXI917549 EHD917549:EHE917549 EQZ917549:ERA917549 FAV917549:FAW917549 FKR917549:FKS917549 FUN917549:FUO917549 GEJ917549:GEK917549 GOF917549:GOG917549 GYB917549:GYC917549 HHX917549:HHY917549 HRT917549:HRU917549 IBP917549:IBQ917549 ILL917549:ILM917549 IVH917549:IVI917549 JFD917549:JFE917549 JOZ917549:JPA917549 JYV917549:JYW917549 KIR917549:KIS917549 KSN917549:KSO917549 LCJ917549:LCK917549 LMF917549:LMG917549 LWB917549:LWC917549 MFX917549:MFY917549 MPT917549:MPU917549 MZP917549:MZQ917549 NJL917549:NJM917549 NTH917549:NTI917549 ODD917549:ODE917549 OMZ917549:ONA917549 OWV917549:OWW917549 PGR917549:PGS917549 PQN917549:PQO917549 QAJ917549:QAK917549 QKF917549:QKG917549 QUB917549:QUC917549 RDX917549:RDY917549 RNT917549:RNU917549 RXP917549:RXQ917549 SHL917549:SHM917549 SRH917549:SRI917549 TBD917549:TBE917549 TKZ917549:TLA917549 TUV917549:TUW917549 UER917549:UES917549 UON917549:UOO917549 UYJ917549:UYK917549 VIF917549:VIG917549 VSB917549:VSC917549 WBX917549:WBY917549 WLT917549:WLU917549 WVP917549:WVQ917549 H983085:I983085 JD983085:JE983085 SZ983085:TA983085 ACV983085:ACW983085 AMR983085:AMS983085 AWN983085:AWO983085 BGJ983085:BGK983085 BQF983085:BQG983085 CAB983085:CAC983085 CJX983085:CJY983085 CTT983085:CTU983085 DDP983085:DDQ983085 DNL983085:DNM983085 DXH983085:DXI983085 EHD983085:EHE983085 EQZ983085:ERA983085 FAV983085:FAW983085 FKR983085:FKS983085 FUN983085:FUO983085 GEJ983085:GEK983085 GOF983085:GOG983085 GYB983085:GYC983085 HHX983085:HHY983085 HRT983085:HRU983085 IBP983085:IBQ983085 ILL983085:ILM983085 IVH983085:IVI983085 JFD983085:JFE983085 JOZ983085:JPA983085 JYV983085:JYW983085 KIR983085:KIS983085 KSN983085:KSO983085 LCJ983085:LCK983085 LMF983085:LMG983085 LWB983085:LWC983085 MFX983085:MFY983085 MPT983085:MPU983085 MZP983085:MZQ983085 NJL983085:NJM983085 NTH983085:NTI983085 ODD983085:ODE983085 OMZ983085:ONA983085 OWV983085:OWW983085 PGR983085:PGS983085 PQN983085:PQO983085 QAJ983085:QAK983085 QKF983085:QKG983085 QUB983085:QUC983085 RDX983085:RDY983085 RNT983085:RNU983085 RXP983085:RXQ983085 SHL983085:SHM983085 SRH983085:SRI983085 TBD983085:TBE983085 TKZ983085:TLA983085 TUV983085:TUW983085 UER983085:UES983085 UON983085:UOO983085 UYJ983085:UYK983085 VIF983085:VIG983085 VSB983085:VSC983085 WBX983085:WBY983085 WLT983085:WLU983085 WVP983085:WVQ983085 H35:I35 JD35:JE35 SZ35:TA35 ACV35:ACW35 AMR35:AMS35 AWN35:AWO35 BGJ35:BGK35 BQF35:BQG35 CAB35:CAC35 CJX35:CJY35 CTT35:CTU35 DDP35:DDQ35 DNL35:DNM35 DXH35:DXI35 EHD35:EHE35 EQZ35:ERA35 FAV35:FAW35 FKR35:FKS35 FUN35:FUO35 GEJ35:GEK35 GOF35:GOG35 GYB35:GYC35 HHX35:HHY35 HRT35:HRU35 IBP35:IBQ35 ILL35:ILM35 IVH35:IVI35 JFD35:JFE35 JOZ35:JPA35 JYV35:JYW35 KIR35:KIS35 KSN35:KSO35 LCJ35:LCK35 LMF35:LMG35 LWB35:LWC35 MFX35:MFY35 MPT35:MPU35 MZP35:MZQ35 NJL35:NJM35 NTH35:NTI35 ODD35:ODE35 OMZ35:ONA35 OWV35:OWW35 PGR35:PGS35 PQN35:PQO35 QAJ35:QAK35 QKF35:QKG35 QUB35:QUC35 RDX35:RDY35 RNT35:RNU35 RXP35:RXQ35 SHL35:SHM35 SRH35:SRI35 TBD35:TBE35 TKZ35:TLA35 TUV35:TUW35 UER35:UES35 UON35:UOO35 UYJ35:UYK35 VIF35:VIG35 VSB35:VSC35 WBX35:WBY35 WLT35:WLU35 WVP35:WVQ35 H65571:I65571 JD65571:JE65571 SZ65571:TA65571 ACV65571:ACW65571 AMR65571:AMS65571 AWN65571:AWO65571 BGJ65571:BGK65571 BQF65571:BQG65571 CAB65571:CAC65571 CJX65571:CJY65571 CTT65571:CTU65571 DDP65571:DDQ65571 DNL65571:DNM65571 DXH65571:DXI65571 EHD65571:EHE65571 EQZ65571:ERA65571 FAV65571:FAW65571 FKR65571:FKS65571 FUN65571:FUO65571 GEJ65571:GEK65571 GOF65571:GOG65571 GYB65571:GYC65571 HHX65571:HHY65571 HRT65571:HRU65571 IBP65571:IBQ65571 ILL65571:ILM65571 IVH65571:IVI65571 JFD65571:JFE65571 JOZ65571:JPA65571 JYV65571:JYW65571 KIR65571:KIS65571 KSN65571:KSO65571 LCJ65571:LCK65571 LMF65571:LMG65571 LWB65571:LWC65571 MFX65571:MFY65571 MPT65571:MPU65571 MZP65571:MZQ65571 NJL65571:NJM65571 NTH65571:NTI65571 ODD65571:ODE65571 OMZ65571:ONA65571 OWV65571:OWW65571 PGR65571:PGS65571 PQN65571:PQO65571 QAJ65571:QAK65571 QKF65571:QKG65571 QUB65571:QUC65571 RDX65571:RDY65571 RNT65571:RNU65571 RXP65571:RXQ65571 SHL65571:SHM65571 SRH65571:SRI65571 TBD65571:TBE65571 TKZ65571:TLA65571 TUV65571:TUW65571 UER65571:UES65571 UON65571:UOO65571 UYJ65571:UYK65571 VIF65571:VIG65571 VSB65571:VSC65571 WBX65571:WBY65571 WLT65571:WLU65571 WVP65571:WVQ65571 H131107:I131107 JD131107:JE131107 SZ131107:TA131107 ACV131107:ACW131107 AMR131107:AMS131107 AWN131107:AWO131107 BGJ131107:BGK131107 BQF131107:BQG131107 CAB131107:CAC131107 CJX131107:CJY131107 CTT131107:CTU131107 DDP131107:DDQ131107 DNL131107:DNM131107 DXH131107:DXI131107 EHD131107:EHE131107 EQZ131107:ERA131107 FAV131107:FAW131107 FKR131107:FKS131107 FUN131107:FUO131107 GEJ131107:GEK131107 GOF131107:GOG131107 GYB131107:GYC131107 HHX131107:HHY131107 HRT131107:HRU131107 IBP131107:IBQ131107 ILL131107:ILM131107 IVH131107:IVI131107 JFD131107:JFE131107 JOZ131107:JPA131107 JYV131107:JYW131107 KIR131107:KIS131107 KSN131107:KSO131107 LCJ131107:LCK131107 LMF131107:LMG131107 LWB131107:LWC131107 MFX131107:MFY131107 MPT131107:MPU131107 MZP131107:MZQ131107 NJL131107:NJM131107 NTH131107:NTI131107 ODD131107:ODE131107 OMZ131107:ONA131107 OWV131107:OWW131107 PGR131107:PGS131107 PQN131107:PQO131107 QAJ131107:QAK131107 QKF131107:QKG131107 QUB131107:QUC131107 RDX131107:RDY131107 RNT131107:RNU131107 RXP131107:RXQ131107 SHL131107:SHM131107 SRH131107:SRI131107 TBD131107:TBE131107 TKZ131107:TLA131107 TUV131107:TUW131107 UER131107:UES131107 UON131107:UOO131107 UYJ131107:UYK131107 VIF131107:VIG131107 VSB131107:VSC131107 WBX131107:WBY131107 WLT131107:WLU131107 WVP131107:WVQ131107 H196643:I196643 JD196643:JE196643 SZ196643:TA196643 ACV196643:ACW196643 AMR196643:AMS196643 AWN196643:AWO196643 BGJ196643:BGK196643 BQF196643:BQG196643 CAB196643:CAC196643 CJX196643:CJY196643 CTT196643:CTU196643 DDP196643:DDQ196643 DNL196643:DNM196643 DXH196643:DXI196643 EHD196643:EHE196643 EQZ196643:ERA196643 FAV196643:FAW196643 FKR196643:FKS196643 FUN196643:FUO196643 GEJ196643:GEK196643 GOF196643:GOG196643 GYB196643:GYC196643 HHX196643:HHY196643 HRT196643:HRU196643 IBP196643:IBQ196643 ILL196643:ILM196643 IVH196643:IVI196643 JFD196643:JFE196643 JOZ196643:JPA196643 JYV196643:JYW196643 KIR196643:KIS196643 KSN196643:KSO196643 LCJ196643:LCK196643 LMF196643:LMG196643 LWB196643:LWC196643 MFX196643:MFY196643 MPT196643:MPU196643 MZP196643:MZQ196643 NJL196643:NJM196643 NTH196643:NTI196643 ODD196643:ODE196643 OMZ196643:ONA196643 OWV196643:OWW196643 PGR196643:PGS196643 PQN196643:PQO196643 QAJ196643:QAK196643 QKF196643:QKG196643 QUB196643:QUC196643 RDX196643:RDY196643 RNT196643:RNU196643 RXP196643:RXQ196643 SHL196643:SHM196643 SRH196643:SRI196643 TBD196643:TBE196643 TKZ196643:TLA196643 TUV196643:TUW196643 UER196643:UES196643 UON196643:UOO196643 UYJ196643:UYK196643 VIF196643:VIG196643 VSB196643:VSC196643 WBX196643:WBY196643 WLT196643:WLU196643 WVP196643:WVQ196643 H262179:I262179 JD262179:JE262179 SZ262179:TA262179 ACV262179:ACW262179 AMR262179:AMS262179 AWN262179:AWO262179 BGJ262179:BGK262179 BQF262179:BQG262179 CAB262179:CAC262179 CJX262179:CJY262179 CTT262179:CTU262179 DDP262179:DDQ262179 DNL262179:DNM262179 DXH262179:DXI262179 EHD262179:EHE262179 EQZ262179:ERA262179 FAV262179:FAW262179 FKR262179:FKS262179 FUN262179:FUO262179 GEJ262179:GEK262179 GOF262179:GOG262179 GYB262179:GYC262179 HHX262179:HHY262179 HRT262179:HRU262179 IBP262179:IBQ262179 ILL262179:ILM262179 IVH262179:IVI262179 JFD262179:JFE262179 JOZ262179:JPA262179 JYV262179:JYW262179 KIR262179:KIS262179 KSN262179:KSO262179 LCJ262179:LCK262179 LMF262179:LMG262179 LWB262179:LWC262179 MFX262179:MFY262179 MPT262179:MPU262179 MZP262179:MZQ262179 NJL262179:NJM262179 NTH262179:NTI262179 ODD262179:ODE262179 OMZ262179:ONA262179 OWV262179:OWW262179 PGR262179:PGS262179 PQN262179:PQO262179 QAJ262179:QAK262179 QKF262179:QKG262179 QUB262179:QUC262179 RDX262179:RDY262179 RNT262179:RNU262179 RXP262179:RXQ262179 SHL262179:SHM262179 SRH262179:SRI262179 TBD262179:TBE262179 TKZ262179:TLA262179 TUV262179:TUW262179 UER262179:UES262179 UON262179:UOO262179 UYJ262179:UYK262179 VIF262179:VIG262179 VSB262179:VSC262179 WBX262179:WBY262179 WLT262179:WLU262179 WVP262179:WVQ262179 H327715:I327715 JD327715:JE327715 SZ327715:TA327715 ACV327715:ACW327715 AMR327715:AMS327715 AWN327715:AWO327715 BGJ327715:BGK327715 BQF327715:BQG327715 CAB327715:CAC327715 CJX327715:CJY327715 CTT327715:CTU327715 DDP327715:DDQ327715 DNL327715:DNM327715 DXH327715:DXI327715 EHD327715:EHE327715 EQZ327715:ERA327715 FAV327715:FAW327715 FKR327715:FKS327715 FUN327715:FUO327715 GEJ327715:GEK327715 GOF327715:GOG327715 GYB327715:GYC327715 HHX327715:HHY327715 HRT327715:HRU327715 IBP327715:IBQ327715 ILL327715:ILM327715 IVH327715:IVI327715 JFD327715:JFE327715 JOZ327715:JPA327715 JYV327715:JYW327715 KIR327715:KIS327715 KSN327715:KSO327715 LCJ327715:LCK327715 LMF327715:LMG327715 LWB327715:LWC327715 MFX327715:MFY327715 MPT327715:MPU327715 MZP327715:MZQ327715 NJL327715:NJM327715 NTH327715:NTI327715 ODD327715:ODE327715 OMZ327715:ONA327715 OWV327715:OWW327715 PGR327715:PGS327715 PQN327715:PQO327715 QAJ327715:QAK327715 QKF327715:QKG327715 QUB327715:QUC327715 RDX327715:RDY327715 RNT327715:RNU327715 RXP327715:RXQ327715 SHL327715:SHM327715 SRH327715:SRI327715 TBD327715:TBE327715 TKZ327715:TLA327715 TUV327715:TUW327715 UER327715:UES327715 UON327715:UOO327715 UYJ327715:UYK327715 VIF327715:VIG327715 VSB327715:VSC327715 WBX327715:WBY327715 WLT327715:WLU327715 WVP327715:WVQ327715 H393251:I393251 JD393251:JE393251 SZ393251:TA393251 ACV393251:ACW393251 AMR393251:AMS393251 AWN393251:AWO393251 BGJ393251:BGK393251 BQF393251:BQG393251 CAB393251:CAC393251 CJX393251:CJY393251 CTT393251:CTU393251 DDP393251:DDQ393251 DNL393251:DNM393251 DXH393251:DXI393251 EHD393251:EHE393251 EQZ393251:ERA393251 FAV393251:FAW393251 FKR393251:FKS393251 FUN393251:FUO393251 GEJ393251:GEK393251 GOF393251:GOG393251 GYB393251:GYC393251 HHX393251:HHY393251 HRT393251:HRU393251 IBP393251:IBQ393251 ILL393251:ILM393251 IVH393251:IVI393251 JFD393251:JFE393251 JOZ393251:JPA393251 JYV393251:JYW393251 KIR393251:KIS393251 KSN393251:KSO393251 LCJ393251:LCK393251 LMF393251:LMG393251 LWB393251:LWC393251 MFX393251:MFY393251 MPT393251:MPU393251 MZP393251:MZQ393251 NJL393251:NJM393251 NTH393251:NTI393251 ODD393251:ODE393251 OMZ393251:ONA393251 OWV393251:OWW393251 PGR393251:PGS393251 PQN393251:PQO393251 QAJ393251:QAK393251 QKF393251:QKG393251 QUB393251:QUC393251 RDX393251:RDY393251 RNT393251:RNU393251 RXP393251:RXQ393251 SHL393251:SHM393251 SRH393251:SRI393251 TBD393251:TBE393251 TKZ393251:TLA393251 TUV393251:TUW393251 UER393251:UES393251 UON393251:UOO393251 UYJ393251:UYK393251 VIF393251:VIG393251 VSB393251:VSC393251 WBX393251:WBY393251 WLT393251:WLU393251 WVP393251:WVQ393251 H458787:I458787 JD458787:JE458787 SZ458787:TA458787 ACV458787:ACW458787 AMR458787:AMS458787 AWN458787:AWO458787 BGJ458787:BGK458787 BQF458787:BQG458787 CAB458787:CAC458787 CJX458787:CJY458787 CTT458787:CTU458787 DDP458787:DDQ458787 DNL458787:DNM458787 DXH458787:DXI458787 EHD458787:EHE458787 EQZ458787:ERA458787 FAV458787:FAW458787 FKR458787:FKS458787 FUN458787:FUO458787 GEJ458787:GEK458787 GOF458787:GOG458787 GYB458787:GYC458787 HHX458787:HHY458787 HRT458787:HRU458787 IBP458787:IBQ458787 ILL458787:ILM458787 IVH458787:IVI458787 JFD458787:JFE458787 JOZ458787:JPA458787 JYV458787:JYW458787 KIR458787:KIS458787 KSN458787:KSO458787 LCJ458787:LCK458787 LMF458787:LMG458787 LWB458787:LWC458787 MFX458787:MFY458787 MPT458787:MPU458787 MZP458787:MZQ458787 NJL458787:NJM458787 NTH458787:NTI458787 ODD458787:ODE458787 OMZ458787:ONA458787 OWV458787:OWW458787 PGR458787:PGS458787 PQN458787:PQO458787 QAJ458787:QAK458787 QKF458787:QKG458787 QUB458787:QUC458787 RDX458787:RDY458787 RNT458787:RNU458787 RXP458787:RXQ458787 SHL458787:SHM458787 SRH458787:SRI458787 TBD458787:TBE458787 TKZ458787:TLA458787 TUV458787:TUW458787 UER458787:UES458787 UON458787:UOO458787 UYJ458787:UYK458787 VIF458787:VIG458787 VSB458787:VSC458787 WBX458787:WBY458787 WLT458787:WLU458787 WVP458787:WVQ458787 H524323:I524323 JD524323:JE524323 SZ524323:TA524323 ACV524323:ACW524323 AMR524323:AMS524323 AWN524323:AWO524323 BGJ524323:BGK524323 BQF524323:BQG524323 CAB524323:CAC524323 CJX524323:CJY524323 CTT524323:CTU524323 DDP524323:DDQ524323 DNL524323:DNM524323 DXH524323:DXI524323 EHD524323:EHE524323 EQZ524323:ERA524323 FAV524323:FAW524323 FKR524323:FKS524323 FUN524323:FUO524323 GEJ524323:GEK524323 GOF524323:GOG524323 GYB524323:GYC524323 HHX524323:HHY524323 HRT524323:HRU524323 IBP524323:IBQ524323 ILL524323:ILM524323 IVH524323:IVI524323 JFD524323:JFE524323 JOZ524323:JPA524323 JYV524323:JYW524323 KIR524323:KIS524323 KSN524323:KSO524323 LCJ524323:LCK524323 LMF524323:LMG524323 LWB524323:LWC524323 MFX524323:MFY524323 MPT524323:MPU524323 MZP524323:MZQ524323 NJL524323:NJM524323 NTH524323:NTI524323 ODD524323:ODE524323 OMZ524323:ONA524323 OWV524323:OWW524323 PGR524323:PGS524323 PQN524323:PQO524323 QAJ524323:QAK524323 QKF524323:QKG524323 QUB524323:QUC524323 RDX524323:RDY524323 RNT524323:RNU524323 RXP524323:RXQ524323 SHL524323:SHM524323 SRH524323:SRI524323 TBD524323:TBE524323 TKZ524323:TLA524323 TUV524323:TUW524323 UER524323:UES524323 UON524323:UOO524323 UYJ524323:UYK524323 VIF524323:VIG524323 VSB524323:VSC524323 WBX524323:WBY524323 WLT524323:WLU524323 WVP524323:WVQ524323 H589859:I589859 JD589859:JE589859 SZ589859:TA589859 ACV589859:ACW589859 AMR589859:AMS589859 AWN589859:AWO589859 BGJ589859:BGK589859 BQF589859:BQG589859 CAB589859:CAC589859 CJX589859:CJY589859 CTT589859:CTU589859 DDP589859:DDQ589859 DNL589859:DNM589859 DXH589859:DXI589859 EHD589859:EHE589859 EQZ589859:ERA589859 FAV589859:FAW589859 FKR589859:FKS589859 FUN589859:FUO589859 GEJ589859:GEK589859 GOF589859:GOG589859 GYB589859:GYC589859 HHX589859:HHY589859 HRT589859:HRU589859 IBP589859:IBQ589859 ILL589859:ILM589859 IVH589859:IVI589859 JFD589859:JFE589859 JOZ589859:JPA589859 JYV589859:JYW589859 KIR589859:KIS589859 KSN589859:KSO589859 LCJ589859:LCK589859 LMF589859:LMG589859 LWB589859:LWC589859 MFX589859:MFY589859 MPT589859:MPU589859 MZP589859:MZQ589859 NJL589859:NJM589859 NTH589859:NTI589859 ODD589859:ODE589859 OMZ589859:ONA589859 OWV589859:OWW589859 PGR589859:PGS589859 PQN589859:PQO589859 QAJ589859:QAK589859 QKF589859:QKG589859 QUB589859:QUC589859 RDX589859:RDY589859 RNT589859:RNU589859 RXP589859:RXQ589859 SHL589859:SHM589859 SRH589859:SRI589859 TBD589859:TBE589859 TKZ589859:TLA589859 TUV589859:TUW589859 UER589859:UES589859 UON589859:UOO589859 UYJ589859:UYK589859 VIF589859:VIG589859 VSB589859:VSC589859 WBX589859:WBY589859 WLT589859:WLU589859 WVP589859:WVQ589859 H655395:I655395 JD655395:JE655395 SZ655395:TA655395 ACV655395:ACW655395 AMR655395:AMS655395 AWN655395:AWO655395 BGJ655395:BGK655395 BQF655395:BQG655395 CAB655395:CAC655395 CJX655395:CJY655395 CTT655395:CTU655395 DDP655395:DDQ655395 DNL655395:DNM655395 DXH655395:DXI655395 EHD655395:EHE655395 EQZ655395:ERA655395 FAV655395:FAW655395 FKR655395:FKS655395 FUN655395:FUO655395 GEJ655395:GEK655395 GOF655395:GOG655395 GYB655395:GYC655395 HHX655395:HHY655395 HRT655395:HRU655395 IBP655395:IBQ655395 ILL655395:ILM655395 IVH655395:IVI655395 JFD655395:JFE655395 JOZ655395:JPA655395 JYV655395:JYW655395 KIR655395:KIS655395 KSN655395:KSO655395 LCJ655395:LCK655395 LMF655395:LMG655395 LWB655395:LWC655395 MFX655395:MFY655395 MPT655395:MPU655395 MZP655395:MZQ655395 NJL655395:NJM655395 NTH655395:NTI655395 ODD655395:ODE655395 OMZ655395:ONA655395 OWV655395:OWW655395 PGR655395:PGS655395 PQN655395:PQO655395 QAJ655395:QAK655395 QKF655395:QKG655395 QUB655395:QUC655395 RDX655395:RDY655395 RNT655395:RNU655395 RXP655395:RXQ655395 SHL655395:SHM655395 SRH655395:SRI655395 TBD655395:TBE655395 TKZ655395:TLA655395 TUV655395:TUW655395 UER655395:UES655395 UON655395:UOO655395 UYJ655395:UYK655395 VIF655395:VIG655395 VSB655395:VSC655395 WBX655395:WBY655395 WLT655395:WLU655395 WVP655395:WVQ655395 H720931:I720931 JD720931:JE720931 SZ720931:TA720931 ACV720931:ACW720931 AMR720931:AMS720931 AWN720931:AWO720931 BGJ720931:BGK720931 BQF720931:BQG720931 CAB720931:CAC720931 CJX720931:CJY720931 CTT720931:CTU720931 DDP720931:DDQ720931 DNL720931:DNM720931 DXH720931:DXI720931 EHD720931:EHE720931 EQZ720931:ERA720931 FAV720931:FAW720931 FKR720931:FKS720931 FUN720931:FUO720931 GEJ720931:GEK720931 GOF720931:GOG720931 GYB720931:GYC720931 HHX720931:HHY720931 HRT720931:HRU720931 IBP720931:IBQ720931 ILL720931:ILM720931 IVH720931:IVI720931 JFD720931:JFE720931 JOZ720931:JPA720931 JYV720931:JYW720931 KIR720931:KIS720931 KSN720931:KSO720931 LCJ720931:LCK720931 LMF720931:LMG720931 LWB720931:LWC720931 MFX720931:MFY720931 MPT720931:MPU720931 MZP720931:MZQ720931 NJL720931:NJM720931 NTH720931:NTI720931 ODD720931:ODE720931 OMZ720931:ONA720931 OWV720931:OWW720931 PGR720931:PGS720931 PQN720931:PQO720931 QAJ720931:QAK720931 QKF720931:QKG720931 QUB720931:QUC720931 RDX720931:RDY720931 RNT720931:RNU720931 RXP720931:RXQ720931 SHL720931:SHM720931 SRH720931:SRI720931 TBD720931:TBE720931 TKZ720931:TLA720931 TUV720931:TUW720931 UER720931:UES720931 UON720931:UOO720931 UYJ720931:UYK720931 VIF720931:VIG720931 VSB720931:VSC720931 WBX720931:WBY720931 WLT720931:WLU720931 WVP720931:WVQ720931 H786467:I786467 JD786467:JE786467 SZ786467:TA786467 ACV786467:ACW786467 AMR786467:AMS786467 AWN786467:AWO786467 BGJ786467:BGK786467 BQF786467:BQG786467 CAB786467:CAC786467 CJX786467:CJY786467 CTT786467:CTU786467 DDP786467:DDQ786467 DNL786467:DNM786467 DXH786467:DXI786467 EHD786467:EHE786467 EQZ786467:ERA786467 FAV786467:FAW786467 FKR786467:FKS786467 FUN786467:FUO786467 GEJ786467:GEK786467 GOF786467:GOG786467 GYB786467:GYC786467 HHX786467:HHY786467 HRT786467:HRU786467 IBP786467:IBQ786467 ILL786467:ILM786467 IVH786467:IVI786467 JFD786467:JFE786467 JOZ786467:JPA786467 JYV786467:JYW786467 KIR786467:KIS786467 KSN786467:KSO786467 LCJ786467:LCK786467 LMF786467:LMG786467 LWB786467:LWC786467 MFX786467:MFY786467 MPT786467:MPU786467 MZP786467:MZQ786467 NJL786467:NJM786467 NTH786467:NTI786467 ODD786467:ODE786467 OMZ786467:ONA786467 OWV786467:OWW786467 PGR786467:PGS786467 PQN786467:PQO786467 QAJ786467:QAK786467 QKF786467:QKG786467 QUB786467:QUC786467 RDX786467:RDY786467 RNT786467:RNU786467 RXP786467:RXQ786467 SHL786467:SHM786467 SRH786467:SRI786467 TBD786467:TBE786467 TKZ786467:TLA786467 TUV786467:TUW786467 UER786467:UES786467 UON786467:UOO786467 UYJ786467:UYK786467 VIF786467:VIG786467 VSB786467:VSC786467 WBX786467:WBY786467 WLT786467:WLU786467 WVP786467:WVQ786467 H852003:I852003 JD852003:JE852003 SZ852003:TA852003 ACV852003:ACW852003 AMR852003:AMS852003 AWN852003:AWO852003 BGJ852003:BGK852003 BQF852003:BQG852003 CAB852003:CAC852003 CJX852003:CJY852003 CTT852003:CTU852003 DDP852003:DDQ852003 DNL852003:DNM852003 DXH852003:DXI852003 EHD852003:EHE852003 EQZ852003:ERA852003 FAV852003:FAW852003 FKR852003:FKS852003 FUN852003:FUO852003 GEJ852003:GEK852003 GOF852003:GOG852003 GYB852003:GYC852003 HHX852003:HHY852003 HRT852003:HRU852003 IBP852003:IBQ852003 ILL852003:ILM852003 IVH852003:IVI852003 JFD852003:JFE852003 JOZ852003:JPA852003 JYV852003:JYW852003 KIR852003:KIS852003 KSN852003:KSO852003 LCJ852003:LCK852003 LMF852003:LMG852003 LWB852003:LWC852003 MFX852003:MFY852003 MPT852003:MPU852003 MZP852003:MZQ852003 NJL852003:NJM852003 NTH852003:NTI852003 ODD852003:ODE852003 OMZ852003:ONA852003 OWV852003:OWW852003 PGR852003:PGS852003 PQN852003:PQO852003 QAJ852003:QAK852003 QKF852003:QKG852003 QUB852003:QUC852003 RDX852003:RDY852003 RNT852003:RNU852003 RXP852003:RXQ852003 SHL852003:SHM852003 SRH852003:SRI852003 TBD852003:TBE852003 TKZ852003:TLA852003 TUV852003:TUW852003 UER852003:UES852003 UON852003:UOO852003 UYJ852003:UYK852003 VIF852003:VIG852003 VSB852003:VSC852003 WBX852003:WBY852003 WLT852003:WLU852003 WVP852003:WVQ852003 H917539:I917539 JD917539:JE917539 SZ917539:TA917539 ACV917539:ACW917539 AMR917539:AMS917539 AWN917539:AWO917539 BGJ917539:BGK917539 BQF917539:BQG917539 CAB917539:CAC917539 CJX917539:CJY917539 CTT917539:CTU917539 DDP917539:DDQ917539 DNL917539:DNM917539 DXH917539:DXI917539 EHD917539:EHE917539 EQZ917539:ERA917539 FAV917539:FAW917539 FKR917539:FKS917539 FUN917539:FUO917539 GEJ917539:GEK917539 GOF917539:GOG917539 GYB917539:GYC917539 HHX917539:HHY917539 HRT917539:HRU917539 IBP917539:IBQ917539 ILL917539:ILM917539 IVH917539:IVI917539 JFD917539:JFE917539 JOZ917539:JPA917539 JYV917539:JYW917539 KIR917539:KIS917539 KSN917539:KSO917539 LCJ917539:LCK917539 LMF917539:LMG917539 LWB917539:LWC917539 MFX917539:MFY917539 MPT917539:MPU917539 MZP917539:MZQ917539 NJL917539:NJM917539 NTH917539:NTI917539 ODD917539:ODE917539 OMZ917539:ONA917539 OWV917539:OWW917539 PGR917539:PGS917539 PQN917539:PQO917539 QAJ917539:QAK917539 QKF917539:QKG917539 QUB917539:QUC917539 RDX917539:RDY917539 RNT917539:RNU917539 RXP917539:RXQ917539 SHL917539:SHM917539 SRH917539:SRI917539 TBD917539:TBE917539 TKZ917539:TLA917539 TUV917539:TUW917539 UER917539:UES917539 UON917539:UOO917539 UYJ917539:UYK917539 VIF917539:VIG917539 VSB917539:VSC917539 WBX917539:WBY917539 WLT917539:WLU917539 WVP917539:WVQ917539 H983075:I983075 JD983075:JE983075 SZ983075:TA983075 ACV983075:ACW983075 AMR983075:AMS983075 AWN983075:AWO983075 BGJ983075:BGK983075 BQF983075:BQG983075 CAB983075:CAC983075 CJX983075:CJY983075 CTT983075:CTU983075 DDP983075:DDQ983075 DNL983075:DNM983075 DXH983075:DXI983075 EHD983075:EHE983075 EQZ983075:ERA983075 FAV983075:FAW983075 FKR983075:FKS983075 FUN983075:FUO983075 GEJ983075:GEK983075 GOF983075:GOG983075 GYB983075:GYC983075 HHX983075:HHY983075 HRT983075:HRU983075 IBP983075:IBQ983075 ILL983075:ILM983075 IVH983075:IVI983075 JFD983075:JFE983075 JOZ983075:JPA983075 JYV983075:JYW983075 KIR983075:KIS983075 KSN983075:KSO983075 LCJ983075:LCK983075 LMF983075:LMG983075 LWB983075:LWC983075 MFX983075:MFY983075 MPT983075:MPU983075 MZP983075:MZQ983075 NJL983075:NJM983075 NTH983075:NTI983075 ODD983075:ODE983075 OMZ983075:ONA983075 OWV983075:OWW983075 PGR983075:PGS983075 PQN983075:PQO983075 QAJ983075:QAK983075 QKF983075:QKG983075 QUB983075:QUC983075 RDX983075:RDY983075 RNT983075:RNU983075 RXP983075:RXQ983075 SHL983075:SHM983075 SRH983075:SRI983075 TBD983075:TBE983075 TKZ983075:TLA983075 TUV983075:TUW983075 UER983075:UES983075 UON983075:UOO983075 UYJ983075:UYK983075 VIF983075:VIG983075 VSB983075:VSC983075 WBX983075:WBY983075 WLT983075:WLU983075 WVP983075:WVQ983075">
      <formula1>$Q$85:$Q$88</formula1>
    </dataValidation>
  </dataValidations>
  <hyperlinks>
    <hyperlink ref="A1" location="'Table Of Contents'!A1" display="TOC"/>
  </hyperlinks>
  <pageMargins left="0.75" right="0.75" top="1" bottom="1" header="0.5" footer="0.5"/>
  <pageSetup scale="54" fitToHeight="0" orientation="portrait" r:id="rId1"/>
  <headerFooter alignWithMargins="0">
    <oddFooter>Page &amp;P of &amp;N</oddFooter>
  </headerFooter>
  <rowBreaks count="2" manualBreakCount="2">
    <brk id="32" min="1" max="9" man="1"/>
    <brk id="64" min="1" max="9" man="1"/>
  </rowBreaks>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14:formula1>
            <xm:f>"Yes,No,NA"</xm:f>
          </x14:formula1>
          <xm:sqref>H24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H131096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H196632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H262168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H327704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H393240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H458776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H524312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H589848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H655384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H720920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H786456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H851992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H917528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H983064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H26:I32 JD26:JE32 SZ26:TA32 ACV26:ACW32 AMR26:AMS32 AWN26:AWO32 BGJ26:BGK32 BQF26:BQG32 CAB26:CAC32 CJX26:CJY32 CTT26:CTU32 DDP26:DDQ32 DNL26:DNM32 DXH26:DXI32 EHD26:EHE32 EQZ26:ERA32 FAV26:FAW32 FKR26:FKS32 FUN26:FUO32 GEJ26:GEK32 GOF26:GOG32 GYB26:GYC32 HHX26:HHY32 HRT26:HRU32 IBP26:IBQ32 ILL26:ILM32 IVH26:IVI32 JFD26:JFE32 JOZ26:JPA32 JYV26:JYW32 KIR26:KIS32 KSN26:KSO32 LCJ26:LCK32 LMF26:LMG32 LWB26:LWC32 MFX26:MFY32 MPT26:MPU32 MZP26:MZQ32 NJL26:NJM32 NTH26:NTI32 ODD26:ODE32 OMZ26:ONA32 OWV26:OWW32 PGR26:PGS32 PQN26:PQO32 QAJ26:QAK32 QKF26:QKG32 QUB26:QUC32 RDX26:RDY32 RNT26:RNU32 RXP26:RXQ32 SHL26:SHM32 SRH26:SRI32 TBD26:TBE32 TKZ26:TLA32 TUV26:TUW32 UER26:UES32 UON26:UOO32 UYJ26:UYK32 VIF26:VIG32 VSB26:VSC32 WBX26:WBY32 WLT26:WLU32 WVP26:WVQ32 H65562:I65568 JD65562:JE65568 SZ65562:TA65568 ACV65562:ACW65568 AMR65562:AMS65568 AWN65562:AWO65568 BGJ65562:BGK65568 BQF65562:BQG65568 CAB65562:CAC65568 CJX65562:CJY65568 CTT65562:CTU65568 DDP65562:DDQ65568 DNL65562:DNM65568 DXH65562:DXI65568 EHD65562:EHE65568 EQZ65562:ERA65568 FAV65562:FAW65568 FKR65562:FKS65568 FUN65562:FUO65568 GEJ65562:GEK65568 GOF65562:GOG65568 GYB65562:GYC65568 HHX65562:HHY65568 HRT65562:HRU65568 IBP65562:IBQ65568 ILL65562:ILM65568 IVH65562:IVI65568 JFD65562:JFE65568 JOZ65562:JPA65568 JYV65562:JYW65568 KIR65562:KIS65568 KSN65562:KSO65568 LCJ65562:LCK65568 LMF65562:LMG65568 LWB65562:LWC65568 MFX65562:MFY65568 MPT65562:MPU65568 MZP65562:MZQ65568 NJL65562:NJM65568 NTH65562:NTI65568 ODD65562:ODE65568 OMZ65562:ONA65568 OWV65562:OWW65568 PGR65562:PGS65568 PQN65562:PQO65568 QAJ65562:QAK65568 QKF65562:QKG65568 QUB65562:QUC65568 RDX65562:RDY65568 RNT65562:RNU65568 RXP65562:RXQ65568 SHL65562:SHM65568 SRH65562:SRI65568 TBD65562:TBE65568 TKZ65562:TLA65568 TUV65562:TUW65568 UER65562:UES65568 UON65562:UOO65568 UYJ65562:UYK65568 VIF65562:VIG65568 VSB65562:VSC65568 WBX65562:WBY65568 WLT65562:WLU65568 WVP65562:WVQ65568 H131098:I131104 JD131098:JE131104 SZ131098:TA131104 ACV131098:ACW131104 AMR131098:AMS131104 AWN131098:AWO131104 BGJ131098:BGK131104 BQF131098:BQG131104 CAB131098:CAC131104 CJX131098:CJY131104 CTT131098:CTU131104 DDP131098:DDQ131104 DNL131098:DNM131104 DXH131098:DXI131104 EHD131098:EHE131104 EQZ131098:ERA131104 FAV131098:FAW131104 FKR131098:FKS131104 FUN131098:FUO131104 GEJ131098:GEK131104 GOF131098:GOG131104 GYB131098:GYC131104 HHX131098:HHY131104 HRT131098:HRU131104 IBP131098:IBQ131104 ILL131098:ILM131104 IVH131098:IVI131104 JFD131098:JFE131104 JOZ131098:JPA131104 JYV131098:JYW131104 KIR131098:KIS131104 KSN131098:KSO131104 LCJ131098:LCK131104 LMF131098:LMG131104 LWB131098:LWC131104 MFX131098:MFY131104 MPT131098:MPU131104 MZP131098:MZQ131104 NJL131098:NJM131104 NTH131098:NTI131104 ODD131098:ODE131104 OMZ131098:ONA131104 OWV131098:OWW131104 PGR131098:PGS131104 PQN131098:PQO131104 QAJ131098:QAK131104 QKF131098:QKG131104 QUB131098:QUC131104 RDX131098:RDY131104 RNT131098:RNU131104 RXP131098:RXQ131104 SHL131098:SHM131104 SRH131098:SRI131104 TBD131098:TBE131104 TKZ131098:TLA131104 TUV131098:TUW131104 UER131098:UES131104 UON131098:UOO131104 UYJ131098:UYK131104 VIF131098:VIG131104 VSB131098:VSC131104 WBX131098:WBY131104 WLT131098:WLU131104 WVP131098:WVQ131104 H196634:I196640 JD196634:JE196640 SZ196634:TA196640 ACV196634:ACW196640 AMR196634:AMS196640 AWN196634:AWO196640 BGJ196634:BGK196640 BQF196634:BQG196640 CAB196634:CAC196640 CJX196634:CJY196640 CTT196634:CTU196640 DDP196634:DDQ196640 DNL196634:DNM196640 DXH196634:DXI196640 EHD196634:EHE196640 EQZ196634:ERA196640 FAV196634:FAW196640 FKR196634:FKS196640 FUN196634:FUO196640 GEJ196634:GEK196640 GOF196634:GOG196640 GYB196634:GYC196640 HHX196634:HHY196640 HRT196634:HRU196640 IBP196634:IBQ196640 ILL196634:ILM196640 IVH196634:IVI196640 JFD196634:JFE196640 JOZ196634:JPA196640 JYV196634:JYW196640 KIR196634:KIS196640 KSN196634:KSO196640 LCJ196634:LCK196640 LMF196634:LMG196640 LWB196634:LWC196640 MFX196634:MFY196640 MPT196634:MPU196640 MZP196634:MZQ196640 NJL196634:NJM196640 NTH196634:NTI196640 ODD196634:ODE196640 OMZ196634:ONA196640 OWV196634:OWW196640 PGR196634:PGS196640 PQN196634:PQO196640 QAJ196634:QAK196640 QKF196634:QKG196640 QUB196634:QUC196640 RDX196634:RDY196640 RNT196634:RNU196640 RXP196634:RXQ196640 SHL196634:SHM196640 SRH196634:SRI196640 TBD196634:TBE196640 TKZ196634:TLA196640 TUV196634:TUW196640 UER196634:UES196640 UON196634:UOO196640 UYJ196634:UYK196640 VIF196634:VIG196640 VSB196634:VSC196640 WBX196634:WBY196640 WLT196634:WLU196640 WVP196634:WVQ196640 H262170:I262176 JD262170:JE262176 SZ262170:TA262176 ACV262170:ACW262176 AMR262170:AMS262176 AWN262170:AWO262176 BGJ262170:BGK262176 BQF262170:BQG262176 CAB262170:CAC262176 CJX262170:CJY262176 CTT262170:CTU262176 DDP262170:DDQ262176 DNL262170:DNM262176 DXH262170:DXI262176 EHD262170:EHE262176 EQZ262170:ERA262176 FAV262170:FAW262176 FKR262170:FKS262176 FUN262170:FUO262176 GEJ262170:GEK262176 GOF262170:GOG262176 GYB262170:GYC262176 HHX262170:HHY262176 HRT262170:HRU262176 IBP262170:IBQ262176 ILL262170:ILM262176 IVH262170:IVI262176 JFD262170:JFE262176 JOZ262170:JPA262176 JYV262170:JYW262176 KIR262170:KIS262176 KSN262170:KSO262176 LCJ262170:LCK262176 LMF262170:LMG262176 LWB262170:LWC262176 MFX262170:MFY262176 MPT262170:MPU262176 MZP262170:MZQ262176 NJL262170:NJM262176 NTH262170:NTI262176 ODD262170:ODE262176 OMZ262170:ONA262176 OWV262170:OWW262176 PGR262170:PGS262176 PQN262170:PQO262176 QAJ262170:QAK262176 QKF262170:QKG262176 QUB262170:QUC262176 RDX262170:RDY262176 RNT262170:RNU262176 RXP262170:RXQ262176 SHL262170:SHM262176 SRH262170:SRI262176 TBD262170:TBE262176 TKZ262170:TLA262176 TUV262170:TUW262176 UER262170:UES262176 UON262170:UOO262176 UYJ262170:UYK262176 VIF262170:VIG262176 VSB262170:VSC262176 WBX262170:WBY262176 WLT262170:WLU262176 WVP262170:WVQ262176 H327706:I327712 JD327706:JE327712 SZ327706:TA327712 ACV327706:ACW327712 AMR327706:AMS327712 AWN327706:AWO327712 BGJ327706:BGK327712 BQF327706:BQG327712 CAB327706:CAC327712 CJX327706:CJY327712 CTT327706:CTU327712 DDP327706:DDQ327712 DNL327706:DNM327712 DXH327706:DXI327712 EHD327706:EHE327712 EQZ327706:ERA327712 FAV327706:FAW327712 FKR327706:FKS327712 FUN327706:FUO327712 GEJ327706:GEK327712 GOF327706:GOG327712 GYB327706:GYC327712 HHX327706:HHY327712 HRT327706:HRU327712 IBP327706:IBQ327712 ILL327706:ILM327712 IVH327706:IVI327712 JFD327706:JFE327712 JOZ327706:JPA327712 JYV327706:JYW327712 KIR327706:KIS327712 KSN327706:KSO327712 LCJ327706:LCK327712 LMF327706:LMG327712 LWB327706:LWC327712 MFX327706:MFY327712 MPT327706:MPU327712 MZP327706:MZQ327712 NJL327706:NJM327712 NTH327706:NTI327712 ODD327706:ODE327712 OMZ327706:ONA327712 OWV327706:OWW327712 PGR327706:PGS327712 PQN327706:PQO327712 QAJ327706:QAK327712 QKF327706:QKG327712 QUB327706:QUC327712 RDX327706:RDY327712 RNT327706:RNU327712 RXP327706:RXQ327712 SHL327706:SHM327712 SRH327706:SRI327712 TBD327706:TBE327712 TKZ327706:TLA327712 TUV327706:TUW327712 UER327706:UES327712 UON327706:UOO327712 UYJ327706:UYK327712 VIF327706:VIG327712 VSB327706:VSC327712 WBX327706:WBY327712 WLT327706:WLU327712 WVP327706:WVQ327712 H393242:I393248 JD393242:JE393248 SZ393242:TA393248 ACV393242:ACW393248 AMR393242:AMS393248 AWN393242:AWO393248 BGJ393242:BGK393248 BQF393242:BQG393248 CAB393242:CAC393248 CJX393242:CJY393248 CTT393242:CTU393248 DDP393242:DDQ393248 DNL393242:DNM393248 DXH393242:DXI393248 EHD393242:EHE393248 EQZ393242:ERA393248 FAV393242:FAW393248 FKR393242:FKS393248 FUN393242:FUO393248 GEJ393242:GEK393248 GOF393242:GOG393248 GYB393242:GYC393248 HHX393242:HHY393248 HRT393242:HRU393248 IBP393242:IBQ393248 ILL393242:ILM393248 IVH393242:IVI393248 JFD393242:JFE393248 JOZ393242:JPA393248 JYV393242:JYW393248 KIR393242:KIS393248 KSN393242:KSO393248 LCJ393242:LCK393248 LMF393242:LMG393248 LWB393242:LWC393248 MFX393242:MFY393248 MPT393242:MPU393248 MZP393242:MZQ393248 NJL393242:NJM393248 NTH393242:NTI393248 ODD393242:ODE393248 OMZ393242:ONA393248 OWV393242:OWW393248 PGR393242:PGS393248 PQN393242:PQO393248 QAJ393242:QAK393248 QKF393242:QKG393248 QUB393242:QUC393248 RDX393242:RDY393248 RNT393242:RNU393248 RXP393242:RXQ393248 SHL393242:SHM393248 SRH393242:SRI393248 TBD393242:TBE393248 TKZ393242:TLA393248 TUV393242:TUW393248 UER393242:UES393248 UON393242:UOO393248 UYJ393242:UYK393248 VIF393242:VIG393248 VSB393242:VSC393248 WBX393242:WBY393248 WLT393242:WLU393248 WVP393242:WVQ393248 H458778:I458784 JD458778:JE458784 SZ458778:TA458784 ACV458778:ACW458784 AMR458778:AMS458784 AWN458778:AWO458784 BGJ458778:BGK458784 BQF458778:BQG458784 CAB458778:CAC458784 CJX458778:CJY458784 CTT458778:CTU458784 DDP458778:DDQ458784 DNL458778:DNM458784 DXH458778:DXI458784 EHD458778:EHE458784 EQZ458778:ERA458784 FAV458778:FAW458784 FKR458778:FKS458784 FUN458778:FUO458784 GEJ458778:GEK458784 GOF458778:GOG458784 GYB458778:GYC458784 HHX458778:HHY458784 HRT458778:HRU458784 IBP458778:IBQ458784 ILL458778:ILM458784 IVH458778:IVI458784 JFD458778:JFE458784 JOZ458778:JPA458784 JYV458778:JYW458784 KIR458778:KIS458784 KSN458778:KSO458784 LCJ458778:LCK458784 LMF458778:LMG458784 LWB458778:LWC458784 MFX458778:MFY458784 MPT458778:MPU458784 MZP458778:MZQ458784 NJL458778:NJM458784 NTH458778:NTI458784 ODD458778:ODE458784 OMZ458778:ONA458784 OWV458778:OWW458784 PGR458778:PGS458784 PQN458778:PQO458784 QAJ458778:QAK458784 QKF458778:QKG458784 QUB458778:QUC458784 RDX458778:RDY458784 RNT458778:RNU458784 RXP458778:RXQ458784 SHL458778:SHM458784 SRH458778:SRI458784 TBD458778:TBE458784 TKZ458778:TLA458784 TUV458778:TUW458784 UER458778:UES458784 UON458778:UOO458784 UYJ458778:UYK458784 VIF458778:VIG458784 VSB458778:VSC458784 WBX458778:WBY458784 WLT458778:WLU458784 WVP458778:WVQ458784 H524314:I524320 JD524314:JE524320 SZ524314:TA524320 ACV524314:ACW524320 AMR524314:AMS524320 AWN524314:AWO524320 BGJ524314:BGK524320 BQF524314:BQG524320 CAB524314:CAC524320 CJX524314:CJY524320 CTT524314:CTU524320 DDP524314:DDQ524320 DNL524314:DNM524320 DXH524314:DXI524320 EHD524314:EHE524320 EQZ524314:ERA524320 FAV524314:FAW524320 FKR524314:FKS524320 FUN524314:FUO524320 GEJ524314:GEK524320 GOF524314:GOG524320 GYB524314:GYC524320 HHX524314:HHY524320 HRT524314:HRU524320 IBP524314:IBQ524320 ILL524314:ILM524320 IVH524314:IVI524320 JFD524314:JFE524320 JOZ524314:JPA524320 JYV524314:JYW524320 KIR524314:KIS524320 KSN524314:KSO524320 LCJ524314:LCK524320 LMF524314:LMG524320 LWB524314:LWC524320 MFX524314:MFY524320 MPT524314:MPU524320 MZP524314:MZQ524320 NJL524314:NJM524320 NTH524314:NTI524320 ODD524314:ODE524320 OMZ524314:ONA524320 OWV524314:OWW524320 PGR524314:PGS524320 PQN524314:PQO524320 QAJ524314:QAK524320 QKF524314:QKG524320 QUB524314:QUC524320 RDX524314:RDY524320 RNT524314:RNU524320 RXP524314:RXQ524320 SHL524314:SHM524320 SRH524314:SRI524320 TBD524314:TBE524320 TKZ524314:TLA524320 TUV524314:TUW524320 UER524314:UES524320 UON524314:UOO524320 UYJ524314:UYK524320 VIF524314:VIG524320 VSB524314:VSC524320 WBX524314:WBY524320 WLT524314:WLU524320 WVP524314:WVQ524320 H589850:I589856 JD589850:JE589856 SZ589850:TA589856 ACV589850:ACW589856 AMR589850:AMS589856 AWN589850:AWO589856 BGJ589850:BGK589856 BQF589850:BQG589856 CAB589850:CAC589856 CJX589850:CJY589856 CTT589850:CTU589856 DDP589850:DDQ589856 DNL589850:DNM589856 DXH589850:DXI589856 EHD589850:EHE589856 EQZ589850:ERA589856 FAV589850:FAW589856 FKR589850:FKS589856 FUN589850:FUO589856 GEJ589850:GEK589856 GOF589850:GOG589856 GYB589850:GYC589856 HHX589850:HHY589856 HRT589850:HRU589856 IBP589850:IBQ589856 ILL589850:ILM589856 IVH589850:IVI589856 JFD589850:JFE589856 JOZ589850:JPA589856 JYV589850:JYW589856 KIR589850:KIS589856 KSN589850:KSO589856 LCJ589850:LCK589856 LMF589850:LMG589856 LWB589850:LWC589856 MFX589850:MFY589856 MPT589850:MPU589856 MZP589850:MZQ589856 NJL589850:NJM589856 NTH589850:NTI589856 ODD589850:ODE589856 OMZ589850:ONA589856 OWV589850:OWW589856 PGR589850:PGS589856 PQN589850:PQO589856 QAJ589850:QAK589856 QKF589850:QKG589856 QUB589850:QUC589856 RDX589850:RDY589856 RNT589850:RNU589856 RXP589850:RXQ589856 SHL589850:SHM589856 SRH589850:SRI589856 TBD589850:TBE589856 TKZ589850:TLA589856 TUV589850:TUW589856 UER589850:UES589856 UON589850:UOO589856 UYJ589850:UYK589856 VIF589850:VIG589856 VSB589850:VSC589856 WBX589850:WBY589856 WLT589850:WLU589856 WVP589850:WVQ589856 H655386:I655392 JD655386:JE655392 SZ655386:TA655392 ACV655386:ACW655392 AMR655386:AMS655392 AWN655386:AWO655392 BGJ655386:BGK655392 BQF655386:BQG655392 CAB655386:CAC655392 CJX655386:CJY655392 CTT655386:CTU655392 DDP655386:DDQ655392 DNL655386:DNM655392 DXH655386:DXI655392 EHD655386:EHE655392 EQZ655386:ERA655392 FAV655386:FAW655392 FKR655386:FKS655392 FUN655386:FUO655392 GEJ655386:GEK655392 GOF655386:GOG655392 GYB655386:GYC655392 HHX655386:HHY655392 HRT655386:HRU655392 IBP655386:IBQ655392 ILL655386:ILM655392 IVH655386:IVI655392 JFD655386:JFE655392 JOZ655386:JPA655392 JYV655386:JYW655392 KIR655386:KIS655392 KSN655386:KSO655392 LCJ655386:LCK655392 LMF655386:LMG655392 LWB655386:LWC655392 MFX655386:MFY655392 MPT655386:MPU655392 MZP655386:MZQ655392 NJL655386:NJM655392 NTH655386:NTI655392 ODD655386:ODE655392 OMZ655386:ONA655392 OWV655386:OWW655392 PGR655386:PGS655392 PQN655386:PQO655392 QAJ655386:QAK655392 QKF655386:QKG655392 QUB655386:QUC655392 RDX655386:RDY655392 RNT655386:RNU655392 RXP655386:RXQ655392 SHL655386:SHM655392 SRH655386:SRI655392 TBD655386:TBE655392 TKZ655386:TLA655392 TUV655386:TUW655392 UER655386:UES655392 UON655386:UOO655392 UYJ655386:UYK655392 VIF655386:VIG655392 VSB655386:VSC655392 WBX655386:WBY655392 WLT655386:WLU655392 WVP655386:WVQ655392 H720922:I720928 JD720922:JE720928 SZ720922:TA720928 ACV720922:ACW720928 AMR720922:AMS720928 AWN720922:AWO720928 BGJ720922:BGK720928 BQF720922:BQG720928 CAB720922:CAC720928 CJX720922:CJY720928 CTT720922:CTU720928 DDP720922:DDQ720928 DNL720922:DNM720928 DXH720922:DXI720928 EHD720922:EHE720928 EQZ720922:ERA720928 FAV720922:FAW720928 FKR720922:FKS720928 FUN720922:FUO720928 GEJ720922:GEK720928 GOF720922:GOG720928 GYB720922:GYC720928 HHX720922:HHY720928 HRT720922:HRU720928 IBP720922:IBQ720928 ILL720922:ILM720928 IVH720922:IVI720928 JFD720922:JFE720928 JOZ720922:JPA720928 JYV720922:JYW720928 KIR720922:KIS720928 KSN720922:KSO720928 LCJ720922:LCK720928 LMF720922:LMG720928 LWB720922:LWC720928 MFX720922:MFY720928 MPT720922:MPU720928 MZP720922:MZQ720928 NJL720922:NJM720928 NTH720922:NTI720928 ODD720922:ODE720928 OMZ720922:ONA720928 OWV720922:OWW720928 PGR720922:PGS720928 PQN720922:PQO720928 QAJ720922:QAK720928 QKF720922:QKG720928 QUB720922:QUC720928 RDX720922:RDY720928 RNT720922:RNU720928 RXP720922:RXQ720928 SHL720922:SHM720928 SRH720922:SRI720928 TBD720922:TBE720928 TKZ720922:TLA720928 TUV720922:TUW720928 UER720922:UES720928 UON720922:UOO720928 UYJ720922:UYK720928 VIF720922:VIG720928 VSB720922:VSC720928 WBX720922:WBY720928 WLT720922:WLU720928 WVP720922:WVQ720928 H786458:I786464 JD786458:JE786464 SZ786458:TA786464 ACV786458:ACW786464 AMR786458:AMS786464 AWN786458:AWO786464 BGJ786458:BGK786464 BQF786458:BQG786464 CAB786458:CAC786464 CJX786458:CJY786464 CTT786458:CTU786464 DDP786458:DDQ786464 DNL786458:DNM786464 DXH786458:DXI786464 EHD786458:EHE786464 EQZ786458:ERA786464 FAV786458:FAW786464 FKR786458:FKS786464 FUN786458:FUO786464 GEJ786458:GEK786464 GOF786458:GOG786464 GYB786458:GYC786464 HHX786458:HHY786464 HRT786458:HRU786464 IBP786458:IBQ786464 ILL786458:ILM786464 IVH786458:IVI786464 JFD786458:JFE786464 JOZ786458:JPA786464 JYV786458:JYW786464 KIR786458:KIS786464 KSN786458:KSO786464 LCJ786458:LCK786464 LMF786458:LMG786464 LWB786458:LWC786464 MFX786458:MFY786464 MPT786458:MPU786464 MZP786458:MZQ786464 NJL786458:NJM786464 NTH786458:NTI786464 ODD786458:ODE786464 OMZ786458:ONA786464 OWV786458:OWW786464 PGR786458:PGS786464 PQN786458:PQO786464 QAJ786458:QAK786464 QKF786458:QKG786464 QUB786458:QUC786464 RDX786458:RDY786464 RNT786458:RNU786464 RXP786458:RXQ786464 SHL786458:SHM786464 SRH786458:SRI786464 TBD786458:TBE786464 TKZ786458:TLA786464 TUV786458:TUW786464 UER786458:UES786464 UON786458:UOO786464 UYJ786458:UYK786464 VIF786458:VIG786464 VSB786458:VSC786464 WBX786458:WBY786464 WLT786458:WLU786464 WVP786458:WVQ786464 H851994:I852000 JD851994:JE852000 SZ851994:TA852000 ACV851994:ACW852000 AMR851994:AMS852000 AWN851994:AWO852000 BGJ851994:BGK852000 BQF851994:BQG852000 CAB851994:CAC852000 CJX851994:CJY852000 CTT851994:CTU852000 DDP851994:DDQ852000 DNL851994:DNM852000 DXH851994:DXI852000 EHD851994:EHE852000 EQZ851994:ERA852000 FAV851994:FAW852000 FKR851994:FKS852000 FUN851994:FUO852000 GEJ851994:GEK852000 GOF851994:GOG852000 GYB851994:GYC852000 HHX851994:HHY852000 HRT851994:HRU852000 IBP851994:IBQ852000 ILL851994:ILM852000 IVH851994:IVI852000 JFD851994:JFE852000 JOZ851994:JPA852000 JYV851994:JYW852000 KIR851994:KIS852000 KSN851994:KSO852000 LCJ851994:LCK852000 LMF851994:LMG852000 LWB851994:LWC852000 MFX851994:MFY852000 MPT851994:MPU852000 MZP851994:MZQ852000 NJL851994:NJM852000 NTH851994:NTI852000 ODD851994:ODE852000 OMZ851994:ONA852000 OWV851994:OWW852000 PGR851994:PGS852000 PQN851994:PQO852000 QAJ851994:QAK852000 QKF851994:QKG852000 QUB851994:QUC852000 RDX851994:RDY852000 RNT851994:RNU852000 RXP851994:RXQ852000 SHL851994:SHM852000 SRH851994:SRI852000 TBD851994:TBE852000 TKZ851994:TLA852000 TUV851994:TUW852000 UER851994:UES852000 UON851994:UOO852000 UYJ851994:UYK852000 VIF851994:VIG852000 VSB851994:VSC852000 WBX851994:WBY852000 WLT851994:WLU852000 WVP851994:WVQ852000 H917530:I917536 JD917530:JE917536 SZ917530:TA917536 ACV917530:ACW917536 AMR917530:AMS917536 AWN917530:AWO917536 BGJ917530:BGK917536 BQF917530:BQG917536 CAB917530:CAC917536 CJX917530:CJY917536 CTT917530:CTU917536 DDP917530:DDQ917536 DNL917530:DNM917536 DXH917530:DXI917536 EHD917530:EHE917536 EQZ917530:ERA917536 FAV917530:FAW917536 FKR917530:FKS917536 FUN917530:FUO917536 GEJ917530:GEK917536 GOF917530:GOG917536 GYB917530:GYC917536 HHX917530:HHY917536 HRT917530:HRU917536 IBP917530:IBQ917536 ILL917530:ILM917536 IVH917530:IVI917536 JFD917530:JFE917536 JOZ917530:JPA917536 JYV917530:JYW917536 KIR917530:KIS917536 KSN917530:KSO917536 LCJ917530:LCK917536 LMF917530:LMG917536 LWB917530:LWC917536 MFX917530:MFY917536 MPT917530:MPU917536 MZP917530:MZQ917536 NJL917530:NJM917536 NTH917530:NTI917536 ODD917530:ODE917536 OMZ917530:ONA917536 OWV917530:OWW917536 PGR917530:PGS917536 PQN917530:PQO917536 QAJ917530:QAK917536 QKF917530:QKG917536 QUB917530:QUC917536 RDX917530:RDY917536 RNT917530:RNU917536 RXP917530:RXQ917536 SHL917530:SHM917536 SRH917530:SRI917536 TBD917530:TBE917536 TKZ917530:TLA917536 TUV917530:TUW917536 UER917530:UES917536 UON917530:UOO917536 UYJ917530:UYK917536 VIF917530:VIG917536 VSB917530:VSC917536 WBX917530:WBY917536 WLT917530:WLU917536 WVP917530:WVQ917536 H983066:I983072 JD983066:JE983072 SZ983066:TA983072 ACV983066:ACW983072 AMR983066:AMS983072 AWN983066:AWO983072 BGJ983066:BGK983072 BQF983066:BQG983072 CAB983066:CAC983072 CJX983066:CJY983072 CTT983066:CTU983072 DDP983066:DDQ983072 DNL983066:DNM983072 DXH983066:DXI983072 EHD983066:EHE983072 EQZ983066:ERA983072 FAV983066:FAW983072 FKR983066:FKS983072 FUN983066:FUO983072 GEJ983066:GEK983072 GOF983066:GOG983072 GYB983066:GYC983072 HHX983066:HHY983072 HRT983066:HRU983072 IBP983066:IBQ983072 ILL983066:ILM983072 IVH983066:IVI983072 JFD983066:JFE983072 JOZ983066:JPA983072 JYV983066:JYW983072 KIR983066:KIS983072 KSN983066:KSO983072 LCJ983066:LCK983072 LMF983066:LMG983072 LWB983066:LWC983072 MFX983066:MFY983072 MPT983066:MPU983072 MZP983066:MZQ983072 NJL983066:NJM983072 NTH983066:NTI983072 ODD983066:ODE983072 OMZ983066:ONA983072 OWV983066:OWW983072 PGR983066:PGS983072 PQN983066:PQO983072 QAJ983066:QAK983072 QKF983066:QKG983072 QUB983066:QUC983072 RDX983066:RDY983072 RNT983066:RNU983072 RXP983066:RXQ983072 SHL983066:SHM983072 SRH983066:SRI983072 TBD983066:TBE983072 TKZ983066:TLA983072 TUV983066:TUW983072 UER983066:UES983072 UON983066:UOO983072 UYJ983066:UYK983072 VIF983066:VIG983072 VSB983066:VSC983072 WBX983066:WBY983072 WLT983066:WLU983072 WVP983066:WVQ983072 H34:I34 JD34:JE34 SZ34:TA34 ACV34:ACW34 AMR34:AMS34 AWN34:AWO34 BGJ34:BGK34 BQF34:BQG34 CAB34:CAC34 CJX34:CJY34 CTT34:CTU34 DDP34:DDQ34 DNL34:DNM34 DXH34:DXI34 EHD34:EHE34 EQZ34:ERA34 FAV34:FAW34 FKR34:FKS34 FUN34:FUO34 GEJ34:GEK34 GOF34:GOG34 GYB34:GYC34 HHX34:HHY34 HRT34:HRU34 IBP34:IBQ34 ILL34:ILM34 IVH34:IVI34 JFD34:JFE34 JOZ34:JPA34 JYV34:JYW34 KIR34:KIS34 KSN34:KSO34 LCJ34:LCK34 LMF34:LMG34 LWB34:LWC34 MFX34:MFY34 MPT34:MPU34 MZP34:MZQ34 NJL34:NJM34 NTH34:NTI34 ODD34:ODE34 OMZ34:ONA34 OWV34:OWW34 PGR34:PGS34 PQN34:PQO34 QAJ34:QAK34 QKF34:QKG34 QUB34:QUC34 RDX34:RDY34 RNT34:RNU34 RXP34:RXQ34 SHL34:SHM34 SRH34:SRI34 TBD34:TBE34 TKZ34:TLA34 TUV34:TUW34 UER34:UES34 UON34:UOO34 UYJ34:UYK34 VIF34:VIG34 VSB34:VSC34 WBX34:WBY34 WLT34:WLU34 WVP34:WVQ34 H65570:I65570 JD65570:JE65570 SZ65570:TA65570 ACV65570:ACW65570 AMR65570:AMS65570 AWN65570:AWO65570 BGJ65570:BGK65570 BQF65570:BQG65570 CAB65570:CAC65570 CJX65570:CJY65570 CTT65570:CTU65570 DDP65570:DDQ65570 DNL65570:DNM65570 DXH65570:DXI65570 EHD65570:EHE65570 EQZ65570:ERA65570 FAV65570:FAW65570 FKR65570:FKS65570 FUN65570:FUO65570 GEJ65570:GEK65570 GOF65570:GOG65570 GYB65570:GYC65570 HHX65570:HHY65570 HRT65570:HRU65570 IBP65570:IBQ65570 ILL65570:ILM65570 IVH65570:IVI65570 JFD65570:JFE65570 JOZ65570:JPA65570 JYV65570:JYW65570 KIR65570:KIS65570 KSN65570:KSO65570 LCJ65570:LCK65570 LMF65570:LMG65570 LWB65570:LWC65570 MFX65570:MFY65570 MPT65570:MPU65570 MZP65570:MZQ65570 NJL65570:NJM65570 NTH65570:NTI65570 ODD65570:ODE65570 OMZ65570:ONA65570 OWV65570:OWW65570 PGR65570:PGS65570 PQN65570:PQO65570 QAJ65570:QAK65570 QKF65570:QKG65570 QUB65570:QUC65570 RDX65570:RDY65570 RNT65570:RNU65570 RXP65570:RXQ65570 SHL65570:SHM65570 SRH65570:SRI65570 TBD65570:TBE65570 TKZ65570:TLA65570 TUV65570:TUW65570 UER65570:UES65570 UON65570:UOO65570 UYJ65570:UYK65570 VIF65570:VIG65570 VSB65570:VSC65570 WBX65570:WBY65570 WLT65570:WLU65570 WVP65570:WVQ65570 H131106:I131106 JD131106:JE131106 SZ131106:TA131106 ACV131106:ACW131106 AMR131106:AMS131106 AWN131106:AWO131106 BGJ131106:BGK131106 BQF131106:BQG131106 CAB131106:CAC131106 CJX131106:CJY131106 CTT131106:CTU131106 DDP131106:DDQ131106 DNL131106:DNM131106 DXH131106:DXI131106 EHD131106:EHE131106 EQZ131106:ERA131106 FAV131106:FAW131106 FKR131106:FKS131106 FUN131106:FUO131106 GEJ131106:GEK131106 GOF131106:GOG131106 GYB131106:GYC131106 HHX131106:HHY131106 HRT131106:HRU131106 IBP131106:IBQ131106 ILL131106:ILM131106 IVH131106:IVI131106 JFD131106:JFE131106 JOZ131106:JPA131106 JYV131106:JYW131106 KIR131106:KIS131106 KSN131106:KSO131106 LCJ131106:LCK131106 LMF131106:LMG131106 LWB131106:LWC131106 MFX131106:MFY131106 MPT131106:MPU131106 MZP131106:MZQ131106 NJL131106:NJM131106 NTH131106:NTI131106 ODD131106:ODE131106 OMZ131106:ONA131106 OWV131106:OWW131106 PGR131106:PGS131106 PQN131106:PQO131106 QAJ131106:QAK131106 QKF131106:QKG131106 QUB131106:QUC131106 RDX131106:RDY131106 RNT131106:RNU131106 RXP131106:RXQ131106 SHL131106:SHM131106 SRH131106:SRI131106 TBD131106:TBE131106 TKZ131106:TLA131106 TUV131106:TUW131106 UER131106:UES131106 UON131106:UOO131106 UYJ131106:UYK131106 VIF131106:VIG131106 VSB131106:VSC131106 WBX131106:WBY131106 WLT131106:WLU131106 WVP131106:WVQ131106 H196642:I196642 JD196642:JE196642 SZ196642:TA196642 ACV196642:ACW196642 AMR196642:AMS196642 AWN196642:AWO196642 BGJ196642:BGK196642 BQF196642:BQG196642 CAB196642:CAC196642 CJX196642:CJY196642 CTT196642:CTU196642 DDP196642:DDQ196642 DNL196642:DNM196642 DXH196642:DXI196642 EHD196642:EHE196642 EQZ196642:ERA196642 FAV196642:FAW196642 FKR196642:FKS196642 FUN196642:FUO196642 GEJ196642:GEK196642 GOF196642:GOG196642 GYB196642:GYC196642 HHX196642:HHY196642 HRT196642:HRU196642 IBP196642:IBQ196642 ILL196642:ILM196642 IVH196642:IVI196642 JFD196642:JFE196642 JOZ196642:JPA196642 JYV196642:JYW196642 KIR196642:KIS196642 KSN196642:KSO196642 LCJ196642:LCK196642 LMF196642:LMG196642 LWB196642:LWC196642 MFX196642:MFY196642 MPT196642:MPU196642 MZP196642:MZQ196642 NJL196642:NJM196642 NTH196642:NTI196642 ODD196642:ODE196642 OMZ196642:ONA196642 OWV196642:OWW196642 PGR196642:PGS196642 PQN196642:PQO196642 QAJ196642:QAK196642 QKF196642:QKG196642 QUB196642:QUC196642 RDX196642:RDY196642 RNT196642:RNU196642 RXP196642:RXQ196642 SHL196642:SHM196642 SRH196642:SRI196642 TBD196642:TBE196642 TKZ196642:TLA196642 TUV196642:TUW196642 UER196642:UES196642 UON196642:UOO196642 UYJ196642:UYK196642 VIF196642:VIG196642 VSB196642:VSC196642 WBX196642:WBY196642 WLT196642:WLU196642 WVP196642:WVQ196642 H262178:I262178 JD262178:JE262178 SZ262178:TA262178 ACV262178:ACW262178 AMR262178:AMS262178 AWN262178:AWO262178 BGJ262178:BGK262178 BQF262178:BQG262178 CAB262178:CAC262178 CJX262178:CJY262178 CTT262178:CTU262178 DDP262178:DDQ262178 DNL262178:DNM262178 DXH262178:DXI262178 EHD262178:EHE262178 EQZ262178:ERA262178 FAV262178:FAW262178 FKR262178:FKS262178 FUN262178:FUO262178 GEJ262178:GEK262178 GOF262178:GOG262178 GYB262178:GYC262178 HHX262178:HHY262178 HRT262178:HRU262178 IBP262178:IBQ262178 ILL262178:ILM262178 IVH262178:IVI262178 JFD262178:JFE262178 JOZ262178:JPA262178 JYV262178:JYW262178 KIR262178:KIS262178 KSN262178:KSO262178 LCJ262178:LCK262178 LMF262178:LMG262178 LWB262178:LWC262178 MFX262178:MFY262178 MPT262178:MPU262178 MZP262178:MZQ262178 NJL262178:NJM262178 NTH262178:NTI262178 ODD262178:ODE262178 OMZ262178:ONA262178 OWV262178:OWW262178 PGR262178:PGS262178 PQN262178:PQO262178 QAJ262178:QAK262178 QKF262178:QKG262178 QUB262178:QUC262178 RDX262178:RDY262178 RNT262178:RNU262178 RXP262178:RXQ262178 SHL262178:SHM262178 SRH262178:SRI262178 TBD262178:TBE262178 TKZ262178:TLA262178 TUV262178:TUW262178 UER262178:UES262178 UON262178:UOO262178 UYJ262178:UYK262178 VIF262178:VIG262178 VSB262178:VSC262178 WBX262178:WBY262178 WLT262178:WLU262178 WVP262178:WVQ262178 H327714:I327714 JD327714:JE327714 SZ327714:TA327714 ACV327714:ACW327714 AMR327714:AMS327714 AWN327714:AWO327714 BGJ327714:BGK327714 BQF327714:BQG327714 CAB327714:CAC327714 CJX327714:CJY327714 CTT327714:CTU327714 DDP327714:DDQ327714 DNL327714:DNM327714 DXH327714:DXI327714 EHD327714:EHE327714 EQZ327714:ERA327714 FAV327714:FAW327714 FKR327714:FKS327714 FUN327714:FUO327714 GEJ327714:GEK327714 GOF327714:GOG327714 GYB327714:GYC327714 HHX327714:HHY327714 HRT327714:HRU327714 IBP327714:IBQ327714 ILL327714:ILM327714 IVH327714:IVI327714 JFD327714:JFE327714 JOZ327714:JPA327714 JYV327714:JYW327714 KIR327714:KIS327714 KSN327714:KSO327714 LCJ327714:LCK327714 LMF327714:LMG327714 LWB327714:LWC327714 MFX327714:MFY327714 MPT327714:MPU327714 MZP327714:MZQ327714 NJL327714:NJM327714 NTH327714:NTI327714 ODD327714:ODE327714 OMZ327714:ONA327714 OWV327714:OWW327714 PGR327714:PGS327714 PQN327714:PQO327714 QAJ327714:QAK327714 QKF327714:QKG327714 QUB327714:QUC327714 RDX327714:RDY327714 RNT327714:RNU327714 RXP327714:RXQ327714 SHL327714:SHM327714 SRH327714:SRI327714 TBD327714:TBE327714 TKZ327714:TLA327714 TUV327714:TUW327714 UER327714:UES327714 UON327714:UOO327714 UYJ327714:UYK327714 VIF327714:VIG327714 VSB327714:VSC327714 WBX327714:WBY327714 WLT327714:WLU327714 WVP327714:WVQ327714 H393250:I393250 JD393250:JE393250 SZ393250:TA393250 ACV393250:ACW393250 AMR393250:AMS393250 AWN393250:AWO393250 BGJ393250:BGK393250 BQF393250:BQG393250 CAB393250:CAC393250 CJX393250:CJY393250 CTT393250:CTU393250 DDP393250:DDQ393250 DNL393250:DNM393250 DXH393250:DXI393250 EHD393250:EHE393250 EQZ393250:ERA393250 FAV393250:FAW393250 FKR393250:FKS393250 FUN393250:FUO393250 GEJ393250:GEK393250 GOF393250:GOG393250 GYB393250:GYC393250 HHX393250:HHY393250 HRT393250:HRU393250 IBP393250:IBQ393250 ILL393250:ILM393250 IVH393250:IVI393250 JFD393250:JFE393250 JOZ393250:JPA393250 JYV393250:JYW393250 KIR393250:KIS393250 KSN393250:KSO393250 LCJ393250:LCK393250 LMF393250:LMG393250 LWB393250:LWC393250 MFX393250:MFY393250 MPT393250:MPU393250 MZP393250:MZQ393250 NJL393250:NJM393250 NTH393250:NTI393250 ODD393250:ODE393250 OMZ393250:ONA393250 OWV393250:OWW393250 PGR393250:PGS393250 PQN393250:PQO393250 QAJ393250:QAK393250 QKF393250:QKG393250 QUB393250:QUC393250 RDX393250:RDY393250 RNT393250:RNU393250 RXP393250:RXQ393250 SHL393250:SHM393250 SRH393250:SRI393250 TBD393250:TBE393250 TKZ393250:TLA393250 TUV393250:TUW393250 UER393250:UES393250 UON393250:UOO393250 UYJ393250:UYK393250 VIF393250:VIG393250 VSB393250:VSC393250 WBX393250:WBY393250 WLT393250:WLU393250 WVP393250:WVQ393250 H458786:I458786 JD458786:JE458786 SZ458786:TA458786 ACV458786:ACW458786 AMR458786:AMS458786 AWN458786:AWO458786 BGJ458786:BGK458786 BQF458786:BQG458786 CAB458786:CAC458786 CJX458786:CJY458786 CTT458786:CTU458786 DDP458786:DDQ458786 DNL458786:DNM458786 DXH458786:DXI458786 EHD458786:EHE458786 EQZ458786:ERA458786 FAV458786:FAW458786 FKR458786:FKS458786 FUN458786:FUO458786 GEJ458786:GEK458786 GOF458786:GOG458786 GYB458786:GYC458786 HHX458786:HHY458786 HRT458786:HRU458786 IBP458786:IBQ458786 ILL458786:ILM458786 IVH458786:IVI458786 JFD458786:JFE458786 JOZ458786:JPA458786 JYV458786:JYW458786 KIR458786:KIS458786 KSN458786:KSO458786 LCJ458786:LCK458786 LMF458786:LMG458786 LWB458786:LWC458786 MFX458786:MFY458786 MPT458786:MPU458786 MZP458786:MZQ458786 NJL458786:NJM458786 NTH458786:NTI458786 ODD458786:ODE458786 OMZ458786:ONA458786 OWV458786:OWW458786 PGR458786:PGS458786 PQN458786:PQO458786 QAJ458786:QAK458786 QKF458786:QKG458786 QUB458786:QUC458786 RDX458786:RDY458786 RNT458786:RNU458786 RXP458786:RXQ458786 SHL458786:SHM458786 SRH458786:SRI458786 TBD458786:TBE458786 TKZ458786:TLA458786 TUV458786:TUW458786 UER458786:UES458786 UON458786:UOO458786 UYJ458786:UYK458786 VIF458786:VIG458786 VSB458786:VSC458786 WBX458786:WBY458786 WLT458786:WLU458786 WVP458786:WVQ458786 H524322:I524322 JD524322:JE524322 SZ524322:TA524322 ACV524322:ACW524322 AMR524322:AMS524322 AWN524322:AWO524322 BGJ524322:BGK524322 BQF524322:BQG524322 CAB524322:CAC524322 CJX524322:CJY524322 CTT524322:CTU524322 DDP524322:DDQ524322 DNL524322:DNM524322 DXH524322:DXI524322 EHD524322:EHE524322 EQZ524322:ERA524322 FAV524322:FAW524322 FKR524322:FKS524322 FUN524322:FUO524322 GEJ524322:GEK524322 GOF524322:GOG524322 GYB524322:GYC524322 HHX524322:HHY524322 HRT524322:HRU524322 IBP524322:IBQ524322 ILL524322:ILM524322 IVH524322:IVI524322 JFD524322:JFE524322 JOZ524322:JPA524322 JYV524322:JYW524322 KIR524322:KIS524322 KSN524322:KSO524322 LCJ524322:LCK524322 LMF524322:LMG524322 LWB524322:LWC524322 MFX524322:MFY524322 MPT524322:MPU524322 MZP524322:MZQ524322 NJL524322:NJM524322 NTH524322:NTI524322 ODD524322:ODE524322 OMZ524322:ONA524322 OWV524322:OWW524322 PGR524322:PGS524322 PQN524322:PQO524322 QAJ524322:QAK524322 QKF524322:QKG524322 QUB524322:QUC524322 RDX524322:RDY524322 RNT524322:RNU524322 RXP524322:RXQ524322 SHL524322:SHM524322 SRH524322:SRI524322 TBD524322:TBE524322 TKZ524322:TLA524322 TUV524322:TUW524322 UER524322:UES524322 UON524322:UOO524322 UYJ524322:UYK524322 VIF524322:VIG524322 VSB524322:VSC524322 WBX524322:WBY524322 WLT524322:WLU524322 WVP524322:WVQ524322 H589858:I589858 JD589858:JE589858 SZ589858:TA589858 ACV589858:ACW589858 AMR589858:AMS589858 AWN589858:AWO589858 BGJ589858:BGK589858 BQF589858:BQG589858 CAB589858:CAC589858 CJX589858:CJY589858 CTT589858:CTU589858 DDP589858:DDQ589858 DNL589858:DNM589858 DXH589858:DXI589858 EHD589858:EHE589858 EQZ589858:ERA589858 FAV589858:FAW589858 FKR589858:FKS589858 FUN589858:FUO589858 GEJ589858:GEK589858 GOF589858:GOG589858 GYB589858:GYC589858 HHX589858:HHY589858 HRT589858:HRU589858 IBP589858:IBQ589858 ILL589858:ILM589858 IVH589858:IVI589858 JFD589858:JFE589858 JOZ589858:JPA589858 JYV589858:JYW589858 KIR589858:KIS589858 KSN589858:KSO589858 LCJ589858:LCK589858 LMF589858:LMG589858 LWB589858:LWC589858 MFX589858:MFY589858 MPT589858:MPU589858 MZP589858:MZQ589858 NJL589858:NJM589858 NTH589858:NTI589858 ODD589858:ODE589858 OMZ589858:ONA589858 OWV589858:OWW589858 PGR589858:PGS589858 PQN589858:PQO589858 QAJ589858:QAK589858 QKF589858:QKG589858 QUB589858:QUC589858 RDX589858:RDY589858 RNT589858:RNU589858 RXP589858:RXQ589858 SHL589858:SHM589858 SRH589858:SRI589858 TBD589858:TBE589858 TKZ589858:TLA589858 TUV589858:TUW589858 UER589858:UES589858 UON589858:UOO589858 UYJ589858:UYK589858 VIF589858:VIG589858 VSB589858:VSC589858 WBX589858:WBY589858 WLT589858:WLU589858 WVP589858:WVQ589858 H655394:I655394 JD655394:JE655394 SZ655394:TA655394 ACV655394:ACW655394 AMR655394:AMS655394 AWN655394:AWO655394 BGJ655394:BGK655394 BQF655394:BQG655394 CAB655394:CAC655394 CJX655394:CJY655394 CTT655394:CTU655394 DDP655394:DDQ655394 DNL655394:DNM655394 DXH655394:DXI655394 EHD655394:EHE655394 EQZ655394:ERA655394 FAV655394:FAW655394 FKR655394:FKS655394 FUN655394:FUO655394 GEJ655394:GEK655394 GOF655394:GOG655394 GYB655394:GYC655394 HHX655394:HHY655394 HRT655394:HRU655394 IBP655394:IBQ655394 ILL655394:ILM655394 IVH655394:IVI655394 JFD655394:JFE655394 JOZ655394:JPA655394 JYV655394:JYW655394 KIR655394:KIS655394 KSN655394:KSO655394 LCJ655394:LCK655394 LMF655394:LMG655394 LWB655394:LWC655394 MFX655394:MFY655394 MPT655394:MPU655394 MZP655394:MZQ655394 NJL655394:NJM655394 NTH655394:NTI655394 ODD655394:ODE655394 OMZ655394:ONA655394 OWV655394:OWW655394 PGR655394:PGS655394 PQN655394:PQO655394 QAJ655394:QAK655394 QKF655394:QKG655394 QUB655394:QUC655394 RDX655394:RDY655394 RNT655394:RNU655394 RXP655394:RXQ655394 SHL655394:SHM655394 SRH655394:SRI655394 TBD655394:TBE655394 TKZ655394:TLA655394 TUV655394:TUW655394 UER655394:UES655394 UON655394:UOO655394 UYJ655394:UYK655394 VIF655394:VIG655394 VSB655394:VSC655394 WBX655394:WBY655394 WLT655394:WLU655394 WVP655394:WVQ655394 H720930:I720930 JD720930:JE720930 SZ720930:TA720930 ACV720930:ACW720930 AMR720930:AMS720930 AWN720930:AWO720930 BGJ720930:BGK720930 BQF720930:BQG720930 CAB720930:CAC720930 CJX720930:CJY720930 CTT720930:CTU720930 DDP720930:DDQ720930 DNL720930:DNM720930 DXH720930:DXI720930 EHD720930:EHE720930 EQZ720930:ERA720930 FAV720930:FAW720930 FKR720930:FKS720930 FUN720930:FUO720930 GEJ720930:GEK720930 GOF720930:GOG720930 GYB720930:GYC720930 HHX720930:HHY720930 HRT720930:HRU720930 IBP720930:IBQ720930 ILL720930:ILM720930 IVH720930:IVI720930 JFD720930:JFE720930 JOZ720930:JPA720930 JYV720930:JYW720930 KIR720930:KIS720930 KSN720930:KSO720930 LCJ720930:LCK720930 LMF720930:LMG720930 LWB720930:LWC720930 MFX720930:MFY720930 MPT720930:MPU720930 MZP720930:MZQ720930 NJL720930:NJM720930 NTH720930:NTI720930 ODD720930:ODE720930 OMZ720930:ONA720930 OWV720930:OWW720930 PGR720930:PGS720930 PQN720930:PQO720930 QAJ720930:QAK720930 QKF720930:QKG720930 QUB720930:QUC720930 RDX720930:RDY720930 RNT720930:RNU720930 RXP720930:RXQ720930 SHL720930:SHM720930 SRH720930:SRI720930 TBD720930:TBE720930 TKZ720930:TLA720930 TUV720930:TUW720930 UER720930:UES720930 UON720930:UOO720930 UYJ720930:UYK720930 VIF720930:VIG720930 VSB720930:VSC720930 WBX720930:WBY720930 WLT720930:WLU720930 WVP720930:WVQ720930 H786466:I786466 JD786466:JE786466 SZ786466:TA786466 ACV786466:ACW786466 AMR786466:AMS786466 AWN786466:AWO786466 BGJ786466:BGK786466 BQF786466:BQG786466 CAB786466:CAC786466 CJX786466:CJY786466 CTT786466:CTU786466 DDP786466:DDQ786466 DNL786466:DNM786466 DXH786466:DXI786466 EHD786466:EHE786466 EQZ786466:ERA786466 FAV786466:FAW786466 FKR786466:FKS786466 FUN786466:FUO786466 GEJ786466:GEK786466 GOF786466:GOG786466 GYB786466:GYC786466 HHX786466:HHY786466 HRT786466:HRU786466 IBP786466:IBQ786466 ILL786466:ILM786466 IVH786466:IVI786466 JFD786466:JFE786466 JOZ786466:JPA786466 JYV786466:JYW786466 KIR786466:KIS786466 KSN786466:KSO786466 LCJ786466:LCK786466 LMF786466:LMG786466 LWB786466:LWC786466 MFX786466:MFY786466 MPT786466:MPU786466 MZP786466:MZQ786466 NJL786466:NJM786466 NTH786466:NTI786466 ODD786466:ODE786466 OMZ786466:ONA786466 OWV786466:OWW786466 PGR786466:PGS786466 PQN786466:PQO786466 QAJ786466:QAK786466 QKF786466:QKG786466 QUB786466:QUC786466 RDX786466:RDY786466 RNT786466:RNU786466 RXP786466:RXQ786466 SHL786466:SHM786466 SRH786466:SRI786466 TBD786466:TBE786466 TKZ786466:TLA786466 TUV786466:TUW786466 UER786466:UES786466 UON786466:UOO786466 UYJ786466:UYK786466 VIF786466:VIG786466 VSB786466:VSC786466 WBX786466:WBY786466 WLT786466:WLU786466 WVP786466:WVQ786466 H852002:I852002 JD852002:JE852002 SZ852002:TA852002 ACV852002:ACW852002 AMR852002:AMS852002 AWN852002:AWO852002 BGJ852002:BGK852002 BQF852002:BQG852002 CAB852002:CAC852002 CJX852002:CJY852002 CTT852002:CTU852002 DDP852002:DDQ852002 DNL852002:DNM852002 DXH852002:DXI852002 EHD852002:EHE852002 EQZ852002:ERA852002 FAV852002:FAW852002 FKR852002:FKS852002 FUN852002:FUO852002 GEJ852002:GEK852002 GOF852002:GOG852002 GYB852002:GYC852002 HHX852002:HHY852002 HRT852002:HRU852002 IBP852002:IBQ852002 ILL852002:ILM852002 IVH852002:IVI852002 JFD852002:JFE852002 JOZ852002:JPA852002 JYV852002:JYW852002 KIR852002:KIS852002 KSN852002:KSO852002 LCJ852002:LCK852002 LMF852002:LMG852002 LWB852002:LWC852002 MFX852002:MFY852002 MPT852002:MPU852002 MZP852002:MZQ852002 NJL852002:NJM852002 NTH852002:NTI852002 ODD852002:ODE852002 OMZ852002:ONA852002 OWV852002:OWW852002 PGR852002:PGS852002 PQN852002:PQO852002 QAJ852002:QAK852002 QKF852002:QKG852002 QUB852002:QUC852002 RDX852002:RDY852002 RNT852002:RNU852002 RXP852002:RXQ852002 SHL852002:SHM852002 SRH852002:SRI852002 TBD852002:TBE852002 TKZ852002:TLA852002 TUV852002:TUW852002 UER852002:UES852002 UON852002:UOO852002 UYJ852002:UYK852002 VIF852002:VIG852002 VSB852002:VSC852002 WBX852002:WBY852002 WLT852002:WLU852002 WVP852002:WVQ852002 H917538:I917538 JD917538:JE917538 SZ917538:TA917538 ACV917538:ACW917538 AMR917538:AMS917538 AWN917538:AWO917538 BGJ917538:BGK917538 BQF917538:BQG917538 CAB917538:CAC917538 CJX917538:CJY917538 CTT917538:CTU917538 DDP917538:DDQ917538 DNL917538:DNM917538 DXH917538:DXI917538 EHD917538:EHE917538 EQZ917538:ERA917538 FAV917538:FAW917538 FKR917538:FKS917538 FUN917538:FUO917538 GEJ917538:GEK917538 GOF917538:GOG917538 GYB917538:GYC917538 HHX917538:HHY917538 HRT917538:HRU917538 IBP917538:IBQ917538 ILL917538:ILM917538 IVH917538:IVI917538 JFD917538:JFE917538 JOZ917538:JPA917538 JYV917538:JYW917538 KIR917538:KIS917538 KSN917538:KSO917538 LCJ917538:LCK917538 LMF917538:LMG917538 LWB917538:LWC917538 MFX917538:MFY917538 MPT917538:MPU917538 MZP917538:MZQ917538 NJL917538:NJM917538 NTH917538:NTI917538 ODD917538:ODE917538 OMZ917538:ONA917538 OWV917538:OWW917538 PGR917538:PGS917538 PQN917538:PQO917538 QAJ917538:QAK917538 QKF917538:QKG917538 QUB917538:QUC917538 RDX917538:RDY917538 RNT917538:RNU917538 RXP917538:RXQ917538 SHL917538:SHM917538 SRH917538:SRI917538 TBD917538:TBE917538 TKZ917538:TLA917538 TUV917538:TUW917538 UER917538:UES917538 UON917538:UOO917538 UYJ917538:UYK917538 VIF917538:VIG917538 VSB917538:VSC917538 WBX917538:WBY917538 WLT917538:WLU917538 WVP917538:WVQ917538 H983074:I983074 JD983074:JE983074 SZ983074:TA983074 ACV983074:ACW983074 AMR983074:AMS983074 AWN983074:AWO983074 BGJ983074:BGK983074 BQF983074:BQG983074 CAB983074:CAC983074 CJX983074:CJY983074 CTT983074:CTU983074 DDP983074:DDQ983074 DNL983074:DNM983074 DXH983074:DXI983074 EHD983074:EHE983074 EQZ983074:ERA983074 FAV983074:FAW983074 FKR983074:FKS983074 FUN983074:FUO983074 GEJ983074:GEK983074 GOF983074:GOG983074 GYB983074:GYC983074 HHX983074:HHY983074 HRT983074:HRU983074 IBP983074:IBQ983074 ILL983074:ILM983074 IVH983074:IVI983074 JFD983074:JFE983074 JOZ983074:JPA983074 JYV983074:JYW983074 KIR983074:KIS983074 KSN983074:KSO983074 LCJ983074:LCK983074 LMF983074:LMG983074 LWB983074:LWC983074 MFX983074:MFY983074 MPT983074:MPU983074 MZP983074:MZQ983074 NJL983074:NJM983074 NTH983074:NTI983074 ODD983074:ODE983074 OMZ983074:ONA983074 OWV983074:OWW983074 PGR983074:PGS983074 PQN983074:PQO983074 QAJ983074:QAK983074 QKF983074:QKG983074 QUB983074:QUC983074 RDX983074:RDY983074 RNT983074:RNU983074 RXP983074:RXQ983074 SHL983074:SHM983074 SRH983074:SRI983074 TBD983074:TBE983074 TKZ983074:TLA983074 TUV983074:TUW983074 UER983074:UES983074 UON983074:UOO983074 UYJ983074:UYK983074 VIF983074:VIG983074 VSB983074:VSC983074 WBX983074:WBY983074 WLT983074:WLU983074 WVP983074:WVQ983074 H36:I42 JD36:JE42 SZ36:TA42 ACV36:ACW42 AMR36:AMS42 AWN36:AWO42 BGJ36:BGK42 BQF36:BQG42 CAB36:CAC42 CJX36:CJY42 CTT36:CTU42 DDP36:DDQ42 DNL36:DNM42 DXH36:DXI42 EHD36:EHE42 EQZ36:ERA42 FAV36:FAW42 FKR36:FKS42 FUN36:FUO42 GEJ36:GEK42 GOF36:GOG42 GYB36:GYC42 HHX36:HHY42 HRT36:HRU42 IBP36:IBQ42 ILL36:ILM42 IVH36:IVI42 JFD36:JFE42 JOZ36:JPA42 JYV36:JYW42 KIR36:KIS42 KSN36:KSO42 LCJ36:LCK42 LMF36:LMG42 LWB36:LWC42 MFX36:MFY42 MPT36:MPU42 MZP36:MZQ42 NJL36:NJM42 NTH36:NTI42 ODD36:ODE42 OMZ36:ONA42 OWV36:OWW42 PGR36:PGS42 PQN36:PQO42 QAJ36:QAK42 QKF36:QKG42 QUB36:QUC42 RDX36:RDY42 RNT36:RNU42 RXP36:RXQ42 SHL36:SHM42 SRH36:SRI42 TBD36:TBE42 TKZ36:TLA42 TUV36:TUW42 UER36:UES42 UON36:UOO42 UYJ36:UYK42 VIF36:VIG42 VSB36:VSC42 WBX36:WBY42 WLT36:WLU42 WVP36:WVQ42 H65572:I65578 JD65572:JE65578 SZ65572:TA65578 ACV65572:ACW65578 AMR65572:AMS65578 AWN65572:AWO65578 BGJ65572:BGK65578 BQF65572:BQG65578 CAB65572:CAC65578 CJX65572:CJY65578 CTT65572:CTU65578 DDP65572:DDQ65578 DNL65572:DNM65578 DXH65572:DXI65578 EHD65572:EHE65578 EQZ65572:ERA65578 FAV65572:FAW65578 FKR65572:FKS65578 FUN65572:FUO65578 GEJ65572:GEK65578 GOF65572:GOG65578 GYB65572:GYC65578 HHX65572:HHY65578 HRT65572:HRU65578 IBP65572:IBQ65578 ILL65572:ILM65578 IVH65572:IVI65578 JFD65572:JFE65578 JOZ65572:JPA65578 JYV65572:JYW65578 KIR65572:KIS65578 KSN65572:KSO65578 LCJ65572:LCK65578 LMF65572:LMG65578 LWB65572:LWC65578 MFX65572:MFY65578 MPT65572:MPU65578 MZP65572:MZQ65578 NJL65572:NJM65578 NTH65572:NTI65578 ODD65572:ODE65578 OMZ65572:ONA65578 OWV65572:OWW65578 PGR65572:PGS65578 PQN65572:PQO65578 QAJ65572:QAK65578 QKF65572:QKG65578 QUB65572:QUC65578 RDX65572:RDY65578 RNT65572:RNU65578 RXP65572:RXQ65578 SHL65572:SHM65578 SRH65572:SRI65578 TBD65572:TBE65578 TKZ65572:TLA65578 TUV65572:TUW65578 UER65572:UES65578 UON65572:UOO65578 UYJ65572:UYK65578 VIF65572:VIG65578 VSB65572:VSC65578 WBX65572:WBY65578 WLT65572:WLU65578 WVP65572:WVQ65578 H131108:I131114 JD131108:JE131114 SZ131108:TA131114 ACV131108:ACW131114 AMR131108:AMS131114 AWN131108:AWO131114 BGJ131108:BGK131114 BQF131108:BQG131114 CAB131108:CAC131114 CJX131108:CJY131114 CTT131108:CTU131114 DDP131108:DDQ131114 DNL131108:DNM131114 DXH131108:DXI131114 EHD131108:EHE131114 EQZ131108:ERA131114 FAV131108:FAW131114 FKR131108:FKS131114 FUN131108:FUO131114 GEJ131108:GEK131114 GOF131108:GOG131114 GYB131108:GYC131114 HHX131108:HHY131114 HRT131108:HRU131114 IBP131108:IBQ131114 ILL131108:ILM131114 IVH131108:IVI131114 JFD131108:JFE131114 JOZ131108:JPA131114 JYV131108:JYW131114 KIR131108:KIS131114 KSN131108:KSO131114 LCJ131108:LCK131114 LMF131108:LMG131114 LWB131108:LWC131114 MFX131108:MFY131114 MPT131108:MPU131114 MZP131108:MZQ131114 NJL131108:NJM131114 NTH131108:NTI131114 ODD131108:ODE131114 OMZ131108:ONA131114 OWV131108:OWW131114 PGR131108:PGS131114 PQN131108:PQO131114 QAJ131108:QAK131114 QKF131108:QKG131114 QUB131108:QUC131114 RDX131108:RDY131114 RNT131108:RNU131114 RXP131108:RXQ131114 SHL131108:SHM131114 SRH131108:SRI131114 TBD131108:TBE131114 TKZ131108:TLA131114 TUV131108:TUW131114 UER131108:UES131114 UON131108:UOO131114 UYJ131108:UYK131114 VIF131108:VIG131114 VSB131108:VSC131114 WBX131108:WBY131114 WLT131108:WLU131114 WVP131108:WVQ131114 H196644:I196650 JD196644:JE196650 SZ196644:TA196650 ACV196644:ACW196650 AMR196644:AMS196650 AWN196644:AWO196650 BGJ196644:BGK196650 BQF196644:BQG196650 CAB196644:CAC196650 CJX196644:CJY196650 CTT196644:CTU196650 DDP196644:DDQ196650 DNL196644:DNM196650 DXH196644:DXI196650 EHD196644:EHE196650 EQZ196644:ERA196650 FAV196644:FAW196650 FKR196644:FKS196650 FUN196644:FUO196650 GEJ196644:GEK196650 GOF196644:GOG196650 GYB196644:GYC196650 HHX196644:HHY196650 HRT196644:HRU196650 IBP196644:IBQ196650 ILL196644:ILM196650 IVH196644:IVI196650 JFD196644:JFE196650 JOZ196644:JPA196650 JYV196644:JYW196650 KIR196644:KIS196650 KSN196644:KSO196650 LCJ196644:LCK196650 LMF196644:LMG196650 LWB196644:LWC196650 MFX196644:MFY196650 MPT196644:MPU196650 MZP196644:MZQ196650 NJL196644:NJM196650 NTH196644:NTI196650 ODD196644:ODE196650 OMZ196644:ONA196650 OWV196644:OWW196650 PGR196644:PGS196650 PQN196644:PQO196650 QAJ196644:QAK196650 QKF196644:QKG196650 QUB196644:QUC196650 RDX196644:RDY196650 RNT196644:RNU196650 RXP196644:RXQ196650 SHL196644:SHM196650 SRH196644:SRI196650 TBD196644:TBE196650 TKZ196644:TLA196650 TUV196644:TUW196650 UER196644:UES196650 UON196644:UOO196650 UYJ196644:UYK196650 VIF196644:VIG196650 VSB196644:VSC196650 WBX196644:WBY196650 WLT196644:WLU196650 WVP196644:WVQ196650 H262180:I262186 JD262180:JE262186 SZ262180:TA262186 ACV262180:ACW262186 AMR262180:AMS262186 AWN262180:AWO262186 BGJ262180:BGK262186 BQF262180:BQG262186 CAB262180:CAC262186 CJX262180:CJY262186 CTT262180:CTU262186 DDP262180:DDQ262186 DNL262180:DNM262186 DXH262180:DXI262186 EHD262180:EHE262186 EQZ262180:ERA262186 FAV262180:FAW262186 FKR262180:FKS262186 FUN262180:FUO262186 GEJ262180:GEK262186 GOF262180:GOG262186 GYB262180:GYC262186 HHX262180:HHY262186 HRT262180:HRU262186 IBP262180:IBQ262186 ILL262180:ILM262186 IVH262180:IVI262186 JFD262180:JFE262186 JOZ262180:JPA262186 JYV262180:JYW262186 KIR262180:KIS262186 KSN262180:KSO262186 LCJ262180:LCK262186 LMF262180:LMG262186 LWB262180:LWC262186 MFX262180:MFY262186 MPT262180:MPU262186 MZP262180:MZQ262186 NJL262180:NJM262186 NTH262180:NTI262186 ODD262180:ODE262186 OMZ262180:ONA262186 OWV262180:OWW262186 PGR262180:PGS262186 PQN262180:PQO262186 QAJ262180:QAK262186 QKF262180:QKG262186 QUB262180:QUC262186 RDX262180:RDY262186 RNT262180:RNU262186 RXP262180:RXQ262186 SHL262180:SHM262186 SRH262180:SRI262186 TBD262180:TBE262186 TKZ262180:TLA262186 TUV262180:TUW262186 UER262180:UES262186 UON262180:UOO262186 UYJ262180:UYK262186 VIF262180:VIG262186 VSB262180:VSC262186 WBX262180:WBY262186 WLT262180:WLU262186 WVP262180:WVQ262186 H327716:I327722 JD327716:JE327722 SZ327716:TA327722 ACV327716:ACW327722 AMR327716:AMS327722 AWN327716:AWO327722 BGJ327716:BGK327722 BQF327716:BQG327722 CAB327716:CAC327722 CJX327716:CJY327722 CTT327716:CTU327722 DDP327716:DDQ327722 DNL327716:DNM327722 DXH327716:DXI327722 EHD327716:EHE327722 EQZ327716:ERA327722 FAV327716:FAW327722 FKR327716:FKS327722 FUN327716:FUO327722 GEJ327716:GEK327722 GOF327716:GOG327722 GYB327716:GYC327722 HHX327716:HHY327722 HRT327716:HRU327722 IBP327716:IBQ327722 ILL327716:ILM327722 IVH327716:IVI327722 JFD327716:JFE327722 JOZ327716:JPA327722 JYV327716:JYW327722 KIR327716:KIS327722 KSN327716:KSO327722 LCJ327716:LCK327722 LMF327716:LMG327722 LWB327716:LWC327722 MFX327716:MFY327722 MPT327716:MPU327722 MZP327716:MZQ327722 NJL327716:NJM327722 NTH327716:NTI327722 ODD327716:ODE327722 OMZ327716:ONA327722 OWV327716:OWW327722 PGR327716:PGS327722 PQN327716:PQO327722 QAJ327716:QAK327722 QKF327716:QKG327722 QUB327716:QUC327722 RDX327716:RDY327722 RNT327716:RNU327722 RXP327716:RXQ327722 SHL327716:SHM327722 SRH327716:SRI327722 TBD327716:TBE327722 TKZ327716:TLA327722 TUV327716:TUW327722 UER327716:UES327722 UON327716:UOO327722 UYJ327716:UYK327722 VIF327716:VIG327722 VSB327716:VSC327722 WBX327716:WBY327722 WLT327716:WLU327722 WVP327716:WVQ327722 H393252:I393258 JD393252:JE393258 SZ393252:TA393258 ACV393252:ACW393258 AMR393252:AMS393258 AWN393252:AWO393258 BGJ393252:BGK393258 BQF393252:BQG393258 CAB393252:CAC393258 CJX393252:CJY393258 CTT393252:CTU393258 DDP393252:DDQ393258 DNL393252:DNM393258 DXH393252:DXI393258 EHD393252:EHE393258 EQZ393252:ERA393258 FAV393252:FAW393258 FKR393252:FKS393258 FUN393252:FUO393258 GEJ393252:GEK393258 GOF393252:GOG393258 GYB393252:GYC393258 HHX393252:HHY393258 HRT393252:HRU393258 IBP393252:IBQ393258 ILL393252:ILM393258 IVH393252:IVI393258 JFD393252:JFE393258 JOZ393252:JPA393258 JYV393252:JYW393258 KIR393252:KIS393258 KSN393252:KSO393258 LCJ393252:LCK393258 LMF393252:LMG393258 LWB393252:LWC393258 MFX393252:MFY393258 MPT393252:MPU393258 MZP393252:MZQ393258 NJL393252:NJM393258 NTH393252:NTI393258 ODD393252:ODE393258 OMZ393252:ONA393258 OWV393252:OWW393258 PGR393252:PGS393258 PQN393252:PQO393258 QAJ393252:QAK393258 QKF393252:QKG393258 QUB393252:QUC393258 RDX393252:RDY393258 RNT393252:RNU393258 RXP393252:RXQ393258 SHL393252:SHM393258 SRH393252:SRI393258 TBD393252:TBE393258 TKZ393252:TLA393258 TUV393252:TUW393258 UER393252:UES393258 UON393252:UOO393258 UYJ393252:UYK393258 VIF393252:VIG393258 VSB393252:VSC393258 WBX393252:WBY393258 WLT393252:WLU393258 WVP393252:WVQ393258 H458788:I458794 JD458788:JE458794 SZ458788:TA458794 ACV458788:ACW458794 AMR458788:AMS458794 AWN458788:AWO458794 BGJ458788:BGK458794 BQF458788:BQG458794 CAB458788:CAC458794 CJX458788:CJY458794 CTT458788:CTU458794 DDP458788:DDQ458794 DNL458788:DNM458794 DXH458788:DXI458794 EHD458788:EHE458794 EQZ458788:ERA458794 FAV458788:FAW458794 FKR458788:FKS458794 FUN458788:FUO458794 GEJ458788:GEK458794 GOF458788:GOG458794 GYB458788:GYC458794 HHX458788:HHY458794 HRT458788:HRU458794 IBP458788:IBQ458794 ILL458788:ILM458794 IVH458788:IVI458794 JFD458788:JFE458794 JOZ458788:JPA458794 JYV458788:JYW458794 KIR458788:KIS458794 KSN458788:KSO458794 LCJ458788:LCK458794 LMF458788:LMG458794 LWB458788:LWC458794 MFX458788:MFY458794 MPT458788:MPU458794 MZP458788:MZQ458794 NJL458788:NJM458794 NTH458788:NTI458794 ODD458788:ODE458794 OMZ458788:ONA458794 OWV458788:OWW458794 PGR458788:PGS458794 PQN458788:PQO458794 QAJ458788:QAK458794 QKF458788:QKG458794 QUB458788:QUC458794 RDX458788:RDY458794 RNT458788:RNU458794 RXP458788:RXQ458794 SHL458788:SHM458794 SRH458788:SRI458794 TBD458788:TBE458794 TKZ458788:TLA458794 TUV458788:TUW458794 UER458788:UES458794 UON458788:UOO458794 UYJ458788:UYK458794 VIF458788:VIG458794 VSB458788:VSC458794 WBX458788:WBY458794 WLT458788:WLU458794 WVP458788:WVQ458794 H524324:I524330 JD524324:JE524330 SZ524324:TA524330 ACV524324:ACW524330 AMR524324:AMS524330 AWN524324:AWO524330 BGJ524324:BGK524330 BQF524324:BQG524330 CAB524324:CAC524330 CJX524324:CJY524330 CTT524324:CTU524330 DDP524324:DDQ524330 DNL524324:DNM524330 DXH524324:DXI524330 EHD524324:EHE524330 EQZ524324:ERA524330 FAV524324:FAW524330 FKR524324:FKS524330 FUN524324:FUO524330 GEJ524324:GEK524330 GOF524324:GOG524330 GYB524324:GYC524330 HHX524324:HHY524330 HRT524324:HRU524330 IBP524324:IBQ524330 ILL524324:ILM524330 IVH524324:IVI524330 JFD524324:JFE524330 JOZ524324:JPA524330 JYV524324:JYW524330 KIR524324:KIS524330 KSN524324:KSO524330 LCJ524324:LCK524330 LMF524324:LMG524330 LWB524324:LWC524330 MFX524324:MFY524330 MPT524324:MPU524330 MZP524324:MZQ524330 NJL524324:NJM524330 NTH524324:NTI524330 ODD524324:ODE524330 OMZ524324:ONA524330 OWV524324:OWW524330 PGR524324:PGS524330 PQN524324:PQO524330 QAJ524324:QAK524330 QKF524324:QKG524330 QUB524324:QUC524330 RDX524324:RDY524330 RNT524324:RNU524330 RXP524324:RXQ524330 SHL524324:SHM524330 SRH524324:SRI524330 TBD524324:TBE524330 TKZ524324:TLA524330 TUV524324:TUW524330 UER524324:UES524330 UON524324:UOO524330 UYJ524324:UYK524330 VIF524324:VIG524330 VSB524324:VSC524330 WBX524324:WBY524330 WLT524324:WLU524330 WVP524324:WVQ524330 H589860:I589866 JD589860:JE589866 SZ589860:TA589866 ACV589860:ACW589866 AMR589860:AMS589866 AWN589860:AWO589866 BGJ589860:BGK589866 BQF589860:BQG589866 CAB589860:CAC589866 CJX589860:CJY589866 CTT589860:CTU589866 DDP589860:DDQ589866 DNL589860:DNM589866 DXH589860:DXI589866 EHD589860:EHE589866 EQZ589860:ERA589866 FAV589860:FAW589866 FKR589860:FKS589866 FUN589860:FUO589866 GEJ589860:GEK589866 GOF589860:GOG589866 GYB589860:GYC589866 HHX589860:HHY589866 HRT589860:HRU589866 IBP589860:IBQ589866 ILL589860:ILM589866 IVH589860:IVI589866 JFD589860:JFE589866 JOZ589860:JPA589866 JYV589860:JYW589866 KIR589860:KIS589866 KSN589860:KSO589866 LCJ589860:LCK589866 LMF589860:LMG589866 LWB589860:LWC589866 MFX589860:MFY589866 MPT589860:MPU589866 MZP589860:MZQ589866 NJL589860:NJM589866 NTH589860:NTI589866 ODD589860:ODE589866 OMZ589860:ONA589866 OWV589860:OWW589866 PGR589860:PGS589866 PQN589860:PQO589866 QAJ589860:QAK589866 QKF589860:QKG589866 QUB589860:QUC589866 RDX589860:RDY589866 RNT589860:RNU589866 RXP589860:RXQ589866 SHL589860:SHM589866 SRH589860:SRI589866 TBD589860:TBE589866 TKZ589860:TLA589866 TUV589860:TUW589866 UER589860:UES589866 UON589860:UOO589866 UYJ589860:UYK589866 VIF589860:VIG589866 VSB589860:VSC589866 WBX589860:WBY589866 WLT589860:WLU589866 WVP589860:WVQ589866 H655396:I655402 JD655396:JE655402 SZ655396:TA655402 ACV655396:ACW655402 AMR655396:AMS655402 AWN655396:AWO655402 BGJ655396:BGK655402 BQF655396:BQG655402 CAB655396:CAC655402 CJX655396:CJY655402 CTT655396:CTU655402 DDP655396:DDQ655402 DNL655396:DNM655402 DXH655396:DXI655402 EHD655396:EHE655402 EQZ655396:ERA655402 FAV655396:FAW655402 FKR655396:FKS655402 FUN655396:FUO655402 GEJ655396:GEK655402 GOF655396:GOG655402 GYB655396:GYC655402 HHX655396:HHY655402 HRT655396:HRU655402 IBP655396:IBQ655402 ILL655396:ILM655402 IVH655396:IVI655402 JFD655396:JFE655402 JOZ655396:JPA655402 JYV655396:JYW655402 KIR655396:KIS655402 KSN655396:KSO655402 LCJ655396:LCK655402 LMF655396:LMG655402 LWB655396:LWC655402 MFX655396:MFY655402 MPT655396:MPU655402 MZP655396:MZQ655402 NJL655396:NJM655402 NTH655396:NTI655402 ODD655396:ODE655402 OMZ655396:ONA655402 OWV655396:OWW655402 PGR655396:PGS655402 PQN655396:PQO655402 QAJ655396:QAK655402 QKF655396:QKG655402 QUB655396:QUC655402 RDX655396:RDY655402 RNT655396:RNU655402 RXP655396:RXQ655402 SHL655396:SHM655402 SRH655396:SRI655402 TBD655396:TBE655402 TKZ655396:TLA655402 TUV655396:TUW655402 UER655396:UES655402 UON655396:UOO655402 UYJ655396:UYK655402 VIF655396:VIG655402 VSB655396:VSC655402 WBX655396:WBY655402 WLT655396:WLU655402 WVP655396:WVQ655402 H720932:I720938 JD720932:JE720938 SZ720932:TA720938 ACV720932:ACW720938 AMR720932:AMS720938 AWN720932:AWO720938 BGJ720932:BGK720938 BQF720932:BQG720938 CAB720932:CAC720938 CJX720932:CJY720938 CTT720932:CTU720938 DDP720932:DDQ720938 DNL720932:DNM720938 DXH720932:DXI720938 EHD720932:EHE720938 EQZ720932:ERA720938 FAV720932:FAW720938 FKR720932:FKS720938 FUN720932:FUO720938 GEJ720932:GEK720938 GOF720932:GOG720938 GYB720932:GYC720938 HHX720932:HHY720938 HRT720932:HRU720938 IBP720932:IBQ720938 ILL720932:ILM720938 IVH720932:IVI720938 JFD720932:JFE720938 JOZ720932:JPA720938 JYV720932:JYW720938 KIR720932:KIS720938 KSN720932:KSO720938 LCJ720932:LCK720938 LMF720932:LMG720938 LWB720932:LWC720938 MFX720932:MFY720938 MPT720932:MPU720938 MZP720932:MZQ720938 NJL720932:NJM720938 NTH720932:NTI720938 ODD720932:ODE720938 OMZ720932:ONA720938 OWV720932:OWW720938 PGR720932:PGS720938 PQN720932:PQO720938 QAJ720932:QAK720938 QKF720932:QKG720938 QUB720932:QUC720938 RDX720932:RDY720938 RNT720932:RNU720938 RXP720932:RXQ720938 SHL720932:SHM720938 SRH720932:SRI720938 TBD720932:TBE720938 TKZ720932:TLA720938 TUV720932:TUW720938 UER720932:UES720938 UON720932:UOO720938 UYJ720932:UYK720938 VIF720932:VIG720938 VSB720932:VSC720938 WBX720932:WBY720938 WLT720932:WLU720938 WVP720932:WVQ720938 H786468:I786474 JD786468:JE786474 SZ786468:TA786474 ACV786468:ACW786474 AMR786468:AMS786474 AWN786468:AWO786474 BGJ786468:BGK786474 BQF786468:BQG786474 CAB786468:CAC786474 CJX786468:CJY786474 CTT786468:CTU786474 DDP786468:DDQ786474 DNL786468:DNM786474 DXH786468:DXI786474 EHD786468:EHE786474 EQZ786468:ERA786474 FAV786468:FAW786474 FKR786468:FKS786474 FUN786468:FUO786474 GEJ786468:GEK786474 GOF786468:GOG786474 GYB786468:GYC786474 HHX786468:HHY786474 HRT786468:HRU786474 IBP786468:IBQ786474 ILL786468:ILM786474 IVH786468:IVI786474 JFD786468:JFE786474 JOZ786468:JPA786474 JYV786468:JYW786474 KIR786468:KIS786474 KSN786468:KSO786474 LCJ786468:LCK786474 LMF786468:LMG786474 LWB786468:LWC786474 MFX786468:MFY786474 MPT786468:MPU786474 MZP786468:MZQ786474 NJL786468:NJM786474 NTH786468:NTI786474 ODD786468:ODE786474 OMZ786468:ONA786474 OWV786468:OWW786474 PGR786468:PGS786474 PQN786468:PQO786474 QAJ786468:QAK786474 QKF786468:QKG786474 QUB786468:QUC786474 RDX786468:RDY786474 RNT786468:RNU786474 RXP786468:RXQ786474 SHL786468:SHM786474 SRH786468:SRI786474 TBD786468:TBE786474 TKZ786468:TLA786474 TUV786468:TUW786474 UER786468:UES786474 UON786468:UOO786474 UYJ786468:UYK786474 VIF786468:VIG786474 VSB786468:VSC786474 WBX786468:WBY786474 WLT786468:WLU786474 WVP786468:WVQ786474 H852004:I852010 JD852004:JE852010 SZ852004:TA852010 ACV852004:ACW852010 AMR852004:AMS852010 AWN852004:AWO852010 BGJ852004:BGK852010 BQF852004:BQG852010 CAB852004:CAC852010 CJX852004:CJY852010 CTT852004:CTU852010 DDP852004:DDQ852010 DNL852004:DNM852010 DXH852004:DXI852010 EHD852004:EHE852010 EQZ852004:ERA852010 FAV852004:FAW852010 FKR852004:FKS852010 FUN852004:FUO852010 GEJ852004:GEK852010 GOF852004:GOG852010 GYB852004:GYC852010 HHX852004:HHY852010 HRT852004:HRU852010 IBP852004:IBQ852010 ILL852004:ILM852010 IVH852004:IVI852010 JFD852004:JFE852010 JOZ852004:JPA852010 JYV852004:JYW852010 KIR852004:KIS852010 KSN852004:KSO852010 LCJ852004:LCK852010 LMF852004:LMG852010 LWB852004:LWC852010 MFX852004:MFY852010 MPT852004:MPU852010 MZP852004:MZQ852010 NJL852004:NJM852010 NTH852004:NTI852010 ODD852004:ODE852010 OMZ852004:ONA852010 OWV852004:OWW852010 PGR852004:PGS852010 PQN852004:PQO852010 QAJ852004:QAK852010 QKF852004:QKG852010 QUB852004:QUC852010 RDX852004:RDY852010 RNT852004:RNU852010 RXP852004:RXQ852010 SHL852004:SHM852010 SRH852004:SRI852010 TBD852004:TBE852010 TKZ852004:TLA852010 TUV852004:TUW852010 UER852004:UES852010 UON852004:UOO852010 UYJ852004:UYK852010 VIF852004:VIG852010 VSB852004:VSC852010 WBX852004:WBY852010 WLT852004:WLU852010 WVP852004:WVQ852010 H917540:I917546 JD917540:JE917546 SZ917540:TA917546 ACV917540:ACW917546 AMR917540:AMS917546 AWN917540:AWO917546 BGJ917540:BGK917546 BQF917540:BQG917546 CAB917540:CAC917546 CJX917540:CJY917546 CTT917540:CTU917546 DDP917540:DDQ917546 DNL917540:DNM917546 DXH917540:DXI917546 EHD917540:EHE917546 EQZ917540:ERA917546 FAV917540:FAW917546 FKR917540:FKS917546 FUN917540:FUO917546 GEJ917540:GEK917546 GOF917540:GOG917546 GYB917540:GYC917546 HHX917540:HHY917546 HRT917540:HRU917546 IBP917540:IBQ917546 ILL917540:ILM917546 IVH917540:IVI917546 JFD917540:JFE917546 JOZ917540:JPA917546 JYV917540:JYW917546 KIR917540:KIS917546 KSN917540:KSO917546 LCJ917540:LCK917546 LMF917540:LMG917546 LWB917540:LWC917546 MFX917540:MFY917546 MPT917540:MPU917546 MZP917540:MZQ917546 NJL917540:NJM917546 NTH917540:NTI917546 ODD917540:ODE917546 OMZ917540:ONA917546 OWV917540:OWW917546 PGR917540:PGS917546 PQN917540:PQO917546 QAJ917540:QAK917546 QKF917540:QKG917546 QUB917540:QUC917546 RDX917540:RDY917546 RNT917540:RNU917546 RXP917540:RXQ917546 SHL917540:SHM917546 SRH917540:SRI917546 TBD917540:TBE917546 TKZ917540:TLA917546 TUV917540:TUW917546 UER917540:UES917546 UON917540:UOO917546 UYJ917540:UYK917546 VIF917540:VIG917546 VSB917540:VSC917546 WBX917540:WBY917546 WLT917540:WLU917546 WVP917540:WVQ917546 H983076:I983082 JD983076:JE983082 SZ983076:TA983082 ACV983076:ACW983082 AMR983076:AMS983082 AWN983076:AWO983082 BGJ983076:BGK983082 BQF983076:BQG983082 CAB983076:CAC983082 CJX983076:CJY983082 CTT983076:CTU983082 DDP983076:DDQ983082 DNL983076:DNM983082 DXH983076:DXI983082 EHD983076:EHE983082 EQZ983076:ERA983082 FAV983076:FAW983082 FKR983076:FKS983082 FUN983076:FUO983082 GEJ983076:GEK983082 GOF983076:GOG983082 GYB983076:GYC983082 HHX983076:HHY983082 HRT983076:HRU983082 IBP983076:IBQ983082 ILL983076:ILM983082 IVH983076:IVI983082 JFD983076:JFE983082 JOZ983076:JPA983082 JYV983076:JYW983082 KIR983076:KIS983082 KSN983076:KSO983082 LCJ983076:LCK983082 LMF983076:LMG983082 LWB983076:LWC983082 MFX983076:MFY983082 MPT983076:MPU983082 MZP983076:MZQ983082 NJL983076:NJM983082 NTH983076:NTI983082 ODD983076:ODE983082 OMZ983076:ONA983082 OWV983076:OWW983082 PGR983076:PGS983082 PQN983076:PQO983082 QAJ983076:QAK983082 QKF983076:QKG983082 QUB983076:QUC983082 RDX983076:RDY983082 RNT983076:RNU983082 RXP983076:RXQ983082 SHL983076:SHM983082 SRH983076:SRI983082 TBD983076:TBE983082 TKZ983076:TLA983082 TUV983076:TUW983082 UER983076:UES983082 UON983076:UOO983082 UYJ983076:UYK983082 VIF983076:VIG983082 VSB983076:VSC983082 WBX983076:WBY983082 WLT983076:WLU983082 WVP983076:WVQ983082 H44:I44 JD44:JE44 SZ44:TA44 ACV44:ACW44 AMR44:AMS44 AWN44:AWO44 BGJ44:BGK44 BQF44:BQG44 CAB44:CAC44 CJX44:CJY44 CTT44:CTU44 DDP44:DDQ44 DNL44:DNM44 DXH44:DXI44 EHD44:EHE44 EQZ44:ERA44 FAV44:FAW44 FKR44:FKS44 FUN44:FUO44 GEJ44:GEK44 GOF44:GOG44 GYB44:GYC44 HHX44:HHY44 HRT44:HRU44 IBP44:IBQ44 ILL44:ILM44 IVH44:IVI44 JFD44:JFE44 JOZ44:JPA44 JYV44:JYW44 KIR44:KIS44 KSN44:KSO44 LCJ44:LCK44 LMF44:LMG44 LWB44:LWC44 MFX44:MFY44 MPT44:MPU44 MZP44:MZQ44 NJL44:NJM44 NTH44:NTI44 ODD44:ODE44 OMZ44:ONA44 OWV44:OWW44 PGR44:PGS44 PQN44:PQO44 QAJ44:QAK44 QKF44:QKG44 QUB44:QUC44 RDX44:RDY44 RNT44:RNU44 RXP44:RXQ44 SHL44:SHM44 SRH44:SRI44 TBD44:TBE44 TKZ44:TLA44 TUV44:TUW44 UER44:UES44 UON44:UOO44 UYJ44:UYK44 VIF44:VIG44 VSB44:VSC44 WBX44:WBY44 WLT44:WLU44 WVP44:WVQ44 H65580:I65580 JD65580:JE65580 SZ65580:TA65580 ACV65580:ACW65580 AMR65580:AMS65580 AWN65580:AWO65580 BGJ65580:BGK65580 BQF65580:BQG65580 CAB65580:CAC65580 CJX65580:CJY65580 CTT65580:CTU65580 DDP65580:DDQ65580 DNL65580:DNM65580 DXH65580:DXI65580 EHD65580:EHE65580 EQZ65580:ERA65580 FAV65580:FAW65580 FKR65580:FKS65580 FUN65580:FUO65580 GEJ65580:GEK65580 GOF65580:GOG65580 GYB65580:GYC65580 HHX65580:HHY65580 HRT65580:HRU65580 IBP65580:IBQ65580 ILL65580:ILM65580 IVH65580:IVI65580 JFD65580:JFE65580 JOZ65580:JPA65580 JYV65580:JYW65580 KIR65580:KIS65580 KSN65580:KSO65580 LCJ65580:LCK65580 LMF65580:LMG65580 LWB65580:LWC65580 MFX65580:MFY65580 MPT65580:MPU65580 MZP65580:MZQ65580 NJL65580:NJM65580 NTH65580:NTI65580 ODD65580:ODE65580 OMZ65580:ONA65580 OWV65580:OWW65580 PGR65580:PGS65580 PQN65580:PQO65580 QAJ65580:QAK65580 QKF65580:QKG65580 QUB65580:QUC65580 RDX65580:RDY65580 RNT65580:RNU65580 RXP65580:RXQ65580 SHL65580:SHM65580 SRH65580:SRI65580 TBD65580:TBE65580 TKZ65580:TLA65580 TUV65580:TUW65580 UER65580:UES65580 UON65580:UOO65580 UYJ65580:UYK65580 VIF65580:VIG65580 VSB65580:VSC65580 WBX65580:WBY65580 WLT65580:WLU65580 WVP65580:WVQ65580 H131116:I131116 JD131116:JE131116 SZ131116:TA131116 ACV131116:ACW131116 AMR131116:AMS131116 AWN131116:AWO131116 BGJ131116:BGK131116 BQF131116:BQG131116 CAB131116:CAC131116 CJX131116:CJY131116 CTT131116:CTU131116 DDP131116:DDQ131116 DNL131116:DNM131116 DXH131116:DXI131116 EHD131116:EHE131116 EQZ131116:ERA131116 FAV131116:FAW131116 FKR131116:FKS131116 FUN131116:FUO131116 GEJ131116:GEK131116 GOF131116:GOG131116 GYB131116:GYC131116 HHX131116:HHY131116 HRT131116:HRU131116 IBP131116:IBQ131116 ILL131116:ILM131116 IVH131116:IVI131116 JFD131116:JFE131116 JOZ131116:JPA131116 JYV131116:JYW131116 KIR131116:KIS131116 KSN131116:KSO131116 LCJ131116:LCK131116 LMF131116:LMG131116 LWB131116:LWC131116 MFX131116:MFY131116 MPT131116:MPU131116 MZP131116:MZQ131116 NJL131116:NJM131116 NTH131116:NTI131116 ODD131116:ODE131116 OMZ131116:ONA131116 OWV131116:OWW131116 PGR131116:PGS131116 PQN131116:PQO131116 QAJ131116:QAK131116 QKF131116:QKG131116 QUB131116:QUC131116 RDX131116:RDY131116 RNT131116:RNU131116 RXP131116:RXQ131116 SHL131116:SHM131116 SRH131116:SRI131116 TBD131116:TBE131116 TKZ131116:TLA131116 TUV131116:TUW131116 UER131116:UES131116 UON131116:UOO131116 UYJ131116:UYK131116 VIF131116:VIG131116 VSB131116:VSC131116 WBX131116:WBY131116 WLT131116:WLU131116 WVP131116:WVQ131116 H196652:I196652 JD196652:JE196652 SZ196652:TA196652 ACV196652:ACW196652 AMR196652:AMS196652 AWN196652:AWO196652 BGJ196652:BGK196652 BQF196652:BQG196652 CAB196652:CAC196652 CJX196652:CJY196652 CTT196652:CTU196652 DDP196652:DDQ196652 DNL196652:DNM196652 DXH196652:DXI196652 EHD196652:EHE196652 EQZ196652:ERA196652 FAV196652:FAW196652 FKR196652:FKS196652 FUN196652:FUO196652 GEJ196652:GEK196652 GOF196652:GOG196652 GYB196652:GYC196652 HHX196652:HHY196652 HRT196652:HRU196652 IBP196652:IBQ196652 ILL196652:ILM196652 IVH196652:IVI196652 JFD196652:JFE196652 JOZ196652:JPA196652 JYV196652:JYW196652 KIR196652:KIS196652 KSN196652:KSO196652 LCJ196652:LCK196652 LMF196652:LMG196652 LWB196652:LWC196652 MFX196652:MFY196652 MPT196652:MPU196652 MZP196652:MZQ196652 NJL196652:NJM196652 NTH196652:NTI196652 ODD196652:ODE196652 OMZ196652:ONA196652 OWV196652:OWW196652 PGR196652:PGS196652 PQN196652:PQO196652 QAJ196652:QAK196652 QKF196652:QKG196652 QUB196652:QUC196652 RDX196652:RDY196652 RNT196652:RNU196652 RXP196652:RXQ196652 SHL196652:SHM196652 SRH196652:SRI196652 TBD196652:TBE196652 TKZ196652:TLA196652 TUV196652:TUW196652 UER196652:UES196652 UON196652:UOO196652 UYJ196652:UYK196652 VIF196652:VIG196652 VSB196652:VSC196652 WBX196652:WBY196652 WLT196652:WLU196652 WVP196652:WVQ196652 H262188:I262188 JD262188:JE262188 SZ262188:TA262188 ACV262188:ACW262188 AMR262188:AMS262188 AWN262188:AWO262188 BGJ262188:BGK262188 BQF262188:BQG262188 CAB262188:CAC262188 CJX262188:CJY262188 CTT262188:CTU262188 DDP262188:DDQ262188 DNL262188:DNM262188 DXH262188:DXI262188 EHD262188:EHE262188 EQZ262188:ERA262188 FAV262188:FAW262188 FKR262188:FKS262188 FUN262188:FUO262188 GEJ262188:GEK262188 GOF262188:GOG262188 GYB262188:GYC262188 HHX262188:HHY262188 HRT262188:HRU262188 IBP262188:IBQ262188 ILL262188:ILM262188 IVH262188:IVI262188 JFD262188:JFE262188 JOZ262188:JPA262188 JYV262188:JYW262188 KIR262188:KIS262188 KSN262188:KSO262188 LCJ262188:LCK262188 LMF262188:LMG262188 LWB262188:LWC262188 MFX262188:MFY262188 MPT262188:MPU262188 MZP262188:MZQ262188 NJL262188:NJM262188 NTH262188:NTI262188 ODD262188:ODE262188 OMZ262188:ONA262188 OWV262188:OWW262188 PGR262188:PGS262188 PQN262188:PQO262188 QAJ262188:QAK262188 QKF262188:QKG262188 QUB262188:QUC262188 RDX262188:RDY262188 RNT262188:RNU262188 RXP262188:RXQ262188 SHL262188:SHM262188 SRH262188:SRI262188 TBD262188:TBE262188 TKZ262188:TLA262188 TUV262188:TUW262188 UER262188:UES262188 UON262188:UOO262188 UYJ262188:UYK262188 VIF262188:VIG262188 VSB262188:VSC262188 WBX262188:WBY262188 WLT262188:WLU262188 WVP262188:WVQ262188 H327724:I327724 JD327724:JE327724 SZ327724:TA327724 ACV327724:ACW327724 AMR327724:AMS327724 AWN327724:AWO327724 BGJ327724:BGK327724 BQF327724:BQG327724 CAB327724:CAC327724 CJX327724:CJY327724 CTT327724:CTU327724 DDP327724:DDQ327724 DNL327724:DNM327724 DXH327724:DXI327724 EHD327724:EHE327724 EQZ327724:ERA327724 FAV327724:FAW327724 FKR327724:FKS327724 FUN327724:FUO327724 GEJ327724:GEK327724 GOF327724:GOG327724 GYB327724:GYC327724 HHX327724:HHY327724 HRT327724:HRU327724 IBP327724:IBQ327724 ILL327724:ILM327724 IVH327724:IVI327724 JFD327724:JFE327724 JOZ327724:JPA327724 JYV327724:JYW327724 KIR327724:KIS327724 KSN327724:KSO327724 LCJ327724:LCK327724 LMF327724:LMG327724 LWB327724:LWC327724 MFX327724:MFY327724 MPT327724:MPU327724 MZP327724:MZQ327724 NJL327724:NJM327724 NTH327724:NTI327724 ODD327724:ODE327724 OMZ327724:ONA327724 OWV327724:OWW327724 PGR327724:PGS327724 PQN327724:PQO327724 QAJ327724:QAK327724 QKF327724:QKG327724 QUB327724:QUC327724 RDX327724:RDY327724 RNT327724:RNU327724 RXP327724:RXQ327724 SHL327724:SHM327724 SRH327724:SRI327724 TBD327724:TBE327724 TKZ327724:TLA327724 TUV327724:TUW327724 UER327724:UES327724 UON327724:UOO327724 UYJ327724:UYK327724 VIF327724:VIG327724 VSB327724:VSC327724 WBX327724:WBY327724 WLT327724:WLU327724 WVP327724:WVQ327724 H393260:I393260 JD393260:JE393260 SZ393260:TA393260 ACV393260:ACW393260 AMR393260:AMS393260 AWN393260:AWO393260 BGJ393260:BGK393260 BQF393260:BQG393260 CAB393260:CAC393260 CJX393260:CJY393260 CTT393260:CTU393260 DDP393260:DDQ393260 DNL393260:DNM393260 DXH393260:DXI393260 EHD393260:EHE393260 EQZ393260:ERA393260 FAV393260:FAW393260 FKR393260:FKS393260 FUN393260:FUO393260 GEJ393260:GEK393260 GOF393260:GOG393260 GYB393260:GYC393260 HHX393260:HHY393260 HRT393260:HRU393260 IBP393260:IBQ393260 ILL393260:ILM393260 IVH393260:IVI393260 JFD393260:JFE393260 JOZ393260:JPA393260 JYV393260:JYW393260 KIR393260:KIS393260 KSN393260:KSO393260 LCJ393260:LCK393260 LMF393260:LMG393260 LWB393260:LWC393260 MFX393260:MFY393260 MPT393260:MPU393260 MZP393260:MZQ393260 NJL393260:NJM393260 NTH393260:NTI393260 ODD393260:ODE393260 OMZ393260:ONA393260 OWV393260:OWW393260 PGR393260:PGS393260 PQN393260:PQO393260 QAJ393260:QAK393260 QKF393260:QKG393260 QUB393260:QUC393260 RDX393260:RDY393260 RNT393260:RNU393260 RXP393260:RXQ393260 SHL393260:SHM393260 SRH393260:SRI393260 TBD393260:TBE393260 TKZ393260:TLA393260 TUV393260:TUW393260 UER393260:UES393260 UON393260:UOO393260 UYJ393260:UYK393260 VIF393260:VIG393260 VSB393260:VSC393260 WBX393260:WBY393260 WLT393260:WLU393260 WVP393260:WVQ393260 H458796:I458796 JD458796:JE458796 SZ458796:TA458796 ACV458796:ACW458796 AMR458796:AMS458796 AWN458796:AWO458796 BGJ458796:BGK458796 BQF458796:BQG458796 CAB458796:CAC458796 CJX458796:CJY458796 CTT458796:CTU458796 DDP458796:DDQ458796 DNL458796:DNM458796 DXH458796:DXI458796 EHD458796:EHE458796 EQZ458796:ERA458796 FAV458796:FAW458796 FKR458796:FKS458796 FUN458796:FUO458796 GEJ458796:GEK458796 GOF458796:GOG458796 GYB458796:GYC458796 HHX458796:HHY458796 HRT458796:HRU458796 IBP458796:IBQ458796 ILL458796:ILM458796 IVH458796:IVI458796 JFD458796:JFE458796 JOZ458796:JPA458796 JYV458796:JYW458796 KIR458796:KIS458796 KSN458796:KSO458796 LCJ458796:LCK458796 LMF458796:LMG458796 LWB458796:LWC458796 MFX458796:MFY458796 MPT458796:MPU458796 MZP458796:MZQ458796 NJL458796:NJM458796 NTH458796:NTI458796 ODD458796:ODE458796 OMZ458796:ONA458796 OWV458796:OWW458796 PGR458796:PGS458796 PQN458796:PQO458796 QAJ458796:QAK458796 QKF458796:QKG458796 QUB458796:QUC458796 RDX458796:RDY458796 RNT458796:RNU458796 RXP458796:RXQ458796 SHL458796:SHM458796 SRH458796:SRI458796 TBD458796:TBE458796 TKZ458796:TLA458796 TUV458796:TUW458796 UER458796:UES458796 UON458796:UOO458796 UYJ458796:UYK458796 VIF458796:VIG458796 VSB458796:VSC458796 WBX458796:WBY458796 WLT458796:WLU458796 WVP458796:WVQ458796 H524332:I524332 JD524332:JE524332 SZ524332:TA524332 ACV524332:ACW524332 AMR524332:AMS524332 AWN524332:AWO524332 BGJ524332:BGK524332 BQF524332:BQG524332 CAB524332:CAC524332 CJX524332:CJY524332 CTT524332:CTU524332 DDP524332:DDQ524332 DNL524332:DNM524332 DXH524332:DXI524332 EHD524332:EHE524332 EQZ524332:ERA524332 FAV524332:FAW524332 FKR524332:FKS524332 FUN524332:FUO524332 GEJ524332:GEK524332 GOF524332:GOG524332 GYB524332:GYC524332 HHX524332:HHY524332 HRT524332:HRU524332 IBP524332:IBQ524332 ILL524332:ILM524332 IVH524332:IVI524332 JFD524332:JFE524332 JOZ524332:JPA524332 JYV524332:JYW524332 KIR524332:KIS524332 KSN524332:KSO524332 LCJ524332:LCK524332 LMF524332:LMG524332 LWB524332:LWC524332 MFX524332:MFY524332 MPT524332:MPU524332 MZP524332:MZQ524332 NJL524332:NJM524332 NTH524332:NTI524332 ODD524332:ODE524332 OMZ524332:ONA524332 OWV524332:OWW524332 PGR524332:PGS524332 PQN524332:PQO524332 QAJ524332:QAK524332 QKF524332:QKG524332 QUB524332:QUC524332 RDX524332:RDY524332 RNT524332:RNU524332 RXP524332:RXQ524332 SHL524332:SHM524332 SRH524332:SRI524332 TBD524332:TBE524332 TKZ524332:TLA524332 TUV524332:TUW524332 UER524332:UES524332 UON524332:UOO524332 UYJ524332:UYK524332 VIF524332:VIG524332 VSB524332:VSC524332 WBX524332:WBY524332 WLT524332:WLU524332 WVP524332:WVQ524332 H589868:I589868 JD589868:JE589868 SZ589868:TA589868 ACV589868:ACW589868 AMR589868:AMS589868 AWN589868:AWO589868 BGJ589868:BGK589868 BQF589868:BQG589868 CAB589868:CAC589868 CJX589868:CJY589868 CTT589868:CTU589868 DDP589868:DDQ589868 DNL589868:DNM589868 DXH589868:DXI589868 EHD589868:EHE589868 EQZ589868:ERA589868 FAV589868:FAW589868 FKR589868:FKS589868 FUN589868:FUO589868 GEJ589868:GEK589868 GOF589868:GOG589868 GYB589868:GYC589868 HHX589868:HHY589868 HRT589868:HRU589868 IBP589868:IBQ589868 ILL589868:ILM589868 IVH589868:IVI589868 JFD589868:JFE589868 JOZ589868:JPA589868 JYV589868:JYW589868 KIR589868:KIS589868 KSN589868:KSO589868 LCJ589868:LCK589868 LMF589868:LMG589868 LWB589868:LWC589868 MFX589868:MFY589868 MPT589868:MPU589868 MZP589868:MZQ589868 NJL589868:NJM589868 NTH589868:NTI589868 ODD589868:ODE589868 OMZ589868:ONA589868 OWV589868:OWW589868 PGR589868:PGS589868 PQN589868:PQO589868 QAJ589868:QAK589868 QKF589868:QKG589868 QUB589868:QUC589868 RDX589868:RDY589868 RNT589868:RNU589868 RXP589868:RXQ589868 SHL589868:SHM589868 SRH589868:SRI589868 TBD589868:TBE589868 TKZ589868:TLA589868 TUV589868:TUW589868 UER589868:UES589868 UON589868:UOO589868 UYJ589868:UYK589868 VIF589868:VIG589868 VSB589868:VSC589868 WBX589868:WBY589868 WLT589868:WLU589868 WVP589868:WVQ589868 H655404:I655404 JD655404:JE655404 SZ655404:TA655404 ACV655404:ACW655404 AMR655404:AMS655404 AWN655404:AWO655404 BGJ655404:BGK655404 BQF655404:BQG655404 CAB655404:CAC655404 CJX655404:CJY655404 CTT655404:CTU655404 DDP655404:DDQ655404 DNL655404:DNM655404 DXH655404:DXI655404 EHD655404:EHE655404 EQZ655404:ERA655404 FAV655404:FAW655404 FKR655404:FKS655404 FUN655404:FUO655404 GEJ655404:GEK655404 GOF655404:GOG655404 GYB655404:GYC655404 HHX655404:HHY655404 HRT655404:HRU655404 IBP655404:IBQ655404 ILL655404:ILM655404 IVH655404:IVI655404 JFD655404:JFE655404 JOZ655404:JPA655404 JYV655404:JYW655404 KIR655404:KIS655404 KSN655404:KSO655404 LCJ655404:LCK655404 LMF655404:LMG655404 LWB655404:LWC655404 MFX655404:MFY655404 MPT655404:MPU655404 MZP655404:MZQ655404 NJL655404:NJM655404 NTH655404:NTI655404 ODD655404:ODE655404 OMZ655404:ONA655404 OWV655404:OWW655404 PGR655404:PGS655404 PQN655404:PQO655404 QAJ655404:QAK655404 QKF655404:QKG655404 QUB655404:QUC655404 RDX655404:RDY655404 RNT655404:RNU655404 RXP655404:RXQ655404 SHL655404:SHM655404 SRH655404:SRI655404 TBD655404:TBE655404 TKZ655404:TLA655404 TUV655404:TUW655404 UER655404:UES655404 UON655404:UOO655404 UYJ655404:UYK655404 VIF655404:VIG655404 VSB655404:VSC655404 WBX655404:WBY655404 WLT655404:WLU655404 WVP655404:WVQ655404 H720940:I720940 JD720940:JE720940 SZ720940:TA720940 ACV720940:ACW720940 AMR720940:AMS720940 AWN720940:AWO720940 BGJ720940:BGK720940 BQF720940:BQG720940 CAB720940:CAC720940 CJX720940:CJY720940 CTT720940:CTU720940 DDP720940:DDQ720940 DNL720940:DNM720940 DXH720940:DXI720940 EHD720940:EHE720940 EQZ720940:ERA720940 FAV720940:FAW720940 FKR720940:FKS720940 FUN720940:FUO720940 GEJ720940:GEK720940 GOF720940:GOG720940 GYB720940:GYC720940 HHX720940:HHY720940 HRT720940:HRU720940 IBP720940:IBQ720940 ILL720940:ILM720940 IVH720940:IVI720940 JFD720940:JFE720940 JOZ720940:JPA720940 JYV720940:JYW720940 KIR720940:KIS720940 KSN720940:KSO720940 LCJ720940:LCK720940 LMF720940:LMG720940 LWB720940:LWC720940 MFX720940:MFY720940 MPT720940:MPU720940 MZP720940:MZQ720940 NJL720940:NJM720940 NTH720940:NTI720940 ODD720940:ODE720940 OMZ720940:ONA720940 OWV720940:OWW720940 PGR720940:PGS720940 PQN720940:PQO720940 QAJ720940:QAK720940 QKF720940:QKG720940 QUB720940:QUC720940 RDX720940:RDY720940 RNT720940:RNU720940 RXP720940:RXQ720940 SHL720940:SHM720940 SRH720940:SRI720940 TBD720940:TBE720940 TKZ720940:TLA720940 TUV720940:TUW720940 UER720940:UES720940 UON720940:UOO720940 UYJ720940:UYK720940 VIF720940:VIG720940 VSB720940:VSC720940 WBX720940:WBY720940 WLT720940:WLU720940 WVP720940:WVQ720940 H786476:I786476 JD786476:JE786476 SZ786476:TA786476 ACV786476:ACW786476 AMR786476:AMS786476 AWN786476:AWO786476 BGJ786476:BGK786476 BQF786476:BQG786476 CAB786476:CAC786476 CJX786476:CJY786476 CTT786476:CTU786476 DDP786476:DDQ786476 DNL786476:DNM786476 DXH786476:DXI786476 EHD786476:EHE786476 EQZ786476:ERA786476 FAV786476:FAW786476 FKR786476:FKS786476 FUN786476:FUO786476 GEJ786476:GEK786476 GOF786476:GOG786476 GYB786476:GYC786476 HHX786476:HHY786476 HRT786476:HRU786476 IBP786476:IBQ786476 ILL786476:ILM786476 IVH786476:IVI786476 JFD786476:JFE786476 JOZ786476:JPA786476 JYV786476:JYW786476 KIR786476:KIS786476 KSN786476:KSO786476 LCJ786476:LCK786476 LMF786476:LMG786476 LWB786476:LWC786476 MFX786476:MFY786476 MPT786476:MPU786476 MZP786476:MZQ786476 NJL786476:NJM786476 NTH786476:NTI786476 ODD786476:ODE786476 OMZ786476:ONA786476 OWV786476:OWW786476 PGR786476:PGS786476 PQN786476:PQO786476 QAJ786476:QAK786476 QKF786476:QKG786476 QUB786476:QUC786476 RDX786476:RDY786476 RNT786476:RNU786476 RXP786476:RXQ786476 SHL786476:SHM786476 SRH786476:SRI786476 TBD786476:TBE786476 TKZ786476:TLA786476 TUV786476:TUW786476 UER786476:UES786476 UON786476:UOO786476 UYJ786476:UYK786476 VIF786476:VIG786476 VSB786476:VSC786476 WBX786476:WBY786476 WLT786476:WLU786476 WVP786476:WVQ786476 H852012:I852012 JD852012:JE852012 SZ852012:TA852012 ACV852012:ACW852012 AMR852012:AMS852012 AWN852012:AWO852012 BGJ852012:BGK852012 BQF852012:BQG852012 CAB852012:CAC852012 CJX852012:CJY852012 CTT852012:CTU852012 DDP852012:DDQ852012 DNL852012:DNM852012 DXH852012:DXI852012 EHD852012:EHE852012 EQZ852012:ERA852012 FAV852012:FAW852012 FKR852012:FKS852012 FUN852012:FUO852012 GEJ852012:GEK852012 GOF852012:GOG852012 GYB852012:GYC852012 HHX852012:HHY852012 HRT852012:HRU852012 IBP852012:IBQ852012 ILL852012:ILM852012 IVH852012:IVI852012 JFD852012:JFE852012 JOZ852012:JPA852012 JYV852012:JYW852012 KIR852012:KIS852012 KSN852012:KSO852012 LCJ852012:LCK852012 LMF852012:LMG852012 LWB852012:LWC852012 MFX852012:MFY852012 MPT852012:MPU852012 MZP852012:MZQ852012 NJL852012:NJM852012 NTH852012:NTI852012 ODD852012:ODE852012 OMZ852012:ONA852012 OWV852012:OWW852012 PGR852012:PGS852012 PQN852012:PQO852012 QAJ852012:QAK852012 QKF852012:QKG852012 QUB852012:QUC852012 RDX852012:RDY852012 RNT852012:RNU852012 RXP852012:RXQ852012 SHL852012:SHM852012 SRH852012:SRI852012 TBD852012:TBE852012 TKZ852012:TLA852012 TUV852012:TUW852012 UER852012:UES852012 UON852012:UOO852012 UYJ852012:UYK852012 VIF852012:VIG852012 VSB852012:VSC852012 WBX852012:WBY852012 WLT852012:WLU852012 WVP852012:WVQ852012 H917548:I917548 JD917548:JE917548 SZ917548:TA917548 ACV917548:ACW917548 AMR917548:AMS917548 AWN917548:AWO917548 BGJ917548:BGK917548 BQF917548:BQG917548 CAB917548:CAC917548 CJX917548:CJY917548 CTT917548:CTU917548 DDP917548:DDQ917548 DNL917548:DNM917548 DXH917548:DXI917548 EHD917548:EHE917548 EQZ917548:ERA917548 FAV917548:FAW917548 FKR917548:FKS917548 FUN917548:FUO917548 GEJ917548:GEK917548 GOF917548:GOG917548 GYB917548:GYC917548 HHX917548:HHY917548 HRT917548:HRU917548 IBP917548:IBQ917548 ILL917548:ILM917548 IVH917548:IVI917548 JFD917548:JFE917548 JOZ917548:JPA917548 JYV917548:JYW917548 KIR917548:KIS917548 KSN917548:KSO917548 LCJ917548:LCK917548 LMF917548:LMG917548 LWB917548:LWC917548 MFX917548:MFY917548 MPT917548:MPU917548 MZP917548:MZQ917548 NJL917548:NJM917548 NTH917548:NTI917548 ODD917548:ODE917548 OMZ917548:ONA917548 OWV917548:OWW917548 PGR917548:PGS917548 PQN917548:PQO917548 QAJ917548:QAK917548 QKF917548:QKG917548 QUB917548:QUC917548 RDX917548:RDY917548 RNT917548:RNU917548 RXP917548:RXQ917548 SHL917548:SHM917548 SRH917548:SRI917548 TBD917548:TBE917548 TKZ917548:TLA917548 TUV917548:TUW917548 UER917548:UES917548 UON917548:UOO917548 UYJ917548:UYK917548 VIF917548:VIG917548 VSB917548:VSC917548 WBX917548:WBY917548 WLT917548:WLU917548 WVP917548:WVQ917548 H983084:I983084 JD983084:JE983084 SZ983084:TA983084 ACV983084:ACW983084 AMR983084:AMS983084 AWN983084:AWO983084 BGJ983084:BGK983084 BQF983084:BQG983084 CAB983084:CAC983084 CJX983084:CJY983084 CTT983084:CTU983084 DDP983084:DDQ983084 DNL983084:DNM983084 DXH983084:DXI983084 EHD983084:EHE983084 EQZ983084:ERA983084 FAV983084:FAW983084 FKR983084:FKS983084 FUN983084:FUO983084 GEJ983084:GEK983084 GOF983084:GOG983084 GYB983084:GYC983084 HHX983084:HHY983084 HRT983084:HRU983084 IBP983084:IBQ983084 ILL983084:ILM983084 IVH983084:IVI983084 JFD983084:JFE983084 JOZ983084:JPA983084 JYV983084:JYW983084 KIR983084:KIS983084 KSN983084:KSO983084 LCJ983084:LCK983084 LMF983084:LMG983084 LWB983084:LWC983084 MFX983084:MFY983084 MPT983084:MPU983084 MZP983084:MZQ983084 NJL983084:NJM983084 NTH983084:NTI983084 ODD983084:ODE983084 OMZ983084:ONA983084 OWV983084:OWW983084 PGR983084:PGS983084 PQN983084:PQO983084 QAJ983084:QAK983084 QKF983084:QKG983084 QUB983084:QUC983084 RDX983084:RDY983084 RNT983084:RNU983084 RXP983084:RXQ983084 SHL983084:SHM983084 SRH983084:SRI983084 TBD983084:TBE983084 TKZ983084:TLA983084 TUV983084:TUW983084 UER983084:UES983084 UON983084:UOO983084 UYJ983084:UYK983084 VIF983084:VIG983084 VSB983084:VSC983084 WBX983084:WBY983084 WLT983084:WLU983084 WVP983084:WVQ983084 H46:I52 JD46:JE52 SZ46:TA52 ACV46:ACW52 AMR46:AMS52 AWN46:AWO52 BGJ46:BGK52 BQF46:BQG52 CAB46:CAC52 CJX46:CJY52 CTT46:CTU52 DDP46:DDQ52 DNL46:DNM52 DXH46:DXI52 EHD46:EHE52 EQZ46:ERA52 FAV46:FAW52 FKR46:FKS52 FUN46:FUO52 GEJ46:GEK52 GOF46:GOG52 GYB46:GYC52 HHX46:HHY52 HRT46:HRU52 IBP46:IBQ52 ILL46:ILM52 IVH46:IVI52 JFD46:JFE52 JOZ46:JPA52 JYV46:JYW52 KIR46:KIS52 KSN46:KSO52 LCJ46:LCK52 LMF46:LMG52 LWB46:LWC52 MFX46:MFY52 MPT46:MPU52 MZP46:MZQ52 NJL46:NJM52 NTH46:NTI52 ODD46:ODE52 OMZ46:ONA52 OWV46:OWW52 PGR46:PGS52 PQN46:PQO52 QAJ46:QAK52 QKF46:QKG52 QUB46:QUC52 RDX46:RDY52 RNT46:RNU52 RXP46:RXQ52 SHL46:SHM52 SRH46:SRI52 TBD46:TBE52 TKZ46:TLA52 TUV46:TUW52 UER46:UES52 UON46:UOO52 UYJ46:UYK52 VIF46:VIG52 VSB46:VSC52 WBX46:WBY52 WLT46:WLU52 WVP46:WVQ52 H65582:I65588 JD65582:JE65588 SZ65582:TA65588 ACV65582:ACW65588 AMR65582:AMS65588 AWN65582:AWO65588 BGJ65582:BGK65588 BQF65582:BQG65588 CAB65582:CAC65588 CJX65582:CJY65588 CTT65582:CTU65588 DDP65582:DDQ65588 DNL65582:DNM65588 DXH65582:DXI65588 EHD65582:EHE65588 EQZ65582:ERA65588 FAV65582:FAW65588 FKR65582:FKS65588 FUN65582:FUO65588 GEJ65582:GEK65588 GOF65582:GOG65588 GYB65582:GYC65588 HHX65582:HHY65588 HRT65582:HRU65588 IBP65582:IBQ65588 ILL65582:ILM65588 IVH65582:IVI65588 JFD65582:JFE65588 JOZ65582:JPA65588 JYV65582:JYW65588 KIR65582:KIS65588 KSN65582:KSO65588 LCJ65582:LCK65588 LMF65582:LMG65588 LWB65582:LWC65588 MFX65582:MFY65588 MPT65582:MPU65588 MZP65582:MZQ65588 NJL65582:NJM65588 NTH65582:NTI65588 ODD65582:ODE65588 OMZ65582:ONA65588 OWV65582:OWW65588 PGR65582:PGS65588 PQN65582:PQO65588 QAJ65582:QAK65588 QKF65582:QKG65588 QUB65582:QUC65588 RDX65582:RDY65588 RNT65582:RNU65588 RXP65582:RXQ65588 SHL65582:SHM65588 SRH65582:SRI65588 TBD65582:TBE65588 TKZ65582:TLA65588 TUV65582:TUW65588 UER65582:UES65588 UON65582:UOO65588 UYJ65582:UYK65588 VIF65582:VIG65588 VSB65582:VSC65588 WBX65582:WBY65588 WLT65582:WLU65588 WVP65582:WVQ65588 H131118:I131124 JD131118:JE131124 SZ131118:TA131124 ACV131118:ACW131124 AMR131118:AMS131124 AWN131118:AWO131124 BGJ131118:BGK131124 BQF131118:BQG131124 CAB131118:CAC131124 CJX131118:CJY131124 CTT131118:CTU131124 DDP131118:DDQ131124 DNL131118:DNM131124 DXH131118:DXI131124 EHD131118:EHE131124 EQZ131118:ERA131124 FAV131118:FAW131124 FKR131118:FKS131124 FUN131118:FUO131124 GEJ131118:GEK131124 GOF131118:GOG131124 GYB131118:GYC131124 HHX131118:HHY131124 HRT131118:HRU131124 IBP131118:IBQ131124 ILL131118:ILM131124 IVH131118:IVI131124 JFD131118:JFE131124 JOZ131118:JPA131124 JYV131118:JYW131124 KIR131118:KIS131124 KSN131118:KSO131124 LCJ131118:LCK131124 LMF131118:LMG131124 LWB131118:LWC131124 MFX131118:MFY131124 MPT131118:MPU131124 MZP131118:MZQ131124 NJL131118:NJM131124 NTH131118:NTI131124 ODD131118:ODE131124 OMZ131118:ONA131124 OWV131118:OWW131124 PGR131118:PGS131124 PQN131118:PQO131124 QAJ131118:QAK131124 QKF131118:QKG131124 QUB131118:QUC131124 RDX131118:RDY131124 RNT131118:RNU131124 RXP131118:RXQ131124 SHL131118:SHM131124 SRH131118:SRI131124 TBD131118:TBE131124 TKZ131118:TLA131124 TUV131118:TUW131124 UER131118:UES131124 UON131118:UOO131124 UYJ131118:UYK131124 VIF131118:VIG131124 VSB131118:VSC131124 WBX131118:WBY131124 WLT131118:WLU131124 WVP131118:WVQ131124 H196654:I196660 JD196654:JE196660 SZ196654:TA196660 ACV196654:ACW196660 AMR196654:AMS196660 AWN196654:AWO196660 BGJ196654:BGK196660 BQF196654:BQG196660 CAB196654:CAC196660 CJX196654:CJY196660 CTT196654:CTU196660 DDP196654:DDQ196660 DNL196654:DNM196660 DXH196654:DXI196660 EHD196654:EHE196660 EQZ196654:ERA196660 FAV196654:FAW196660 FKR196654:FKS196660 FUN196654:FUO196660 GEJ196654:GEK196660 GOF196654:GOG196660 GYB196654:GYC196660 HHX196654:HHY196660 HRT196654:HRU196660 IBP196654:IBQ196660 ILL196654:ILM196660 IVH196654:IVI196660 JFD196654:JFE196660 JOZ196654:JPA196660 JYV196654:JYW196660 KIR196654:KIS196660 KSN196654:KSO196660 LCJ196654:LCK196660 LMF196654:LMG196660 LWB196654:LWC196660 MFX196654:MFY196660 MPT196654:MPU196660 MZP196654:MZQ196660 NJL196654:NJM196660 NTH196654:NTI196660 ODD196654:ODE196660 OMZ196654:ONA196660 OWV196654:OWW196660 PGR196654:PGS196660 PQN196654:PQO196660 QAJ196654:QAK196660 QKF196654:QKG196660 QUB196654:QUC196660 RDX196654:RDY196660 RNT196654:RNU196660 RXP196654:RXQ196660 SHL196654:SHM196660 SRH196654:SRI196660 TBD196654:TBE196660 TKZ196654:TLA196660 TUV196654:TUW196660 UER196654:UES196660 UON196654:UOO196660 UYJ196654:UYK196660 VIF196654:VIG196660 VSB196654:VSC196660 WBX196654:WBY196660 WLT196654:WLU196660 WVP196654:WVQ196660 H262190:I262196 JD262190:JE262196 SZ262190:TA262196 ACV262190:ACW262196 AMR262190:AMS262196 AWN262190:AWO262196 BGJ262190:BGK262196 BQF262190:BQG262196 CAB262190:CAC262196 CJX262190:CJY262196 CTT262190:CTU262196 DDP262190:DDQ262196 DNL262190:DNM262196 DXH262190:DXI262196 EHD262190:EHE262196 EQZ262190:ERA262196 FAV262190:FAW262196 FKR262190:FKS262196 FUN262190:FUO262196 GEJ262190:GEK262196 GOF262190:GOG262196 GYB262190:GYC262196 HHX262190:HHY262196 HRT262190:HRU262196 IBP262190:IBQ262196 ILL262190:ILM262196 IVH262190:IVI262196 JFD262190:JFE262196 JOZ262190:JPA262196 JYV262190:JYW262196 KIR262190:KIS262196 KSN262190:KSO262196 LCJ262190:LCK262196 LMF262190:LMG262196 LWB262190:LWC262196 MFX262190:MFY262196 MPT262190:MPU262196 MZP262190:MZQ262196 NJL262190:NJM262196 NTH262190:NTI262196 ODD262190:ODE262196 OMZ262190:ONA262196 OWV262190:OWW262196 PGR262190:PGS262196 PQN262190:PQO262196 QAJ262190:QAK262196 QKF262190:QKG262196 QUB262190:QUC262196 RDX262190:RDY262196 RNT262190:RNU262196 RXP262190:RXQ262196 SHL262190:SHM262196 SRH262190:SRI262196 TBD262190:TBE262196 TKZ262190:TLA262196 TUV262190:TUW262196 UER262190:UES262196 UON262190:UOO262196 UYJ262190:UYK262196 VIF262190:VIG262196 VSB262190:VSC262196 WBX262190:WBY262196 WLT262190:WLU262196 WVP262190:WVQ262196 H327726:I327732 JD327726:JE327732 SZ327726:TA327732 ACV327726:ACW327732 AMR327726:AMS327732 AWN327726:AWO327732 BGJ327726:BGK327732 BQF327726:BQG327732 CAB327726:CAC327732 CJX327726:CJY327732 CTT327726:CTU327732 DDP327726:DDQ327732 DNL327726:DNM327732 DXH327726:DXI327732 EHD327726:EHE327732 EQZ327726:ERA327732 FAV327726:FAW327732 FKR327726:FKS327732 FUN327726:FUO327732 GEJ327726:GEK327732 GOF327726:GOG327732 GYB327726:GYC327732 HHX327726:HHY327732 HRT327726:HRU327732 IBP327726:IBQ327732 ILL327726:ILM327732 IVH327726:IVI327732 JFD327726:JFE327732 JOZ327726:JPA327732 JYV327726:JYW327732 KIR327726:KIS327732 KSN327726:KSO327732 LCJ327726:LCK327732 LMF327726:LMG327732 LWB327726:LWC327732 MFX327726:MFY327732 MPT327726:MPU327732 MZP327726:MZQ327732 NJL327726:NJM327732 NTH327726:NTI327732 ODD327726:ODE327732 OMZ327726:ONA327732 OWV327726:OWW327732 PGR327726:PGS327732 PQN327726:PQO327732 QAJ327726:QAK327732 QKF327726:QKG327732 QUB327726:QUC327732 RDX327726:RDY327732 RNT327726:RNU327732 RXP327726:RXQ327732 SHL327726:SHM327732 SRH327726:SRI327732 TBD327726:TBE327732 TKZ327726:TLA327732 TUV327726:TUW327732 UER327726:UES327732 UON327726:UOO327732 UYJ327726:UYK327732 VIF327726:VIG327732 VSB327726:VSC327732 WBX327726:WBY327732 WLT327726:WLU327732 WVP327726:WVQ327732 H393262:I393268 JD393262:JE393268 SZ393262:TA393268 ACV393262:ACW393268 AMR393262:AMS393268 AWN393262:AWO393268 BGJ393262:BGK393268 BQF393262:BQG393268 CAB393262:CAC393268 CJX393262:CJY393268 CTT393262:CTU393268 DDP393262:DDQ393268 DNL393262:DNM393268 DXH393262:DXI393268 EHD393262:EHE393268 EQZ393262:ERA393268 FAV393262:FAW393268 FKR393262:FKS393268 FUN393262:FUO393268 GEJ393262:GEK393268 GOF393262:GOG393268 GYB393262:GYC393268 HHX393262:HHY393268 HRT393262:HRU393268 IBP393262:IBQ393268 ILL393262:ILM393268 IVH393262:IVI393268 JFD393262:JFE393268 JOZ393262:JPA393268 JYV393262:JYW393268 KIR393262:KIS393268 KSN393262:KSO393268 LCJ393262:LCK393268 LMF393262:LMG393268 LWB393262:LWC393268 MFX393262:MFY393268 MPT393262:MPU393268 MZP393262:MZQ393268 NJL393262:NJM393268 NTH393262:NTI393268 ODD393262:ODE393268 OMZ393262:ONA393268 OWV393262:OWW393268 PGR393262:PGS393268 PQN393262:PQO393268 QAJ393262:QAK393268 QKF393262:QKG393268 QUB393262:QUC393268 RDX393262:RDY393268 RNT393262:RNU393268 RXP393262:RXQ393268 SHL393262:SHM393268 SRH393262:SRI393268 TBD393262:TBE393268 TKZ393262:TLA393268 TUV393262:TUW393268 UER393262:UES393268 UON393262:UOO393268 UYJ393262:UYK393268 VIF393262:VIG393268 VSB393262:VSC393268 WBX393262:WBY393268 WLT393262:WLU393268 WVP393262:WVQ393268 H458798:I458804 JD458798:JE458804 SZ458798:TA458804 ACV458798:ACW458804 AMR458798:AMS458804 AWN458798:AWO458804 BGJ458798:BGK458804 BQF458798:BQG458804 CAB458798:CAC458804 CJX458798:CJY458804 CTT458798:CTU458804 DDP458798:DDQ458804 DNL458798:DNM458804 DXH458798:DXI458804 EHD458798:EHE458804 EQZ458798:ERA458804 FAV458798:FAW458804 FKR458798:FKS458804 FUN458798:FUO458804 GEJ458798:GEK458804 GOF458798:GOG458804 GYB458798:GYC458804 HHX458798:HHY458804 HRT458798:HRU458804 IBP458798:IBQ458804 ILL458798:ILM458804 IVH458798:IVI458804 JFD458798:JFE458804 JOZ458798:JPA458804 JYV458798:JYW458804 KIR458798:KIS458804 KSN458798:KSO458804 LCJ458798:LCK458804 LMF458798:LMG458804 LWB458798:LWC458804 MFX458798:MFY458804 MPT458798:MPU458804 MZP458798:MZQ458804 NJL458798:NJM458804 NTH458798:NTI458804 ODD458798:ODE458804 OMZ458798:ONA458804 OWV458798:OWW458804 PGR458798:PGS458804 PQN458798:PQO458804 QAJ458798:QAK458804 QKF458798:QKG458804 QUB458798:QUC458804 RDX458798:RDY458804 RNT458798:RNU458804 RXP458798:RXQ458804 SHL458798:SHM458804 SRH458798:SRI458804 TBD458798:TBE458804 TKZ458798:TLA458804 TUV458798:TUW458804 UER458798:UES458804 UON458798:UOO458804 UYJ458798:UYK458804 VIF458798:VIG458804 VSB458798:VSC458804 WBX458798:WBY458804 WLT458798:WLU458804 WVP458798:WVQ458804 H524334:I524340 JD524334:JE524340 SZ524334:TA524340 ACV524334:ACW524340 AMR524334:AMS524340 AWN524334:AWO524340 BGJ524334:BGK524340 BQF524334:BQG524340 CAB524334:CAC524340 CJX524334:CJY524340 CTT524334:CTU524340 DDP524334:DDQ524340 DNL524334:DNM524340 DXH524334:DXI524340 EHD524334:EHE524340 EQZ524334:ERA524340 FAV524334:FAW524340 FKR524334:FKS524340 FUN524334:FUO524340 GEJ524334:GEK524340 GOF524334:GOG524340 GYB524334:GYC524340 HHX524334:HHY524340 HRT524334:HRU524340 IBP524334:IBQ524340 ILL524334:ILM524340 IVH524334:IVI524340 JFD524334:JFE524340 JOZ524334:JPA524340 JYV524334:JYW524340 KIR524334:KIS524340 KSN524334:KSO524340 LCJ524334:LCK524340 LMF524334:LMG524340 LWB524334:LWC524340 MFX524334:MFY524340 MPT524334:MPU524340 MZP524334:MZQ524340 NJL524334:NJM524340 NTH524334:NTI524340 ODD524334:ODE524340 OMZ524334:ONA524340 OWV524334:OWW524340 PGR524334:PGS524340 PQN524334:PQO524340 QAJ524334:QAK524340 QKF524334:QKG524340 QUB524334:QUC524340 RDX524334:RDY524340 RNT524334:RNU524340 RXP524334:RXQ524340 SHL524334:SHM524340 SRH524334:SRI524340 TBD524334:TBE524340 TKZ524334:TLA524340 TUV524334:TUW524340 UER524334:UES524340 UON524334:UOO524340 UYJ524334:UYK524340 VIF524334:VIG524340 VSB524334:VSC524340 WBX524334:WBY524340 WLT524334:WLU524340 WVP524334:WVQ524340 H589870:I589876 JD589870:JE589876 SZ589870:TA589876 ACV589870:ACW589876 AMR589870:AMS589876 AWN589870:AWO589876 BGJ589870:BGK589876 BQF589870:BQG589876 CAB589870:CAC589876 CJX589870:CJY589876 CTT589870:CTU589876 DDP589870:DDQ589876 DNL589870:DNM589876 DXH589870:DXI589876 EHD589870:EHE589876 EQZ589870:ERA589876 FAV589870:FAW589876 FKR589870:FKS589876 FUN589870:FUO589876 GEJ589870:GEK589876 GOF589870:GOG589876 GYB589870:GYC589876 HHX589870:HHY589876 HRT589870:HRU589876 IBP589870:IBQ589876 ILL589870:ILM589876 IVH589870:IVI589876 JFD589870:JFE589876 JOZ589870:JPA589876 JYV589870:JYW589876 KIR589870:KIS589876 KSN589870:KSO589876 LCJ589870:LCK589876 LMF589870:LMG589876 LWB589870:LWC589876 MFX589870:MFY589876 MPT589870:MPU589876 MZP589870:MZQ589876 NJL589870:NJM589876 NTH589870:NTI589876 ODD589870:ODE589876 OMZ589870:ONA589876 OWV589870:OWW589876 PGR589870:PGS589876 PQN589870:PQO589876 QAJ589870:QAK589876 QKF589870:QKG589876 QUB589870:QUC589876 RDX589870:RDY589876 RNT589870:RNU589876 RXP589870:RXQ589876 SHL589870:SHM589876 SRH589870:SRI589876 TBD589870:TBE589876 TKZ589870:TLA589876 TUV589870:TUW589876 UER589870:UES589876 UON589870:UOO589876 UYJ589870:UYK589876 VIF589870:VIG589876 VSB589870:VSC589876 WBX589870:WBY589876 WLT589870:WLU589876 WVP589870:WVQ589876 H655406:I655412 JD655406:JE655412 SZ655406:TA655412 ACV655406:ACW655412 AMR655406:AMS655412 AWN655406:AWO655412 BGJ655406:BGK655412 BQF655406:BQG655412 CAB655406:CAC655412 CJX655406:CJY655412 CTT655406:CTU655412 DDP655406:DDQ655412 DNL655406:DNM655412 DXH655406:DXI655412 EHD655406:EHE655412 EQZ655406:ERA655412 FAV655406:FAW655412 FKR655406:FKS655412 FUN655406:FUO655412 GEJ655406:GEK655412 GOF655406:GOG655412 GYB655406:GYC655412 HHX655406:HHY655412 HRT655406:HRU655412 IBP655406:IBQ655412 ILL655406:ILM655412 IVH655406:IVI655412 JFD655406:JFE655412 JOZ655406:JPA655412 JYV655406:JYW655412 KIR655406:KIS655412 KSN655406:KSO655412 LCJ655406:LCK655412 LMF655406:LMG655412 LWB655406:LWC655412 MFX655406:MFY655412 MPT655406:MPU655412 MZP655406:MZQ655412 NJL655406:NJM655412 NTH655406:NTI655412 ODD655406:ODE655412 OMZ655406:ONA655412 OWV655406:OWW655412 PGR655406:PGS655412 PQN655406:PQO655412 QAJ655406:QAK655412 QKF655406:QKG655412 QUB655406:QUC655412 RDX655406:RDY655412 RNT655406:RNU655412 RXP655406:RXQ655412 SHL655406:SHM655412 SRH655406:SRI655412 TBD655406:TBE655412 TKZ655406:TLA655412 TUV655406:TUW655412 UER655406:UES655412 UON655406:UOO655412 UYJ655406:UYK655412 VIF655406:VIG655412 VSB655406:VSC655412 WBX655406:WBY655412 WLT655406:WLU655412 WVP655406:WVQ655412 H720942:I720948 JD720942:JE720948 SZ720942:TA720948 ACV720942:ACW720948 AMR720942:AMS720948 AWN720942:AWO720948 BGJ720942:BGK720948 BQF720942:BQG720948 CAB720942:CAC720948 CJX720942:CJY720948 CTT720942:CTU720948 DDP720942:DDQ720948 DNL720942:DNM720948 DXH720942:DXI720948 EHD720942:EHE720948 EQZ720942:ERA720948 FAV720942:FAW720948 FKR720942:FKS720948 FUN720942:FUO720948 GEJ720942:GEK720948 GOF720942:GOG720948 GYB720942:GYC720948 HHX720942:HHY720948 HRT720942:HRU720948 IBP720942:IBQ720948 ILL720942:ILM720948 IVH720942:IVI720948 JFD720942:JFE720948 JOZ720942:JPA720948 JYV720942:JYW720948 KIR720942:KIS720948 KSN720942:KSO720948 LCJ720942:LCK720948 LMF720942:LMG720948 LWB720942:LWC720948 MFX720942:MFY720948 MPT720942:MPU720948 MZP720942:MZQ720948 NJL720942:NJM720948 NTH720942:NTI720948 ODD720942:ODE720948 OMZ720942:ONA720948 OWV720942:OWW720948 PGR720942:PGS720948 PQN720942:PQO720948 QAJ720942:QAK720948 QKF720942:QKG720948 QUB720942:QUC720948 RDX720942:RDY720948 RNT720942:RNU720948 RXP720942:RXQ720948 SHL720942:SHM720948 SRH720942:SRI720948 TBD720942:TBE720948 TKZ720942:TLA720948 TUV720942:TUW720948 UER720942:UES720948 UON720942:UOO720948 UYJ720942:UYK720948 VIF720942:VIG720948 VSB720942:VSC720948 WBX720942:WBY720948 WLT720942:WLU720948 WVP720942:WVQ720948 H786478:I786484 JD786478:JE786484 SZ786478:TA786484 ACV786478:ACW786484 AMR786478:AMS786484 AWN786478:AWO786484 BGJ786478:BGK786484 BQF786478:BQG786484 CAB786478:CAC786484 CJX786478:CJY786484 CTT786478:CTU786484 DDP786478:DDQ786484 DNL786478:DNM786484 DXH786478:DXI786484 EHD786478:EHE786484 EQZ786478:ERA786484 FAV786478:FAW786484 FKR786478:FKS786484 FUN786478:FUO786484 GEJ786478:GEK786484 GOF786478:GOG786484 GYB786478:GYC786484 HHX786478:HHY786484 HRT786478:HRU786484 IBP786478:IBQ786484 ILL786478:ILM786484 IVH786478:IVI786484 JFD786478:JFE786484 JOZ786478:JPA786484 JYV786478:JYW786484 KIR786478:KIS786484 KSN786478:KSO786484 LCJ786478:LCK786484 LMF786478:LMG786484 LWB786478:LWC786484 MFX786478:MFY786484 MPT786478:MPU786484 MZP786478:MZQ786484 NJL786478:NJM786484 NTH786478:NTI786484 ODD786478:ODE786484 OMZ786478:ONA786484 OWV786478:OWW786484 PGR786478:PGS786484 PQN786478:PQO786484 QAJ786478:QAK786484 QKF786478:QKG786484 QUB786478:QUC786484 RDX786478:RDY786484 RNT786478:RNU786484 RXP786478:RXQ786484 SHL786478:SHM786484 SRH786478:SRI786484 TBD786478:TBE786484 TKZ786478:TLA786484 TUV786478:TUW786484 UER786478:UES786484 UON786478:UOO786484 UYJ786478:UYK786484 VIF786478:VIG786484 VSB786478:VSC786484 WBX786478:WBY786484 WLT786478:WLU786484 WVP786478:WVQ786484 H852014:I852020 JD852014:JE852020 SZ852014:TA852020 ACV852014:ACW852020 AMR852014:AMS852020 AWN852014:AWO852020 BGJ852014:BGK852020 BQF852014:BQG852020 CAB852014:CAC852020 CJX852014:CJY852020 CTT852014:CTU852020 DDP852014:DDQ852020 DNL852014:DNM852020 DXH852014:DXI852020 EHD852014:EHE852020 EQZ852014:ERA852020 FAV852014:FAW852020 FKR852014:FKS852020 FUN852014:FUO852020 GEJ852014:GEK852020 GOF852014:GOG852020 GYB852014:GYC852020 HHX852014:HHY852020 HRT852014:HRU852020 IBP852014:IBQ852020 ILL852014:ILM852020 IVH852014:IVI852020 JFD852014:JFE852020 JOZ852014:JPA852020 JYV852014:JYW852020 KIR852014:KIS852020 KSN852014:KSO852020 LCJ852014:LCK852020 LMF852014:LMG852020 LWB852014:LWC852020 MFX852014:MFY852020 MPT852014:MPU852020 MZP852014:MZQ852020 NJL852014:NJM852020 NTH852014:NTI852020 ODD852014:ODE852020 OMZ852014:ONA852020 OWV852014:OWW852020 PGR852014:PGS852020 PQN852014:PQO852020 QAJ852014:QAK852020 QKF852014:QKG852020 QUB852014:QUC852020 RDX852014:RDY852020 RNT852014:RNU852020 RXP852014:RXQ852020 SHL852014:SHM852020 SRH852014:SRI852020 TBD852014:TBE852020 TKZ852014:TLA852020 TUV852014:TUW852020 UER852014:UES852020 UON852014:UOO852020 UYJ852014:UYK852020 VIF852014:VIG852020 VSB852014:VSC852020 WBX852014:WBY852020 WLT852014:WLU852020 WVP852014:WVQ852020 H917550:I917556 JD917550:JE917556 SZ917550:TA917556 ACV917550:ACW917556 AMR917550:AMS917556 AWN917550:AWO917556 BGJ917550:BGK917556 BQF917550:BQG917556 CAB917550:CAC917556 CJX917550:CJY917556 CTT917550:CTU917556 DDP917550:DDQ917556 DNL917550:DNM917556 DXH917550:DXI917556 EHD917550:EHE917556 EQZ917550:ERA917556 FAV917550:FAW917556 FKR917550:FKS917556 FUN917550:FUO917556 GEJ917550:GEK917556 GOF917550:GOG917556 GYB917550:GYC917556 HHX917550:HHY917556 HRT917550:HRU917556 IBP917550:IBQ917556 ILL917550:ILM917556 IVH917550:IVI917556 JFD917550:JFE917556 JOZ917550:JPA917556 JYV917550:JYW917556 KIR917550:KIS917556 KSN917550:KSO917556 LCJ917550:LCK917556 LMF917550:LMG917556 LWB917550:LWC917556 MFX917550:MFY917556 MPT917550:MPU917556 MZP917550:MZQ917556 NJL917550:NJM917556 NTH917550:NTI917556 ODD917550:ODE917556 OMZ917550:ONA917556 OWV917550:OWW917556 PGR917550:PGS917556 PQN917550:PQO917556 QAJ917550:QAK917556 QKF917550:QKG917556 QUB917550:QUC917556 RDX917550:RDY917556 RNT917550:RNU917556 RXP917550:RXQ917556 SHL917550:SHM917556 SRH917550:SRI917556 TBD917550:TBE917556 TKZ917550:TLA917556 TUV917550:TUW917556 UER917550:UES917556 UON917550:UOO917556 UYJ917550:UYK917556 VIF917550:VIG917556 VSB917550:VSC917556 WBX917550:WBY917556 WLT917550:WLU917556 WVP917550:WVQ917556 H983086:I983092 JD983086:JE983092 SZ983086:TA983092 ACV983086:ACW983092 AMR983086:AMS983092 AWN983086:AWO983092 BGJ983086:BGK983092 BQF983086:BQG983092 CAB983086:CAC983092 CJX983086:CJY983092 CTT983086:CTU983092 DDP983086:DDQ983092 DNL983086:DNM983092 DXH983086:DXI983092 EHD983086:EHE983092 EQZ983086:ERA983092 FAV983086:FAW983092 FKR983086:FKS983092 FUN983086:FUO983092 GEJ983086:GEK983092 GOF983086:GOG983092 GYB983086:GYC983092 HHX983086:HHY983092 HRT983086:HRU983092 IBP983086:IBQ983092 ILL983086:ILM983092 IVH983086:IVI983092 JFD983086:JFE983092 JOZ983086:JPA983092 JYV983086:JYW983092 KIR983086:KIS983092 KSN983086:KSO983092 LCJ983086:LCK983092 LMF983086:LMG983092 LWB983086:LWC983092 MFX983086:MFY983092 MPT983086:MPU983092 MZP983086:MZQ983092 NJL983086:NJM983092 NTH983086:NTI983092 ODD983086:ODE983092 OMZ983086:ONA983092 OWV983086:OWW983092 PGR983086:PGS983092 PQN983086:PQO983092 QAJ983086:QAK983092 QKF983086:QKG983092 QUB983086:QUC983092 RDX983086:RDY983092 RNT983086:RNU983092 RXP983086:RXQ983092 SHL983086:SHM983092 SRH983086:SRI983092 TBD983086:TBE983092 TKZ983086:TLA983092 TUV983086:TUW983092 UER983086:UES983092 UON983086:UOO983092 UYJ983086:UYK983092 VIF983086:VIG983092 VSB983086:VSC983092 WBX983086:WBY983092 WLT983086:WLU983092 WVP983086:WVQ983092 H54:I54 JD54:JE54 SZ54:TA54 ACV54:ACW54 AMR54:AMS54 AWN54:AWO54 BGJ54:BGK54 BQF54:BQG54 CAB54:CAC54 CJX54:CJY54 CTT54:CTU54 DDP54:DDQ54 DNL54:DNM54 DXH54:DXI54 EHD54:EHE54 EQZ54:ERA54 FAV54:FAW54 FKR54:FKS54 FUN54:FUO54 GEJ54:GEK54 GOF54:GOG54 GYB54:GYC54 HHX54:HHY54 HRT54:HRU54 IBP54:IBQ54 ILL54:ILM54 IVH54:IVI54 JFD54:JFE54 JOZ54:JPA54 JYV54:JYW54 KIR54:KIS54 KSN54:KSO54 LCJ54:LCK54 LMF54:LMG54 LWB54:LWC54 MFX54:MFY54 MPT54:MPU54 MZP54:MZQ54 NJL54:NJM54 NTH54:NTI54 ODD54:ODE54 OMZ54:ONA54 OWV54:OWW54 PGR54:PGS54 PQN54:PQO54 QAJ54:QAK54 QKF54:QKG54 QUB54:QUC54 RDX54:RDY54 RNT54:RNU54 RXP54:RXQ54 SHL54:SHM54 SRH54:SRI54 TBD54:TBE54 TKZ54:TLA54 TUV54:TUW54 UER54:UES54 UON54:UOO54 UYJ54:UYK54 VIF54:VIG54 VSB54:VSC54 WBX54:WBY54 WLT54:WLU54 WVP54:WVQ54 H65590:I65590 JD65590:JE65590 SZ65590:TA65590 ACV65590:ACW65590 AMR65590:AMS65590 AWN65590:AWO65590 BGJ65590:BGK65590 BQF65590:BQG65590 CAB65590:CAC65590 CJX65590:CJY65590 CTT65590:CTU65590 DDP65590:DDQ65590 DNL65590:DNM65590 DXH65590:DXI65590 EHD65590:EHE65590 EQZ65590:ERA65590 FAV65590:FAW65590 FKR65590:FKS65590 FUN65590:FUO65590 GEJ65590:GEK65590 GOF65590:GOG65590 GYB65590:GYC65590 HHX65590:HHY65590 HRT65590:HRU65590 IBP65590:IBQ65590 ILL65590:ILM65590 IVH65590:IVI65590 JFD65590:JFE65590 JOZ65590:JPA65590 JYV65590:JYW65590 KIR65590:KIS65590 KSN65590:KSO65590 LCJ65590:LCK65590 LMF65590:LMG65590 LWB65590:LWC65590 MFX65590:MFY65590 MPT65590:MPU65590 MZP65590:MZQ65590 NJL65590:NJM65590 NTH65590:NTI65590 ODD65590:ODE65590 OMZ65590:ONA65590 OWV65590:OWW65590 PGR65590:PGS65590 PQN65590:PQO65590 QAJ65590:QAK65590 QKF65590:QKG65590 QUB65590:QUC65590 RDX65590:RDY65590 RNT65590:RNU65590 RXP65590:RXQ65590 SHL65590:SHM65590 SRH65590:SRI65590 TBD65590:TBE65590 TKZ65590:TLA65590 TUV65590:TUW65590 UER65590:UES65590 UON65590:UOO65590 UYJ65590:UYK65590 VIF65590:VIG65590 VSB65590:VSC65590 WBX65590:WBY65590 WLT65590:WLU65590 WVP65590:WVQ65590 H131126:I131126 JD131126:JE131126 SZ131126:TA131126 ACV131126:ACW131126 AMR131126:AMS131126 AWN131126:AWO131126 BGJ131126:BGK131126 BQF131126:BQG131126 CAB131126:CAC131126 CJX131126:CJY131126 CTT131126:CTU131126 DDP131126:DDQ131126 DNL131126:DNM131126 DXH131126:DXI131126 EHD131126:EHE131126 EQZ131126:ERA131126 FAV131126:FAW131126 FKR131126:FKS131126 FUN131126:FUO131126 GEJ131126:GEK131126 GOF131126:GOG131126 GYB131126:GYC131126 HHX131126:HHY131126 HRT131126:HRU131126 IBP131126:IBQ131126 ILL131126:ILM131126 IVH131126:IVI131126 JFD131126:JFE131126 JOZ131126:JPA131126 JYV131126:JYW131126 KIR131126:KIS131126 KSN131126:KSO131126 LCJ131126:LCK131126 LMF131126:LMG131126 LWB131126:LWC131126 MFX131126:MFY131126 MPT131126:MPU131126 MZP131126:MZQ131126 NJL131126:NJM131126 NTH131126:NTI131126 ODD131126:ODE131126 OMZ131126:ONA131126 OWV131126:OWW131126 PGR131126:PGS131126 PQN131126:PQO131126 QAJ131126:QAK131126 QKF131126:QKG131126 QUB131126:QUC131126 RDX131126:RDY131126 RNT131126:RNU131126 RXP131126:RXQ131126 SHL131126:SHM131126 SRH131126:SRI131126 TBD131126:TBE131126 TKZ131126:TLA131126 TUV131126:TUW131126 UER131126:UES131126 UON131126:UOO131126 UYJ131126:UYK131126 VIF131126:VIG131126 VSB131126:VSC131126 WBX131126:WBY131126 WLT131126:WLU131126 WVP131126:WVQ131126 H196662:I196662 JD196662:JE196662 SZ196662:TA196662 ACV196662:ACW196662 AMR196662:AMS196662 AWN196662:AWO196662 BGJ196662:BGK196662 BQF196662:BQG196662 CAB196662:CAC196662 CJX196662:CJY196662 CTT196662:CTU196662 DDP196662:DDQ196662 DNL196662:DNM196662 DXH196662:DXI196662 EHD196662:EHE196662 EQZ196662:ERA196662 FAV196662:FAW196662 FKR196662:FKS196662 FUN196662:FUO196662 GEJ196662:GEK196662 GOF196662:GOG196662 GYB196662:GYC196662 HHX196662:HHY196662 HRT196662:HRU196662 IBP196662:IBQ196662 ILL196662:ILM196662 IVH196662:IVI196662 JFD196662:JFE196662 JOZ196662:JPA196662 JYV196662:JYW196662 KIR196662:KIS196662 KSN196662:KSO196662 LCJ196662:LCK196662 LMF196662:LMG196662 LWB196662:LWC196662 MFX196662:MFY196662 MPT196662:MPU196662 MZP196662:MZQ196662 NJL196662:NJM196662 NTH196662:NTI196662 ODD196662:ODE196662 OMZ196662:ONA196662 OWV196662:OWW196662 PGR196662:PGS196662 PQN196662:PQO196662 QAJ196662:QAK196662 QKF196662:QKG196662 QUB196662:QUC196662 RDX196662:RDY196662 RNT196662:RNU196662 RXP196662:RXQ196662 SHL196662:SHM196662 SRH196662:SRI196662 TBD196662:TBE196662 TKZ196662:TLA196662 TUV196662:TUW196662 UER196662:UES196662 UON196662:UOO196662 UYJ196662:UYK196662 VIF196662:VIG196662 VSB196662:VSC196662 WBX196662:WBY196662 WLT196662:WLU196662 WVP196662:WVQ196662 H262198:I262198 JD262198:JE262198 SZ262198:TA262198 ACV262198:ACW262198 AMR262198:AMS262198 AWN262198:AWO262198 BGJ262198:BGK262198 BQF262198:BQG262198 CAB262198:CAC262198 CJX262198:CJY262198 CTT262198:CTU262198 DDP262198:DDQ262198 DNL262198:DNM262198 DXH262198:DXI262198 EHD262198:EHE262198 EQZ262198:ERA262198 FAV262198:FAW262198 FKR262198:FKS262198 FUN262198:FUO262198 GEJ262198:GEK262198 GOF262198:GOG262198 GYB262198:GYC262198 HHX262198:HHY262198 HRT262198:HRU262198 IBP262198:IBQ262198 ILL262198:ILM262198 IVH262198:IVI262198 JFD262198:JFE262198 JOZ262198:JPA262198 JYV262198:JYW262198 KIR262198:KIS262198 KSN262198:KSO262198 LCJ262198:LCK262198 LMF262198:LMG262198 LWB262198:LWC262198 MFX262198:MFY262198 MPT262198:MPU262198 MZP262198:MZQ262198 NJL262198:NJM262198 NTH262198:NTI262198 ODD262198:ODE262198 OMZ262198:ONA262198 OWV262198:OWW262198 PGR262198:PGS262198 PQN262198:PQO262198 QAJ262198:QAK262198 QKF262198:QKG262198 QUB262198:QUC262198 RDX262198:RDY262198 RNT262198:RNU262198 RXP262198:RXQ262198 SHL262198:SHM262198 SRH262198:SRI262198 TBD262198:TBE262198 TKZ262198:TLA262198 TUV262198:TUW262198 UER262198:UES262198 UON262198:UOO262198 UYJ262198:UYK262198 VIF262198:VIG262198 VSB262198:VSC262198 WBX262198:WBY262198 WLT262198:WLU262198 WVP262198:WVQ262198 H327734:I327734 JD327734:JE327734 SZ327734:TA327734 ACV327734:ACW327734 AMR327734:AMS327734 AWN327734:AWO327734 BGJ327734:BGK327734 BQF327734:BQG327734 CAB327734:CAC327734 CJX327734:CJY327734 CTT327734:CTU327734 DDP327734:DDQ327734 DNL327734:DNM327734 DXH327734:DXI327734 EHD327734:EHE327734 EQZ327734:ERA327734 FAV327734:FAW327734 FKR327734:FKS327734 FUN327734:FUO327734 GEJ327734:GEK327734 GOF327734:GOG327734 GYB327734:GYC327734 HHX327734:HHY327734 HRT327734:HRU327734 IBP327734:IBQ327734 ILL327734:ILM327734 IVH327734:IVI327734 JFD327734:JFE327734 JOZ327734:JPA327734 JYV327734:JYW327734 KIR327734:KIS327734 KSN327734:KSO327734 LCJ327734:LCK327734 LMF327734:LMG327734 LWB327734:LWC327734 MFX327734:MFY327734 MPT327734:MPU327734 MZP327734:MZQ327734 NJL327734:NJM327734 NTH327734:NTI327734 ODD327734:ODE327734 OMZ327734:ONA327734 OWV327734:OWW327734 PGR327734:PGS327734 PQN327734:PQO327734 QAJ327734:QAK327734 QKF327734:QKG327734 QUB327734:QUC327734 RDX327734:RDY327734 RNT327734:RNU327734 RXP327734:RXQ327734 SHL327734:SHM327734 SRH327734:SRI327734 TBD327734:TBE327734 TKZ327734:TLA327734 TUV327734:TUW327734 UER327734:UES327734 UON327734:UOO327734 UYJ327734:UYK327734 VIF327734:VIG327734 VSB327734:VSC327734 WBX327734:WBY327734 WLT327734:WLU327734 WVP327734:WVQ327734 H393270:I393270 JD393270:JE393270 SZ393270:TA393270 ACV393270:ACW393270 AMR393270:AMS393270 AWN393270:AWO393270 BGJ393270:BGK393270 BQF393270:BQG393270 CAB393270:CAC393270 CJX393270:CJY393270 CTT393270:CTU393270 DDP393270:DDQ393270 DNL393270:DNM393270 DXH393270:DXI393270 EHD393270:EHE393270 EQZ393270:ERA393270 FAV393270:FAW393270 FKR393270:FKS393270 FUN393270:FUO393270 GEJ393270:GEK393270 GOF393270:GOG393270 GYB393270:GYC393270 HHX393270:HHY393270 HRT393270:HRU393270 IBP393270:IBQ393270 ILL393270:ILM393270 IVH393270:IVI393270 JFD393270:JFE393270 JOZ393270:JPA393270 JYV393270:JYW393270 KIR393270:KIS393270 KSN393270:KSO393270 LCJ393270:LCK393270 LMF393270:LMG393270 LWB393270:LWC393270 MFX393270:MFY393270 MPT393270:MPU393270 MZP393270:MZQ393270 NJL393270:NJM393270 NTH393270:NTI393270 ODD393270:ODE393270 OMZ393270:ONA393270 OWV393270:OWW393270 PGR393270:PGS393270 PQN393270:PQO393270 QAJ393270:QAK393270 QKF393270:QKG393270 QUB393270:QUC393270 RDX393270:RDY393270 RNT393270:RNU393270 RXP393270:RXQ393270 SHL393270:SHM393270 SRH393270:SRI393270 TBD393270:TBE393270 TKZ393270:TLA393270 TUV393270:TUW393270 UER393270:UES393270 UON393270:UOO393270 UYJ393270:UYK393270 VIF393270:VIG393270 VSB393270:VSC393270 WBX393270:WBY393270 WLT393270:WLU393270 WVP393270:WVQ393270 H458806:I458806 JD458806:JE458806 SZ458806:TA458806 ACV458806:ACW458806 AMR458806:AMS458806 AWN458806:AWO458806 BGJ458806:BGK458806 BQF458806:BQG458806 CAB458806:CAC458806 CJX458806:CJY458806 CTT458806:CTU458806 DDP458806:DDQ458806 DNL458806:DNM458806 DXH458806:DXI458806 EHD458806:EHE458806 EQZ458806:ERA458806 FAV458806:FAW458806 FKR458806:FKS458806 FUN458806:FUO458806 GEJ458806:GEK458806 GOF458806:GOG458806 GYB458806:GYC458806 HHX458806:HHY458806 HRT458806:HRU458806 IBP458806:IBQ458806 ILL458806:ILM458806 IVH458806:IVI458806 JFD458806:JFE458806 JOZ458806:JPA458806 JYV458806:JYW458806 KIR458806:KIS458806 KSN458806:KSO458806 LCJ458806:LCK458806 LMF458806:LMG458806 LWB458806:LWC458806 MFX458806:MFY458806 MPT458806:MPU458806 MZP458806:MZQ458806 NJL458806:NJM458806 NTH458806:NTI458806 ODD458806:ODE458806 OMZ458806:ONA458806 OWV458806:OWW458806 PGR458806:PGS458806 PQN458806:PQO458806 QAJ458806:QAK458806 QKF458806:QKG458806 QUB458806:QUC458806 RDX458806:RDY458806 RNT458806:RNU458806 RXP458806:RXQ458806 SHL458806:SHM458806 SRH458806:SRI458806 TBD458806:TBE458806 TKZ458806:TLA458806 TUV458806:TUW458806 UER458806:UES458806 UON458806:UOO458806 UYJ458806:UYK458806 VIF458806:VIG458806 VSB458806:VSC458806 WBX458806:WBY458806 WLT458806:WLU458806 WVP458806:WVQ458806 H524342:I524342 JD524342:JE524342 SZ524342:TA524342 ACV524342:ACW524342 AMR524342:AMS524342 AWN524342:AWO524342 BGJ524342:BGK524342 BQF524342:BQG524342 CAB524342:CAC524342 CJX524342:CJY524342 CTT524342:CTU524342 DDP524342:DDQ524342 DNL524342:DNM524342 DXH524342:DXI524342 EHD524342:EHE524342 EQZ524342:ERA524342 FAV524342:FAW524342 FKR524342:FKS524342 FUN524342:FUO524342 GEJ524342:GEK524342 GOF524342:GOG524342 GYB524342:GYC524342 HHX524342:HHY524342 HRT524342:HRU524342 IBP524342:IBQ524342 ILL524342:ILM524342 IVH524342:IVI524342 JFD524342:JFE524342 JOZ524342:JPA524342 JYV524342:JYW524342 KIR524342:KIS524342 KSN524342:KSO524342 LCJ524342:LCK524342 LMF524342:LMG524342 LWB524342:LWC524342 MFX524342:MFY524342 MPT524342:MPU524342 MZP524342:MZQ524342 NJL524342:NJM524342 NTH524342:NTI524342 ODD524342:ODE524342 OMZ524342:ONA524342 OWV524342:OWW524342 PGR524342:PGS524342 PQN524342:PQO524342 QAJ524342:QAK524342 QKF524342:QKG524342 QUB524342:QUC524342 RDX524342:RDY524342 RNT524342:RNU524342 RXP524342:RXQ524342 SHL524342:SHM524342 SRH524342:SRI524342 TBD524342:TBE524342 TKZ524342:TLA524342 TUV524342:TUW524342 UER524342:UES524342 UON524342:UOO524342 UYJ524342:UYK524342 VIF524342:VIG524342 VSB524342:VSC524342 WBX524342:WBY524342 WLT524342:WLU524342 WVP524342:WVQ524342 H589878:I589878 JD589878:JE589878 SZ589878:TA589878 ACV589878:ACW589878 AMR589878:AMS589878 AWN589878:AWO589878 BGJ589878:BGK589878 BQF589878:BQG589878 CAB589878:CAC589878 CJX589878:CJY589878 CTT589878:CTU589878 DDP589878:DDQ589878 DNL589878:DNM589878 DXH589878:DXI589878 EHD589878:EHE589878 EQZ589878:ERA589878 FAV589878:FAW589878 FKR589878:FKS589878 FUN589878:FUO589878 GEJ589878:GEK589878 GOF589878:GOG589878 GYB589878:GYC589878 HHX589878:HHY589878 HRT589878:HRU589878 IBP589878:IBQ589878 ILL589878:ILM589878 IVH589878:IVI589878 JFD589878:JFE589878 JOZ589878:JPA589878 JYV589878:JYW589878 KIR589878:KIS589878 KSN589878:KSO589878 LCJ589878:LCK589878 LMF589878:LMG589878 LWB589878:LWC589878 MFX589878:MFY589878 MPT589878:MPU589878 MZP589878:MZQ589878 NJL589878:NJM589878 NTH589878:NTI589878 ODD589878:ODE589878 OMZ589878:ONA589878 OWV589878:OWW589878 PGR589878:PGS589878 PQN589878:PQO589878 QAJ589878:QAK589878 QKF589878:QKG589878 QUB589878:QUC589878 RDX589878:RDY589878 RNT589878:RNU589878 RXP589878:RXQ589878 SHL589878:SHM589878 SRH589878:SRI589878 TBD589878:TBE589878 TKZ589878:TLA589878 TUV589878:TUW589878 UER589878:UES589878 UON589878:UOO589878 UYJ589878:UYK589878 VIF589878:VIG589878 VSB589878:VSC589878 WBX589878:WBY589878 WLT589878:WLU589878 WVP589878:WVQ589878 H655414:I655414 JD655414:JE655414 SZ655414:TA655414 ACV655414:ACW655414 AMR655414:AMS655414 AWN655414:AWO655414 BGJ655414:BGK655414 BQF655414:BQG655414 CAB655414:CAC655414 CJX655414:CJY655414 CTT655414:CTU655414 DDP655414:DDQ655414 DNL655414:DNM655414 DXH655414:DXI655414 EHD655414:EHE655414 EQZ655414:ERA655414 FAV655414:FAW655414 FKR655414:FKS655414 FUN655414:FUO655414 GEJ655414:GEK655414 GOF655414:GOG655414 GYB655414:GYC655414 HHX655414:HHY655414 HRT655414:HRU655414 IBP655414:IBQ655414 ILL655414:ILM655414 IVH655414:IVI655414 JFD655414:JFE655414 JOZ655414:JPA655414 JYV655414:JYW655414 KIR655414:KIS655414 KSN655414:KSO655414 LCJ655414:LCK655414 LMF655414:LMG655414 LWB655414:LWC655414 MFX655414:MFY655414 MPT655414:MPU655414 MZP655414:MZQ655414 NJL655414:NJM655414 NTH655414:NTI655414 ODD655414:ODE655414 OMZ655414:ONA655414 OWV655414:OWW655414 PGR655414:PGS655414 PQN655414:PQO655414 QAJ655414:QAK655414 QKF655414:QKG655414 QUB655414:QUC655414 RDX655414:RDY655414 RNT655414:RNU655414 RXP655414:RXQ655414 SHL655414:SHM655414 SRH655414:SRI655414 TBD655414:TBE655414 TKZ655414:TLA655414 TUV655414:TUW655414 UER655414:UES655414 UON655414:UOO655414 UYJ655414:UYK655414 VIF655414:VIG655414 VSB655414:VSC655414 WBX655414:WBY655414 WLT655414:WLU655414 WVP655414:WVQ655414 H720950:I720950 JD720950:JE720950 SZ720950:TA720950 ACV720950:ACW720950 AMR720950:AMS720950 AWN720950:AWO720950 BGJ720950:BGK720950 BQF720950:BQG720950 CAB720950:CAC720950 CJX720950:CJY720950 CTT720950:CTU720950 DDP720950:DDQ720950 DNL720950:DNM720950 DXH720950:DXI720950 EHD720950:EHE720950 EQZ720950:ERA720950 FAV720950:FAW720950 FKR720950:FKS720950 FUN720950:FUO720950 GEJ720950:GEK720950 GOF720950:GOG720950 GYB720950:GYC720950 HHX720950:HHY720950 HRT720950:HRU720950 IBP720950:IBQ720950 ILL720950:ILM720950 IVH720950:IVI720950 JFD720950:JFE720950 JOZ720950:JPA720950 JYV720950:JYW720950 KIR720950:KIS720950 KSN720950:KSO720950 LCJ720950:LCK720950 LMF720950:LMG720950 LWB720950:LWC720950 MFX720950:MFY720950 MPT720950:MPU720950 MZP720950:MZQ720950 NJL720950:NJM720950 NTH720950:NTI720950 ODD720950:ODE720950 OMZ720950:ONA720950 OWV720950:OWW720950 PGR720950:PGS720950 PQN720950:PQO720950 QAJ720950:QAK720950 QKF720950:QKG720950 QUB720950:QUC720950 RDX720950:RDY720950 RNT720950:RNU720950 RXP720950:RXQ720950 SHL720950:SHM720950 SRH720950:SRI720950 TBD720950:TBE720950 TKZ720950:TLA720950 TUV720950:TUW720950 UER720950:UES720950 UON720950:UOO720950 UYJ720950:UYK720950 VIF720950:VIG720950 VSB720950:VSC720950 WBX720950:WBY720950 WLT720950:WLU720950 WVP720950:WVQ720950 H786486:I786486 JD786486:JE786486 SZ786486:TA786486 ACV786486:ACW786486 AMR786486:AMS786486 AWN786486:AWO786486 BGJ786486:BGK786486 BQF786486:BQG786486 CAB786486:CAC786486 CJX786486:CJY786486 CTT786486:CTU786486 DDP786486:DDQ786486 DNL786486:DNM786486 DXH786486:DXI786486 EHD786486:EHE786486 EQZ786486:ERA786486 FAV786486:FAW786486 FKR786486:FKS786486 FUN786486:FUO786486 GEJ786486:GEK786486 GOF786486:GOG786486 GYB786486:GYC786486 HHX786486:HHY786486 HRT786486:HRU786486 IBP786486:IBQ786486 ILL786486:ILM786486 IVH786486:IVI786486 JFD786486:JFE786486 JOZ786486:JPA786486 JYV786486:JYW786486 KIR786486:KIS786486 KSN786486:KSO786486 LCJ786486:LCK786486 LMF786486:LMG786486 LWB786486:LWC786486 MFX786486:MFY786486 MPT786486:MPU786486 MZP786486:MZQ786486 NJL786486:NJM786486 NTH786486:NTI786486 ODD786486:ODE786486 OMZ786486:ONA786486 OWV786486:OWW786486 PGR786486:PGS786486 PQN786486:PQO786486 QAJ786486:QAK786486 QKF786486:QKG786486 QUB786486:QUC786486 RDX786486:RDY786486 RNT786486:RNU786486 RXP786486:RXQ786486 SHL786486:SHM786486 SRH786486:SRI786486 TBD786486:TBE786486 TKZ786486:TLA786486 TUV786486:TUW786486 UER786486:UES786486 UON786486:UOO786486 UYJ786486:UYK786486 VIF786486:VIG786486 VSB786486:VSC786486 WBX786486:WBY786486 WLT786486:WLU786486 WVP786486:WVQ786486 H852022:I852022 JD852022:JE852022 SZ852022:TA852022 ACV852022:ACW852022 AMR852022:AMS852022 AWN852022:AWO852022 BGJ852022:BGK852022 BQF852022:BQG852022 CAB852022:CAC852022 CJX852022:CJY852022 CTT852022:CTU852022 DDP852022:DDQ852022 DNL852022:DNM852022 DXH852022:DXI852022 EHD852022:EHE852022 EQZ852022:ERA852022 FAV852022:FAW852022 FKR852022:FKS852022 FUN852022:FUO852022 GEJ852022:GEK852022 GOF852022:GOG852022 GYB852022:GYC852022 HHX852022:HHY852022 HRT852022:HRU852022 IBP852022:IBQ852022 ILL852022:ILM852022 IVH852022:IVI852022 JFD852022:JFE852022 JOZ852022:JPA852022 JYV852022:JYW852022 KIR852022:KIS852022 KSN852022:KSO852022 LCJ852022:LCK852022 LMF852022:LMG852022 LWB852022:LWC852022 MFX852022:MFY852022 MPT852022:MPU852022 MZP852022:MZQ852022 NJL852022:NJM852022 NTH852022:NTI852022 ODD852022:ODE852022 OMZ852022:ONA852022 OWV852022:OWW852022 PGR852022:PGS852022 PQN852022:PQO852022 QAJ852022:QAK852022 QKF852022:QKG852022 QUB852022:QUC852022 RDX852022:RDY852022 RNT852022:RNU852022 RXP852022:RXQ852022 SHL852022:SHM852022 SRH852022:SRI852022 TBD852022:TBE852022 TKZ852022:TLA852022 TUV852022:TUW852022 UER852022:UES852022 UON852022:UOO852022 UYJ852022:UYK852022 VIF852022:VIG852022 VSB852022:VSC852022 WBX852022:WBY852022 WLT852022:WLU852022 WVP852022:WVQ852022 H917558:I917558 JD917558:JE917558 SZ917558:TA917558 ACV917558:ACW917558 AMR917558:AMS917558 AWN917558:AWO917558 BGJ917558:BGK917558 BQF917558:BQG917558 CAB917558:CAC917558 CJX917558:CJY917558 CTT917558:CTU917558 DDP917558:DDQ917558 DNL917558:DNM917558 DXH917558:DXI917558 EHD917558:EHE917558 EQZ917558:ERA917558 FAV917558:FAW917558 FKR917558:FKS917558 FUN917558:FUO917558 GEJ917558:GEK917558 GOF917558:GOG917558 GYB917558:GYC917558 HHX917558:HHY917558 HRT917558:HRU917558 IBP917558:IBQ917558 ILL917558:ILM917558 IVH917558:IVI917558 JFD917558:JFE917558 JOZ917558:JPA917558 JYV917558:JYW917558 KIR917558:KIS917558 KSN917558:KSO917558 LCJ917558:LCK917558 LMF917558:LMG917558 LWB917558:LWC917558 MFX917558:MFY917558 MPT917558:MPU917558 MZP917558:MZQ917558 NJL917558:NJM917558 NTH917558:NTI917558 ODD917558:ODE917558 OMZ917558:ONA917558 OWV917558:OWW917558 PGR917558:PGS917558 PQN917558:PQO917558 QAJ917558:QAK917558 QKF917558:QKG917558 QUB917558:QUC917558 RDX917558:RDY917558 RNT917558:RNU917558 RXP917558:RXQ917558 SHL917558:SHM917558 SRH917558:SRI917558 TBD917558:TBE917558 TKZ917558:TLA917558 TUV917558:TUW917558 UER917558:UES917558 UON917558:UOO917558 UYJ917558:UYK917558 VIF917558:VIG917558 VSB917558:VSC917558 WBX917558:WBY917558 WLT917558:WLU917558 WVP917558:WVQ917558 H983094:I983094 JD983094:JE983094 SZ983094:TA983094 ACV983094:ACW983094 AMR983094:AMS983094 AWN983094:AWO983094 BGJ983094:BGK983094 BQF983094:BQG983094 CAB983094:CAC983094 CJX983094:CJY983094 CTT983094:CTU983094 DDP983094:DDQ983094 DNL983094:DNM983094 DXH983094:DXI983094 EHD983094:EHE983094 EQZ983094:ERA983094 FAV983094:FAW983094 FKR983094:FKS983094 FUN983094:FUO983094 GEJ983094:GEK983094 GOF983094:GOG983094 GYB983094:GYC983094 HHX983094:HHY983094 HRT983094:HRU983094 IBP983094:IBQ983094 ILL983094:ILM983094 IVH983094:IVI983094 JFD983094:JFE983094 JOZ983094:JPA983094 JYV983094:JYW983094 KIR983094:KIS983094 KSN983094:KSO983094 LCJ983094:LCK983094 LMF983094:LMG983094 LWB983094:LWC983094 MFX983094:MFY983094 MPT983094:MPU983094 MZP983094:MZQ983094 NJL983094:NJM983094 NTH983094:NTI983094 ODD983094:ODE983094 OMZ983094:ONA983094 OWV983094:OWW983094 PGR983094:PGS983094 PQN983094:PQO983094 QAJ983094:QAK983094 QKF983094:QKG983094 QUB983094:QUC983094 RDX983094:RDY983094 RNT983094:RNU983094 RXP983094:RXQ983094 SHL983094:SHM983094 SRH983094:SRI983094 TBD983094:TBE983094 TKZ983094:TLA983094 TUV983094:TUW983094 UER983094:UES983094 UON983094:UOO983094 UYJ983094:UYK983094 VIF983094:VIG983094 VSB983094:VSC983094 WBX983094:WBY983094 WLT983094:WLU983094 WVP983094:WVQ983094 H56:I62 JD56:JE62 SZ56:TA62 ACV56:ACW62 AMR56:AMS62 AWN56:AWO62 BGJ56:BGK62 BQF56:BQG62 CAB56:CAC62 CJX56:CJY62 CTT56:CTU62 DDP56:DDQ62 DNL56:DNM62 DXH56:DXI62 EHD56:EHE62 EQZ56:ERA62 FAV56:FAW62 FKR56:FKS62 FUN56:FUO62 GEJ56:GEK62 GOF56:GOG62 GYB56:GYC62 HHX56:HHY62 HRT56:HRU62 IBP56:IBQ62 ILL56:ILM62 IVH56:IVI62 JFD56:JFE62 JOZ56:JPA62 JYV56:JYW62 KIR56:KIS62 KSN56:KSO62 LCJ56:LCK62 LMF56:LMG62 LWB56:LWC62 MFX56:MFY62 MPT56:MPU62 MZP56:MZQ62 NJL56:NJM62 NTH56:NTI62 ODD56:ODE62 OMZ56:ONA62 OWV56:OWW62 PGR56:PGS62 PQN56:PQO62 QAJ56:QAK62 QKF56:QKG62 QUB56:QUC62 RDX56:RDY62 RNT56:RNU62 RXP56:RXQ62 SHL56:SHM62 SRH56:SRI62 TBD56:TBE62 TKZ56:TLA62 TUV56:TUW62 UER56:UES62 UON56:UOO62 UYJ56:UYK62 VIF56:VIG62 VSB56:VSC62 WBX56:WBY62 WLT56:WLU62 WVP56:WVQ62 H65592:I65598 JD65592:JE65598 SZ65592:TA65598 ACV65592:ACW65598 AMR65592:AMS65598 AWN65592:AWO65598 BGJ65592:BGK65598 BQF65592:BQG65598 CAB65592:CAC65598 CJX65592:CJY65598 CTT65592:CTU65598 DDP65592:DDQ65598 DNL65592:DNM65598 DXH65592:DXI65598 EHD65592:EHE65598 EQZ65592:ERA65598 FAV65592:FAW65598 FKR65592:FKS65598 FUN65592:FUO65598 GEJ65592:GEK65598 GOF65592:GOG65598 GYB65592:GYC65598 HHX65592:HHY65598 HRT65592:HRU65598 IBP65592:IBQ65598 ILL65592:ILM65598 IVH65592:IVI65598 JFD65592:JFE65598 JOZ65592:JPA65598 JYV65592:JYW65598 KIR65592:KIS65598 KSN65592:KSO65598 LCJ65592:LCK65598 LMF65592:LMG65598 LWB65592:LWC65598 MFX65592:MFY65598 MPT65592:MPU65598 MZP65592:MZQ65598 NJL65592:NJM65598 NTH65592:NTI65598 ODD65592:ODE65598 OMZ65592:ONA65598 OWV65592:OWW65598 PGR65592:PGS65598 PQN65592:PQO65598 QAJ65592:QAK65598 QKF65592:QKG65598 QUB65592:QUC65598 RDX65592:RDY65598 RNT65592:RNU65598 RXP65592:RXQ65598 SHL65592:SHM65598 SRH65592:SRI65598 TBD65592:TBE65598 TKZ65592:TLA65598 TUV65592:TUW65598 UER65592:UES65598 UON65592:UOO65598 UYJ65592:UYK65598 VIF65592:VIG65598 VSB65592:VSC65598 WBX65592:WBY65598 WLT65592:WLU65598 WVP65592:WVQ65598 H131128:I131134 JD131128:JE131134 SZ131128:TA131134 ACV131128:ACW131134 AMR131128:AMS131134 AWN131128:AWO131134 BGJ131128:BGK131134 BQF131128:BQG131134 CAB131128:CAC131134 CJX131128:CJY131134 CTT131128:CTU131134 DDP131128:DDQ131134 DNL131128:DNM131134 DXH131128:DXI131134 EHD131128:EHE131134 EQZ131128:ERA131134 FAV131128:FAW131134 FKR131128:FKS131134 FUN131128:FUO131134 GEJ131128:GEK131134 GOF131128:GOG131134 GYB131128:GYC131134 HHX131128:HHY131134 HRT131128:HRU131134 IBP131128:IBQ131134 ILL131128:ILM131134 IVH131128:IVI131134 JFD131128:JFE131134 JOZ131128:JPA131134 JYV131128:JYW131134 KIR131128:KIS131134 KSN131128:KSO131134 LCJ131128:LCK131134 LMF131128:LMG131134 LWB131128:LWC131134 MFX131128:MFY131134 MPT131128:MPU131134 MZP131128:MZQ131134 NJL131128:NJM131134 NTH131128:NTI131134 ODD131128:ODE131134 OMZ131128:ONA131134 OWV131128:OWW131134 PGR131128:PGS131134 PQN131128:PQO131134 QAJ131128:QAK131134 QKF131128:QKG131134 QUB131128:QUC131134 RDX131128:RDY131134 RNT131128:RNU131134 RXP131128:RXQ131134 SHL131128:SHM131134 SRH131128:SRI131134 TBD131128:TBE131134 TKZ131128:TLA131134 TUV131128:TUW131134 UER131128:UES131134 UON131128:UOO131134 UYJ131128:UYK131134 VIF131128:VIG131134 VSB131128:VSC131134 WBX131128:WBY131134 WLT131128:WLU131134 WVP131128:WVQ131134 H196664:I196670 JD196664:JE196670 SZ196664:TA196670 ACV196664:ACW196670 AMR196664:AMS196670 AWN196664:AWO196670 BGJ196664:BGK196670 BQF196664:BQG196670 CAB196664:CAC196670 CJX196664:CJY196670 CTT196664:CTU196670 DDP196664:DDQ196670 DNL196664:DNM196670 DXH196664:DXI196670 EHD196664:EHE196670 EQZ196664:ERA196670 FAV196664:FAW196670 FKR196664:FKS196670 FUN196664:FUO196670 GEJ196664:GEK196670 GOF196664:GOG196670 GYB196664:GYC196670 HHX196664:HHY196670 HRT196664:HRU196670 IBP196664:IBQ196670 ILL196664:ILM196670 IVH196664:IVI196670 JFD196664:JFE196670 JOZ196664:JPA196670 JYV196664:JYW196670 KIR196664:KIS196670 KSN196664:KSO196670 LCJ196664:LCK196670 LMF196664:LMG196670 LWB196664:LWC196670 MFX196664:MFY196670 MPT196664:MPU196670 MZP196664:MZQ196670 NJL196664:NJM196670 NTH196664:NTI196670 ODD196664:ODE196670 OMZ196664:ONA196670 OWV196664:OWW196670 PGR196664:PGS196670 PQN196664:PQO196670 QAJ196664:QAK196670 QKF196664:QKG196670 QUB196664:QUC196670 RDX196664:RDY196670 RNT196664:RNU196670 RXP196664:RXQ196670 SHL196664:SHM196670 SRH196664:SRI196670 TBD196664:TBE196670 TKZ196664:TLA196670 TUV196664:TUW196670 UER196664:UES196670 UON196664:UOO196670 UYJ196664:UYK196670 VIF196664:VIG196670 VSB196664:VSC196670 WBX196664:WBY196670 WLT196664:WLU196670 WVP196664:WVQ196670 H262200:I262206 JD262200:JE262206 SZ262200:TA262206 ACV262200:ACW262206 AMR262200:AMS262206 AWN262200:AWO262206 BGJ262200:BGK262206 BQF262200:BQG262206 CAB262200:CAC262206 CJX262200:CJY262206 CTT262200:CTU262206 DDP262200:DDQ262206 DNL262200:DNM262206 DXH262200:DXI262206 EHD262200:EHE262206 EQZ262200:ERA262206 FAV262200:FAW262206 FKR262200:FKS262206 FUN262200:FUO262206 GEJ262200:GEK262206 GOF262200:GOG262206 GYB262200:GYC262206 HHX262200:HHY262206 HRT262200:HRU262206 IBP262200:IBQ262206 ILL262200:ILM262206 IVH262200:IVI262206 JFD262200:JFE262206 JOZ262200:JPA262206 JYV262200:JYW262206 KIR262200:KIS262206 KSN262200:KSO262206 LCJ262200:LCK262206 LMF262200:LMG262206 LWB262200:LWC262206 MFX262200:MFY262206 MPT262200:MPU262206 MZP262200:MZQ262206 NJL262200:NJM262206 NTH262200:NTI262206 ODD262200:ODE262206 OMZ262200:ONA262206 OWV262200:OWW262206 PGR262200:PGS262206 PQN262200:PQO262206 QAJ262200:QAK262206 QKF262200:QKG262206 QUB262200:QUC262206 RDX262200:RDY262206 RNT262200:RNU262206 RXP262200:RXQ262206 SHL262200:SHM262206 SRH262200:SRI262206 TBD262200:TBE262206 TKZ262200:TLA262206 TUV262200:TUW262206 UER262200:UES262206 UON262200:UOO262206 UYJ262200:UYK262206 VIF262200:VIG262206 VSB262200:VSC262206 WBX262200:WBY262206 WLT262200:WLU262206 WVP262200:WVQ262206 H327736:I327742 JD327736:JE327742 SZ327736:TA327742 ACV327736:ACW327742 AMR327736:AMS327742 AWN327736:AWO327742 BGJ327736:BGK327742 BQF327736:BQG327742 CAB327736:CAC327742 CJX327736:CJY327742 CTT327736:CTU327742 DDP327736:DDQ327742 DNL327736:DNM327742 DXH327736:DXI327742 EHD327736:EHE327742 EQZ327736:ERA327742 FAV327736:FAW327742 FKR327736:FKS327742 FUN327736:FUO327742 GEJ327736:GEK327742 GOF327736:GOG327742 GYB327736:GYC327742 HHX327736:HHY327742 HRT327736:HRU327742 IBP327736:IBQ327742 ILL327736:ILM327742 IVH327736:IVI327742 JFD327736:JFE327742 JOZ327736:JPA327742 JYV327736:JYW327742 KIR327736:KIS327742 KSN327736:KSO327742 LCJ327736:LCK327742 LMF327736:LMG327742 LWB327736:LWC327742 MFX327736:MFY327742 MPT327736:MPU327742 MZP327736:MZQ327742 NJL327736:NJM327742 NTH327736:NTI327742 ODD327736:ODE327742 OMZ327736:ONA327742 OWV327736:OWW327742 PGR327736:PGS327742 PQN327736:PQO327742 QAJ327736:QAK327742 QKF327736:QKG327742 QUB327736:QUC327742 RDX327736:RDY327742 RNT327736:RNU327742 RXP327736:RXQ327742 SHL327736:SHM327742 SRH327736:SRI327742 TBD327736:TBE327742 TKZ327736:TLA327742 TUV327736:TUW327742 UER327736:UES327742 UON327736:UOO327742 UYJ327736:UYK327742 VIF327736:VIG327742 VSB327736:VSC327742 WBX327736:WBY327742 WLT327736:WLU327742 WVP327736:WVQ327742 H393272:I393278 JD393272:JE393278 SZ393272:TA393278 ACV393272:ACW393278 AMR393272:AMS393278 AWN393272:AWO393278 BGJ393272:BGK393278 BQF393272:BQG393278 CAB393272:CAC393278 CJX393272:CJY393278 CTT393272:CTU393278 DDP393272:DDQ393278 DNL393272:DNM393278 DXH393272:DXI393278 EHD393272:EHE393278 EQZ393272:ERA393278 FAV393272:FAW393278 FKR393272:FKS393278 FUN393272:FUO393278 GEJ393272:GEK393278 GOF393272:GOG393278 GYB393272:GYC393278 HHX393272:HHY393278 HRT393272:HRU393278 IBP393272:IBQ393278 ILL393272:ILM393278 IVH393272:IVI393278 JFD393272:JFE393278 JOZ393272:JPA393278 JYV393272:JYW393278 KIR393272:KIS393278 KSN393272:KSO393278 LCJ393272:LCK393278 LMF393272:LMG393278 LWB393272:LWC393278 MFX393272:MFY393278 MPT393272:MPU393278 MZP393272:MZQ393278 NJL393272:NJM393278 NTH393272:NTI393278 ODD393272:ODE393278 OMZ393272:ONA393278 OWV393272:OWW393278 PGR393272:PGS393278 PQN393272:PQO393278 QAJ393272:QAK393278 QKF393272:QKG393278 QUB393272:QUC393278 RDX393272:RDY393278 RNT393272:RNU393278 RXP393272:RXQ393278 SHL393272:SHM393278 SRH393272:SRI393278 TBD393272:TBE393278 TKZ393272:TLA393278 TUV393272:TUW393278 UER393272:UES393278 UON393272:UOO393278 UYJ393272:UYK393278 VIF393272:VIG393278 VSB393272:VSC393278 WBX393272:WBY393278 WLT393272:WLU393278 WVP393272:WVQ393278 H458808:I458814 JD458808:JE458814 SZ458808:TA458814 ACV458808:ACW458814 AMR458808:AMS458814 AWN458808:AWO458814 BGJ458808:BGK458814 BQF458808:BQG458814 CAB458808:CAC458814 CJX458808:CJY458814 CTT458808:CTU458814 DDP458808:DDQ458814 DNL458808:DNM458814 DXH458808:DXI458814 EHD458808:EHE458814 EQZ458808:ERA458814 FAV458808:FAW458814 FKR458808:FKS458814 FUN458808:FUO458814 GEJ458808:GEK458814 GOF458808:GOG458814 GYB458808:GYC458814 HHX458808:HHY458814 HRT458808:HRU458814 IBP458808:IBQ458814 ILL458808:ILM458814 IVH458808:IVI458814 JFD458808:JFE458814 JOZ458808:JPA458814 JYV458808:JYW458814 KIR458808:KIS458814 KSN458808:KSO458814 LCJ458808:LCK458814 LMF458808:LMG458814 LWB458808:LWC458814 MFX458808:MFY458814 MPT458808:MPU458814 MZP458808:MZQ458814 NJL458808:NJM458814 NTH458808:NTI458814 ODD458808:ODE458814 OMZ458808:ONA458814 OWV458808:OWW458814 PGR458808:PGS458814 PQN458808:PQO458814 QAJ458808:QAK458814 QKF458808:QKG458814 QUB458808:QUC458814 RDX458808:RDY458814 RNT458808:RNU458814 RXP458808:RXQ458814 SHL458808:SHM458814 SRH458808:SRI458814 TBD458808:TBE458814 TKZ458808:TLA458814 TUV458808:TUW458814 UER458808:UES458814 UON458808:UOO458814 UYJ458808:UYK458814 VIF458808:VIG458814 VSB458808:VSC458814 WBX458808:WBY458814 WLT458808:WLU458814 WVP458808:WVQ458814 H524344:I524350 JD524344:JE524350 SZ524344:TA524350 ACV524344:ACW524350 AMR524344:AMS524350 AWN524344:AWO524350 BGJ524344:BGK524350 BQF524344:BQG524350 CAB524344:CAC524350 CJX524344:CJY524350 CTT524344:CTU524350 DDP524344:DDQ524350 DNL524344:DNM524350 DXH524344:DXI524350 EHD524344:EHE524350 EQZ524344:ERA524350 FAV524344:FAW524350 FKR524344:FKS524350 FUN524344:FUO524350 GEJ524344:GEK524350 GOF524344:GOG524350 GYB524344:GYC524350 HHX524344:HHY524350 HRT524344:HRU524350 IBP524344:IBQ524350 ILL524344:ILM524350 IVH524344:IVI524350 JFD524344:JFE524350 JOZ524344:JPA524350 JYV524344:JYW524350 KIR524344:KIS524350 KSN524344:KSO524350 LCJ524344:LCK524350 LMF524344:LMG524350 LWB524344:LWC524350 MFX524344:MFY524350 MPT524344:MPU524350 MZP524344:MZQ524350 NJL524344:NJM524350 NTH524344:NTI524350 ODD524344:ODE524350 OMZ524344:ONA524350 OWV524344:OWW524350 PGR524344:PGS524350 PQN524344:PQO524350 QAJ524344:QAK524350 QKF524344:QKG524350 QUB524344:QUC524350 RDX524344:RDY524350 RNT524344:RNU524350 RXP524344:RXQ524350 SHL524344:SHM524350 SRH524344:SRI524350 TBD524344:TBE524350 TKZ524344:TLA524350 TUV524344:TUW524350 UER524344:UES524350 UON524344:UOO524350 UYJ524344:UYK524350 VIF524344:VIG524350 VSB524344:VSC524350 WBX524344:WBY524350 WLT524344:WLU524350 WVP524344:WVQ524350 H589880:I589886 JD589880:JE589886 SZ589880:TA589886 ACV589880:ACW589886 AMR589880:AMS589886 AWN589880:AWO589886 BGJ589880:BGK589886 BQF589880:BQG589886 CAB589880:CAC589886 CJX589880:CJY589886 CTT589880:CTU589886 DDP589880:DDQ589886 DNL589880:DNM589886 DXH589880:DXI589886 EHD589880:EHE589886 EQZ589880:ERA589886 FAV589880:FAW589886 FKR589880:FKS589886 FUN589880:FUO589886 GEJ589880:GEK589886 GOF589880:GOG589886 GYB589880:GYC589886 HHX589880:HHY589886 HRT589880:HRU589886 IBP589880:IBQ589886 ILL589880:ILM589886 IVH589880:IVI589886 JFD589880:JFE589886 JOZ589880:JPA589886 JYV589880:JYW589886 KIR589880:KIS589886 KSN589880:KSO589886 LCJ589880:LCK589886 LMF589880:LMG589886 LWB589880:LWC589886 MFX589880:MFY589886 MPT589880:MPU589886 MZP589880:MZQ589886 NJL589880:NJM589886 NTH589880:NTI589886 ODD589880:ODE589886 OMZ589880:ONA589886 OWV589880:OWW589886 PGR589880:PGS589886 PQN589880:PQO589886 QAJ589880:QAK589886 QKF589880:QKG589886 QUB589880:QUC589886 RDX589880:RDY589886 RNT589880:RNU589886 RXP589880:RXQ589886 SHL589880:SHM589886 SRH589880:SRI589886 TBD589880:TBE589886 TKZ589880:TLA589886 TUV589880:TUW589886 UER589880:UES589886 UON589880:UOO589886 UYJ589880:UYK589886 VIF589880:VIG589886 VSB589880:VSC589886 WBX589880:WBY589886 WLT589880:WLU589886 WVP589880:WVQ589886 H655416:I655422 JD655416:JE655422 SZ655416:TA655422 ACV655416:ACW655422 AMR655416:AMS655422 AWN655416:AWO655422 BGJ655416:BGK655422 BQF655416:BQG655422 CAB655416:CAC655422 CJX655416:CJY655422 CTT655416:CTU655422 DDP655416:DDQ655422 DNL655416:DNM655422 DXH655416:DXI655422 EHD655416:EHE655422 EQZ655416:ERA655422 FAV655416:FAW655422 FKR655416:FKS655422 FUN655416:FUO655422 GEJ655416:GEK655422 GOF655416:GOG655422 GYB655416:GYC655422 HHX655416:HHY655422 HRT655416:HRU655422 IBP655416:IBQ655422 ILL655416:ILM655422 IVH655416:IVI655422 JFD655416:JFE655422 JOZ655416:JPA655422 JYV655416:JYW655422 KIR655416:KIS655422 KSN655416:KSO655422 LCJ655416:LCK655422 LMF655416:LMG655422 LWB655416:LWC655422 MFX655416:MFY655422 MPT655416:MPU655422 MZP655416:MZQ655422 NJL655416:NJM655422 NTH655416:NTI655422 ODD655416:ODE655422 OMZ655416:ONA655422 OWV655416:OWW655422 PGR655416:PGS655422 PQN655416:PQO655422 QAJ655416:QAK655422 QKF655416:QKG655422 QUB655416:QUC655422 RDX655416:RDY655422 RNT655416:RNU655422 RXP655416:RXQ655422 SHL655416:SHM655422 SRH655416:SRI655422 TBD655416:TBE655422 TKZ655416:TLA655422 TUV655416:TUW655422 UER655416:UES655422 UON655416:UOO655422 UYJ655416:UYK655422 VIF655416:VIG655422 VSB655416:VSC655422 WBX655416:WBY655422 WLT655416:WLU655422 WVP655416:WVQ655422 H720952:I720958 JD720952:JE720958 SZ720952:TA720958 ACV720952:ACW720958 AMR720952:AMS720958 AWN720952:AWO720958 BGJ720952:BGK720958 BQF720952:BQG720958 CAB720952:CAC720958 CJX720952:CJY720958 CTT720952:CTU720958 DDP720952:DDQ720958 DNL720952:DNM720958 DXH720952:DXI720958 EHD720952:EHE720958 EQZ720952:ERA720958 FAV720952:FAW720958 FKR720952:FKS720958 FUN720952:FUO720958 GEJ720952:GEK720958 GOF720952:GOG720958 GYB720952:GYC720958 HHX720952:HHY720958 HRT720952:HRU720958 IBP720952:IBQ720958 ILL720952:ILM720958 IVH720952:IVI720958 JFD720952:JFE720958 JOZ720952:JPA720958 JYV720952:JYW720958 KIR720952:KIS720958 KSN720952:KSO720958 LCJ720952:LCK720958 LMF720952:LMG720958 LWB720952:LWC720958 MFX720952:MFY720958 MPT720952:MPU720958 MZP720952:MZQ720958 NJL720952:NJM720958 NTH720952:NTI720958 ODD720952:ODE720958 OMZ720952:ONA720958 OWV720952:OWW720958 PGR720952:PGS720958 PQN720952:PQO720958 QAJ720952:QAK720958 QKF720952:QKG720958 QUB720952:QUC720958 RDX720952:RDY720958 RNT720952:RNU720958 RXP720952:RXQ720958 SHL720952:SHM720958 SRH720952:SRI720958 TBD720952:TBE720958 TKZ720952:TLA720958 TUV720952:TUW720958 UER720952:UES720958 UON720952:UOO720958 UYJ720952:UYK720958 VIF720952:VIG720958 VSB720952:VSC720958 WBX720952:WBY720958 WLT720952:WLU720958 WVP720952:WVQ720958 H786488:I786494 JD786488:JE786494 SZ786488:TA786494 ACV786488:ACW786494 AMR786488:AMS786494 AWN786488:AWO786494 BGJ786488:BGK786494 BQF786488:BQG786494 CAB786488:CAC786494 CJX786488:CJY786494 CTT786488:CTU786494 DDP786488:DDQ786494 DNL786488:DNM786494 DXH786488:DXI786494 EHD786488:EHE786494 EQZ786488:ERA786494 FAV786488:FAW786494 FKR786488:FKS786494 FUN786488:FUO786494 GEJ786488:GEK786494 GOF786488:GOG786494 GYB786488:GYC786494 HHX786488:HHY786494 HRT786488:HRU786494 IBP786488:IBQ786494 ILL786488:ILM786494 IVH786488:IVI786494 JFD786488:JFE786494 JOZ786488:JPA786494 JYV786488:JYW786494 KIR786488:KIS786494 KSN786488:KSO786494 LCJ786488:LCK786494 LMF786488:LMG786494 LWB786488:LWC786494 MFX786488:MFY786494 MPT786488:MPU786494 MZP786488:MZQ786494 NJL786488:NJM786494 NTH786488:NTI786494 ODD786488:ODE786494 OMZ786488:ONA786494 OWV786488:OWW786494 PGR786488:PGS786494 PQN786488:PQO786494 QAJ786488:QAK786494 QKF786488:QKG786494 QUB786488:QUC786494 RDX786488:RDY786494 RNT786488:RNU786494 RXP786488:RXQ786494 SHL786488:SHM786494 SRH786488:SRI786494 TBD786488:TBE786494 TKZ786488:TLA786494 TUV786488:TUW786494 UER786488:UES786494 UON786488:UOO786494 UYJ786488:UYK786494 VIF786488:VIG786494 VSB786488:VSC786494 WBX786488:WBY786494 WLT786488:WLU786494 WVP786488:WVQ786494 H852024:I852030 JD852024:JE852030 SZ852024:TA852030 ACV852024:ACW852030 AMR852024:AMS852030 AWN852024:AWO852030 BGJ852024:BGK852030 BQF852024:BQG852030 CAB852024:CAC852030 CJX852024:CJY852030 CTT852024:CTU852030 DDP852024:DDQ852030 DNL852024:DNM852030 DXH852024:DXI852030 EHD852024:EHE852030 EQZ852024:ERA852030 FAV852024:FAW852030 FKR852024:FKS852030 FUN852024:FUO852030 GEJ852024:GEK852030 GOF852024:GOG852030 GYB852024:GYC852030 HHX852024:HHY852030 HRT852024:HRU852030 IBP852024:IBQ852030 ILL852024:ILM852030 IVH852024:IVI852030 JFD852024:JFE852030 JOZ852024:JPA852030 JYV852024:JYW852030 KIR852024:KIS852030 KSN852024:KSO852030 LCJ852024:LCK852030 LMF852024:LMG852030 LWB852024:LWC852030 MFX852024:MFY852030 MPT852024:MPU852030 MZP852024:MZQ852030 NJL852024:NJM852030 NTH852024:NTI852030 ODD852024:ODE852030 OMZ852024:ONA852030 OWV852024:OWW852030 PGR852024:PGS852030 PQN852024:PQO852030 QAJ852024:QAK852030 QKF852024:QKG852030 QUB852024:QUC852030 RDX852024:RDY852030 RNT852024:RNU852030 RXP852024:RXQ852030 SHL852024:SHM852030 SRH852024:SRI852030 TBD852024:TBE852030 TKZ852024:TLA852030 TUV852024:TUW852030 UER852024:UES852030 UON852024:UOO852030 UYJ852024:UYK852030 VIF852024:VIG852030 VSB852024:VSC852030 WBX852024:WBY852030 WLT852024:WLU852030 WVP852024:WVQ852030 H917560:I917566 JD917560:JE917566 SZ917560:TA917566 ACV917560:ACW917566 AMR917560:AMS917566 AWN917560:AWO917566 BGJ917560:BGK917566 BQF917560:BQG917566 CAB917560:CAC917566 CJX917560:CJY917566 CTT917560:CTU917566 DDP917560:DDQ917566 DNL917560:DNM917566 DXH917560:DXI917566 EHD917560:EHE917566 EQZ917560:ERA917566 FAV917560:FAW917566 FKR917560:FKS917566 FUN917560:FUO917566 GEJ917560:GEK917566 GOF917560:GOG917566 GYB917560:GYC917566 HHX917560:HHY917566 HRT917560:HRU917566 IBP917560:IBQ917566 ILL917560:ILM917566 IVH917560:IVI917566 JFD917560:JFE917566 JOZ917560:JPA917566 JYV917560:JYW917566 KIR917560:KIS917566 KSN917560:KSO917566 LCJ917560:LCK917566 LMF917560:LMG917566 LWB917560:LWC917566 MFX917560:MFY917566 MPT917560:MPU917566 MZP917560:MZQ917566 NJL917560:NJM917566 NTH917560:NTI917566 ODD917560:ODE917566 OMZ917560:ONA917566 OWV917560:OWW917566 PGR917560:PGS917566 PQN917560:PQO917566 QAJ917560:QAK917566 QKF917560:QKG917566 QUB917560:QUC917566 RDX917560:RDY917566 RNT917560:RNU917566 RXP917560:RXQ917566 SHL917560:SHM917566 SRH917560:SRI917566 TBD917560:TBE917566 TKZ917560:TLA917566 TUV917560:TUW917566 UER917560:UES917566 UON917560:UOO917566 UYJ917560:UYK917566 VIF917560:VIG917566 VSB917560:VSC917566 WBX917560:WBY917566 WLT917560:WLU917566 WVP917560:WVQ917566 H983096:I983102 JD983096:JE983102 SZ983096:TA983102 ACV983096:ACW983102 AMR983096:AMS983102 AWN983096:AWO983102 BGJ983096:BGK983102 BQF983096:BQG983102 CAB983096:CAC983102 CJX983096:CJY983102 CTT983096:CTU983102 DDP983096:DDQ983102 DNL983096:DNM983102 DXH983096:DXI983102 EHD983096:EHE983102 EQZ983096:ERA983102 FAV983096:FAW983102 FKR983096:FKS983102 FUN983096:FUO983102 GEJ983096:GEK983102 GOF983096:GOG983102 GYB983096:GYC983102 HHX983096:HHY983102 HRT983096:HRU983102 IBP983096:IBQ983102 ILL983096:ILM983102 IVH983096:IVI983102 JFD983096:JFE983102 JOZ983096:JPA983102 JYV983096:JYW983102 KIR983096:KIS983102 KSN983096:KSO983102 LCJ983096:LCK983102 LMF983096:LMG983102 LWB983096:LWC983102 MFX983096:MFY983102 MPT983096:MPU983102 MZP983096:MZQ983102 NJL983096:NJM983102 NTH983096:NTI983102 ODD983096:ODE983102 OMZ983096:ONA983102 OWV983096:OWW983102 PGR983096:PGS983102 PQN983096:PQO983102 QAJ983096:QAK983102 QKF983096:QKG983102 QUB983096:QUC983102 RDX983096:RDY983102 RNT983096:RNU983102 RXP983096:RXQ983102 SHL983096:SHM983102 SRH983096:SRI983102 TBD983096:TBE983102 TKZ983096:TLA983102 TUV983096:TUW983102 UER983096:UES983102 UON983096:UOO983102 UYJ983096:UYK983102 VIF983096:VIG983102 VSB983096:VSC983102 WBX983096:WBY983102 WLT983096:WLU983102 WVP983096:WVQ983102 H64:I64 JD64:JE64 SZ64:TA64 ACV64:ACW64 AMR64:AMS64 AWN64:AWO64 BGJ64:BGK64 BQF64:BQG64 CAB64:CAC64 CJX64:CJY64 CTT64:CTU64 DDP64:DDQ64 DNL64:DNM64 DXH64:DXI64 EHD64:EHE64 EQZ64:ERA64 FAV64:FAW64 FKR64:FKS64 FUN64:FUO64 GEJ64:GEK64 GOF64:GOG64 GYB64:GYC64 HHX64:HHY64 HRT64:HRU64 IBP64:IBQ64 ILL64:ILM64 IVH64:IVI64 JFD64:JFE64 JOZ64:JPA64 JYV64:JYW64 KIR64:KIS64 KSN64:KSO64 LCJ64:LCK64 LMF64:LMG64 LWB64:LWC64 MFX64:MFY64 MPT64:MPU64 MZP64:MZQ64 NJL64:NJM64 NTH64:NTI64 ODD64:ODE64 OMZ64:ONA64 OWV64:OWW64 PGR64:PGS64 PQN64:PQO64 QAJ64:QAK64 QKF64:QKG64 QUB64:QUC64 RDX64:RDY64 RNT64:RNU64 RXP64:RXQ64 SHL64:SHM64 SRH64:SRI64 TBD64:TBE64 TKZ64:TLA64 TUV64:TUW64 UER64:UES64 UON64:UOO64 UYJ64:UYK64 VIF64:VIG64 VSB64:VSC64 WBX64:WBY64 WLT64:WLU64 WVP64:WVQ64 H65600:I65600 JD65600:JE65600 SZ65600:TA65600 ACV65600:ACW65600 AMR65600:AMS65600 AWN65600:AWO65600 BGJ65600:BGK65600 BQF65600:BQG65600 CAB65600:CAC65600 CJX65600:CJY65600 CTT65600:CTU65600 DDP65600:DDQ65600 DNL65600:DNM65600 DXH65600:DXI65600 EHD65600:EHE65600 EQZ65600:ERA65600 FAV65600:FAW65600 FKR65600:FKS65600 FUN65600:FUO65600 GEJ65600:GEK65600 GOF65600:GOG65600 GYB65600:GYC65600 HHX65600:HHY65600 HRT65600:HRU65600 IBP65600:IBQ65600 ILL65600:ILM65600 IVH65600:IVI65600 JFD65600:JFE65600 JOZ65600:JPA65600 JYV65600:JYW65600 KIR65600:KIS65600 KSN65600:KSO65600 LCJ65600:LCK65600 LMF65600:LMG65600 LWB65600:LWC65600 MFX65600:MFY65600 MPT65600:MPU65600 MZP65600:MZQ65600 NJL65600:NJM65600 NTH65600:NTI65600 ODD65600:ODE65600 OMZ65600:ONA65600 OWV65600:OWW65600 PGR65600:PGS65600 PQN65600:PQO65600 QAJ65600:QAK65600 QKF65600:QKG65600 QUB65600:QUC65600 RDX65600:RDY65600 RNT65600:RNU65600 RXP65600:RXQ65600 SHL65600:SHM65600 SRH65600:SRI65600 TBD65600:TBE65600 TKZ65600:TLA65600 TUV65600:TUW65600 UER65600:UES65600 UON65600:UOO65600 UYJ65600:UYK65600 VIF65600:VIG65600 VSB65600:VSC65600 WBX65600:WBY65600 WLT65600:WLU65600 WVP65600:WVQ65600 H131136:I131136 JD131136:JE131136 SZ131136:TA131136 ACV131136:ACW131136 AMR131136:AMS131136 AWN131136:AWO131136 BGJ131136:BGK131136 BQF131136:BQG131136 CAB131136:CAC131136 CJX131136:CJY131136 CTT131136:CTU131136 DDP131136:DDQ131136 DNL131136:DNM131136 DXH131136:DXI131136 EHD131136:EHE131136 EQZ131136:ERA131136 FAV131136:FAW131136 FKR131136:FKS131136 FUN131136:FUO131136 GEJ131136:GEK131136 GOF131136:GOG131136 GYB131136:GYC131136 HHX131136:HHY131136 HRT131136:HRU131136 IBP131136:IBQ131136 ILL131136:ILM131136 IVH131136:IVI131136 JFD131136:JFE131136 JOZ131136:JPA131136 JYV131136:JYW131136 KIR131136:KIS131136 KSN131136:KSO131136 LCJ131136:LCK131136 LMF131136:LMG131136 LWB131136:LWC131136 MFX131136:MFY131136 MPT131136:MPU131136 MZP131136:MZQ131136 NJL131136:NJM131136 NTH131136:NTI131136 ODD131136:ODE131136 OMZ131136:ONA131136 OWV131136:OWW131136 PGR131136:PGS131136 PQN131136:PQO131136 QAJ131136:QAK131136 QKF131136:QKG131136 QUB131136:QUC131136 RDX131136:RDY131136 RNT131136:RNU131136 RXP131136:RXQ131136 SHL131136:SHM131136 SRH131136:SRI131136 TBD131136:TBE131136 TKZ131136:TLA131136 TUV131136:TUW131136 UER131136:UES131136 UON131136:UOO131136 UYJ131136:UYK131136 VIF131136:VIG131136 VSB131136:VSC131136 WBX131136:WBY131136 WLT131136:WLU131136 WVP131136:WVQ131136 H196672:I196672 JD196672:JE196672 SZ196672:TA196672 ACV196672:ACW196672 AMR196672:AMS196672 AWN196672:AWO196672 BGJ196672:BGK196672 BQF196672:BQG196672 CAB196672:CAC196672 CJX196672:CJY196672 CTT196672:CTU196672 DDP196672:DDQ196672 DNL196672:DNM196672 DXH196672:DXI196672 EHD196672:EHE196672 EQZ196672:ERA196672 FAV196672:FAW196672 FKR196672:FKS196672 FUN196672:FUO196672 GEJ196672:GEK196672 GOF196672:GOG196672 GYB196672:GYC196672 HHX196672:HHY196672 HRT196672:HRU196672 IBP196672:IBQ196672 ILL196672:ILM196672 IVH196672:IVI196672 JFD196672:JFE196672 JOZ196672:JPA196672 JYV196672:JYW196672 KIR196672:KIS196672 KSN196672:KSO196672 LCJ196672:LCK196672 LMF196672:LMG196672 LWB196672:LWC196672 MFX196672:MFY196672 MPT196672:MPU196672 MZP196672:MZQ196672 NJL196672:NJM196672 NTH196672:NTI196672 ODD196672:ODE196672 OMZ196672:ONA196672 OWV196672:OWW196672 PGR196672:PGS196672 PQN196672:PQO196672 QAJ196672:QAK196672 QKF196672:QKG196672 QUB196672:QUC196672 RDX196672:RDY196672 RNT196672:RNU196672 RXP196672:RXQ196672 SHL196672:SHM196672 SRH196672:SRI196672 TBD196672:TBE196672 TKZ196672:TLA196672 TUV196672:TUW196672 UER196672:UES196672 UON196672:UOO196672 UYJ196672:UYK196672 VIF196672:VIG196672 VSB196672:VSC196672 WBX196672:WBY196672 WLT196672:WLU196672 WVP196672:WVQ196672 H262208:I262208 JD262208:JE262208 SZ262208:TA262208 ACV262208:ACW262208 AMR262208:AMS262208 AWN262208:AWO262208 BGJ262208:BGK262208 BQF262208:BQG262208 CAB262208:CAC262208 CJX262208:CJY262208 CTT262208:CTU262208 DDP262208:DDQ262208 DNL262208:DNM262208 DXH262208:DXI262208 EHD262208:EHE262208 EQZ262208:ERA262208 FAV262208:FAW262208 FKR262208:FKS262208 FUN262208:FUO262208 GEJ262208:GEK262208 GOF262208:GOG262208 GYB262208:GYC262208 HHX262208:HHY262208 HRT262208:HRU262208 IBP262208:IBQ262208 ILL262208:ILM262208 IVH262208:IVI262208 JFD262208:JFE262208 JOZ262208:JPA262208 JYV262208:JYW262208 KIR262208:KIS262208 KSN262208:KSO262208 LCJ262208:LCK262208 LMF262208:LMG262208 LWB262208:LWC262208 MFX262208:MFY262208 MPT262208:MPU262208 MZP262208:MZQ262208 NJL262208:NJM262208 NTH262208:NTI262208 ODD262208:ODE262208 OMZ262208:ONA262208 OWV262208:OWW262208 PGR262208:PGS262208 PQN262208:PQO262208 QAJ262208:QAK262208 QKF262208:QKG262208 QUB262208:QUC262208 RDX262208:RDY262208 RNT262208:RNU262208 RXP262208:RXQ262208 SHL262208:SHM262208 SRH262208:SRI262208 TBD262208:TBE262208 TKZ262208:TLA262208 TUV262208:TUW262208 UER262208:UES262208 UON262208:UOO262208 UYJ262208:UYK262208 VIF262208:VIG262208 VSB262208:VSC262208 WBX262208:WBY262208 WLT262208:WLU262208 WVP262208:WVQ262208 H327744:I327744 JD327744:JE327744 SZ327744:TA327744 ACV327744:ACW327744 AMR327744:AMS327744 AWN327744:AWO327744 BGJ327744:BGK327744 BQF327744:BQG327744 CAB327744:CAC327744 CJX327744:CJY327744 CTT327744:CTU327744 DDP327744:DDQ327744 DNL327744:DNM327744 DXH327744:DXI327744 EHD327744:EHE327744 EQZ327744:ERA327744 FAV327744:FAW327744 FKR327744:FKS327744 FUN327744:FUO327744 GEJ327744:GEK327744 GOF327744:GOG327744 GYB327744:GYC327744 HHX327744:HHY327744 HRT327744:HRU327744 IBP327744:IBQ327744 ILL327744:ILM327744 IVH327744:IVI327744 JFD327744:JFE327744 JOZ327744:JPA327744 JYV327744:JYW327744 KIR327744:KIS327744 KSN327744:KSO327744 LCJ327744:LCK327744 LMF327744:LMG327744 LWB327744:LWC327744 MFX327744:MFY327744 MPT327744:MPU327744 MZP327744:MZQ327744 NJL327744:NJM327744 NTH327744:NTI327744 ODD327744:ODE327744 OMZ327744:ONA327744 OWV327744:OWW327744 PGR327744:PGS327744 PQN327744:PQO327744 QAJ327744:QAK327744 QKF327744:QKG327744 QUB327744:QUC327744 RDX327744:RDY327744 RNT327744:RNU327744 RXP327744:RXQ327744 SHL327744:SHM327744 SRH327744:SRI327744 TBD327744:TBE327744 TKZ327744:TLA327744 TUV327744:TUW327744 UER327744:UES327744 UON327744:UOO327744 UYJ327744:UYK327744 VIF327744:VIG327744 VSB327744:VSC327744 WBX327744:WBY327744 WLT327744:WLU327744 WVP327744:WVQ327744 H393280:I393280 JD393280:JE393280 SZ393280:TA393280 ACV393280:ACW393280 AMR393280:AMS393280 AWN393280:AWO393280 BGJ393280:BGK393280 BQF393280:BQG393280 CAB393280:CAC393280 CJX393280:CJY393280 CTT393280:CTU393280 DDP393280:DDQ393280 DNL393280:DNM393280 DXH393280:DXI393280 EHD393280:EHE393280 EQZ393280:ERA393280 FAV393280:FAW393280 FKR393280:FKS393280 FUN393280:FUO393280 GEJ393280:GEK393280 GOF393280:GOG393280 GYB393280:GYC393280 HHX393280:HHY393280 HRT393280:HRU393280 IBP393280:IBQ393280 ILL393280:ILM393280 IVH393280:IVI393280 JFD393280:JFE393280 JOZ393280:JPA393280 JYV393280:JYW393280 KIR393280:KIS393280 KSN393280:KSO393280 LCJ393280:LCK393280 LMF393280:LMG393280 LWB393280:LWC393280 MFX393280:MFY393280 MPT393280:MPU393280 MZP393280:MZQ393280 NJL393280:NJM393280 NTH393280:NTI393280 ODD393280:ODE393280 OMZ393280:ONA393280 OWV393280:OWW393280 PGR393280:PGS393280 PQN393280:PQO393280 QAJ393280:QAK393280 QKF393280:QKG393280 QUB393280:QUC393280 RDX393280:RDY393280 RNT393280:RNU393280 RXP393280:RXQ393280 SHL393280:SHM393280 SRH393280:SRI393280 TBD393280:TBE393280 TKZ393280:TLA393280 TUV393280:TUW393280 UER393280:UES393280 UON393280:UOO393280 UYJ393280:UYK393280 VIF393280:VIG393280 VSB393280:VSC393280 WBX393280:WBY393280 WLT393280:WLU393280 WVP393280:WVQ393280 H458816:I458816 JD458816:JE458816 SZ458816:TA458816 ACV458816:ACW458816 AMR458816:AMS458816 AWN458816:AWO458816 BGJ458816:BGK458816 BQF458816:BQG458816 CAB458816:CAC458816 CJX458816:CJY458816 CTT458816:CTU458816 DDP458816:DDQ458816 DNL458816:DNM458816 DXH458816:DXI458816 EHD458816:EHE458816 EQZ458816:ERA458816 FAV458816:FAW458816 FKR458816:FKS458816 FUN458816:FUO458816 GEJ458816:GEK458816 GOF458816:GOG458816 GYB458816:GYC458816 HHX458816:HHY458816 HRT458816:HRU458816 IBP458816:IBQ458816 ILL458816:ILM458816 IVH458816:IVI458816 JFD458816:JFE458816 JOZ458816:JPA458816 JYV458816:JYW458816 KIR458816:KIS458816 KSN458816:KSO458816 LCJ458816:LCK458816 LMF458816:LMG458816 LWB458816:LWC458816 MFX458816:MFY458816 MPT458816:MPU458816 MZP458816:MZQ458816 NJL458816:NJM458816 NTH458816:NTI458816 ODD458816:ODE458816 OMZ458816:ONA458816 OWV458816:OWW458816 PGR458816:PGS458816 PQN458816:PQO458816 QAJ458816:QAK458816 QKF458816:QKG458816 QUB458816:QUC458816 RDX458816:RDY458816 RNT458816:RNU458816 RXP458816:RXQ458816 SHL458816:SHM458816 SRH458816:SRI458816 TBD458816:TBE458816 TKZ458816:TLA458816 TUV458816:TUW458816 UER458816:UES458816 UON458816:UOO458816 UYJ458816:UYK458816 VIF458816:VIG458816 VSB458816:VSC458816 WBX458816:WBY458816 WLT458816:WLU458816 WVP458816:WVQ458816 H524352:I524352 JD524352:JE524352 SZ524352:TA524352 ACV524352:ACW524352 AMR524352:AMS524352 AWN524352:AWO524352 BGJ524352:BGK524352 BQF524352:BQG524352 CAB524352:CAC524352 CJX524352:CJY524352 CTT524352:CTU524352 DDP524352:DDQ524352 DNL524352:DNM524352 DXH524352:DXI524352 EHD524352:EHE524352 EQZ524352:ERA524352 FAV524352:FAW524352 FKR524352:FKS524352 FUN524352:FUO524352 GEJ524352:GEK524352 GOF524352:GOG524352 GYB524352:GYC524352 HHX524352:HHY524352 HRT524352:HRU524352 IBP524352:IBQ524352 ILL524352:ILM524352 IVH524352:IVI524352 JFD524352:JFE524352 JOZ524352:JPA524352 JYV524352:JYW524352 KIR524352:KIS524352 KSN524352:KSO524352 LCJ524352:LCK524352 LMF524352:LMG524352 LWB524352:LWC524352 MFX524352:MFY524352 MPT524352:MPU524352 MZP524352:MZQ524352 NJL524352:NJM524352 NTH524352:NTI524352 ODD524352:ODE524352 OMZ524352:ONA524352 OWV524352:OWW524352 PGR524352:PGS524352 PQN524352:PQO524352 QAJ524352:QAK524352 QKF524352:QKG524352 QUB524352:QUC524352 RDX524352:RDY524352 RNT524352:RNU524352 RXP524352:RXQ524352 SHL524352:SHM524352 SRH524352:SRI524352 TBD524352:TBE524352 TKZ524352:TLA524352 TUV524352:TUW524352 UER524352:UES524352 UON524352:UOO524352 UYJ524352:UYK524352 VIF524352:VIG524352 VSB524352:VSC524352 WBX524352:WBY524352 WLT524352:WLU524352 WVP524352:WVQ524352 H589888:I589888 JD589888:JE589888 SZ589888:TA589888 ACV589888:ACW589888 AMR589888:AMS589888 AWN589888:AWO589888 BGJ589888:BGK589888 BQF589888:BQG589888 CAB589888:CAC589888 CJX589888:CJY589888 CTT589888:CTU589888 DDP589888:DDQ589888 DNL589888:DNM589888 DXH589888:DXI589888 EHD589888:EHE589888 EQZ589888:ERA589888 FAV589888:FAW589888 FKR589888:FKS589888 FUN589888:FUO589888 GEJ589888:GEK589888 GOF589888:GOG589888 GYB589888:GYC589888 HHX589888:HHY589888 HRT589888:HRU589888 IBP589888:IBQ589888 ILL589888:ILM589888 IVH589888:IVI589888 JFD589888:JFE589888 JOZ589888:JPA589888 JYV589888:JYW589888 KIR589888:KIS589888 KSN589888:KSO589888 LCJ589888:LCK589888 LMF589888:LMG589888 LWB589888:LWC589888 MFX589888:MFY589888 MPT589888:MPU589888 MZP589888:MZQ589888 NJL589888:NJM589888 NTH589888:NTI589888 ODD589888:ODE589888 OMZ589888:ONA589888 OWV589888:OWW589888 PGR589888:PGS589888 PQN589888:PQO589888 QAJ589888:QAK589888 QKF589888:QKG589888 QUB589888:QUC589888 RDX589888:RDY589888 RNT589888:RNU589888 RXP589888:RXQ589888 SHL589888:SHM589888 SRH589888:SRI589888 TBD589888:TBE589888 TKZ589888:TLA589888 TUV589888:TUW589888 UER589888:UES589888 UON589888:UOO589888 UYJ589888:UYK589888 VIF589888:VIG589888 VSB589888:VSC589888 WBX589888:WBY589888 WLT589888:WLU589888 WVP589888:WVQ589888 H655424:I655424 JD655424:JE655424 SZ655424:TA655424 ACV655424:ACW655424 AMR655424:AMS655424 AWN655424:AWO655424 BGJ655424:BGK655424 BQF655424:BQG655424 CAB655424:CAC655424 CJX655424:CJY655424 CTT655424:CTU655424 DDP655424:DDQ655424 DNL655424:DNM655424 DXH655424:DXI655424 EHD655424:EHE655424 EQZ655424:ERA655424 FAV655424:FAW655424 FKR655424:FKS655424 FUN655424:FUO655424 GEJ655424:GEK655424 GOF655424:GOG655424 GYB655424:GYC655424 HHX655424:HHY655424 HRT655424:HRU655424 IBP655424:IBQ655424 ILL655424:ILM655424 IVH655424:IVI655424 JFD655424:JFE655424 JOZ655424:JPA655424 JYV655424:JYW655424 KIR655424:KIS655424 KSN655424:KSO655424 LCJ655424:LCK655424 LMF655424:LMG655424 LWB655424:LWC655424 MFX655424:MFY655424 MPT655424:MPU655424 MZP655424:MZQ655424 NJL655424:NJM655424 NTH655424:NTI655424 ODD655424:ODE655424 OMZ655424:ONA655424 OWV655424:OWW655424 PGR655424:PGS655424 PQN655424:PQO655424 QAJ655424:QAK655424 QKF655424:QKG655424 QUB655424:QUC655424 RDX655424:RDY655424 RNT655424:RNU655424 RXP655424:RXQ655424 SHL655424:SHM655424 SRH655424:SRI655424 TBD655424:TBE655424 TKZ655424:TLA655424 TUV655424:TUW655424 UER655424:UES655424 UON655424:UOO655424 UYJ655424:UYK655424 VIF655424:VIG655424 VSB655424:VSC655424 WBX655424:WBY655424 WLT655424:WLU655424 WVP655424:WVQ655424 H720960:I720960 JD720960:JE720960 SZ720960:TA720960 ACV720960:ACW720960 AMR720960:AMS720960 AWN720960:AWO720960 BGJ720960:BGK720960 BQF720960:BQG720960 CAB720960:CAC720960 CJX720960:CJY720960 CTT720960:CTU720960 DDP720960:DDQ720960 DNL720960:DNM720960 DXH720960:DXI720960 EHD720960:EHE720960 EQZ720960:ERA720960 FAV720960:FAW720960 FKR720960:FKS720960 FUN720960:FUO720960 GEJ720960:GEK720960 GOF720960:GOG720960 GYB720960:GYC720960 HHX720960:HHY720960 HRT720960:HRU720960 IBP720960:IBQ720960 ILL720960:ILM720960 IVH720960:IVI720960 JFD720960:JFE720960 JOZ720960:JPA720960 JYV720960:JYW720960 KIR720960:KIS720960 KSN720960:KSO720960 LCJ720960:LCK720960 LMF720960:LMG720960 LWB720960:LWC720960 MFX720960:MFY720960 MPT720960:MPU720960 MZP720960:MZQ720960 NJL720960:NJM720960 NTH720960:NTI720960 ODD720960:ODE720960 OMZ720960:ONA720960 OWV720960:OWW720960 PGR720960:PGS720960 PQN720960:PQO720960 QAJ720960:QAK720960 QKF720960:QKG720960 QUB720960:QUC720960 RDX720960:RDY720960 RNT720960:RNU720960 RXP720960:RXQ720960 SHL720960:SHM720960 SRH720960:SRI720960 TBD720960:TBE720960 TKZ720960:TLA720960 TUV720960:TUW720960 UER720960:UES720960 UON720960:UOO720960 UYJ720960:UYK720960 VIF720960:VIG720960 VSB720960:VSC720960 WBX720960:WBY720960 WLT720960:WLU720960 WVP720960:WVQ720960 H786496:I786496 JD786496:JE786496 SZ786496:TA786496 ACV786496:ACW786496 AMR786496:AMS786496 AWN786496:AWO786496 BGJ786496:BGK786496 BQF786496:BQG786496 CAB786496:CAC786496 CJX786496:CJY786496 CTT786496:CTU786496 DDP786496:DDQ786496 DNL786496:DNM786496 DXH786496:DXI786496 EHD786496:EHE786496 EQZ786496:ERA786496 FAV786496:FAW786496 FKR786496:FKS786496 FUN786496:FUO786496 GEJ786496:GEK786496 GOF786496:GOG786496 GYB786496:GYC786496 HHX786496:HHY786496 HRT786496:HRU786496 IBP786496:IBQ786496 ILL786496:ILM786496 IVH786496:IVI786496 JFD786496:JFE786496 JOZ786496:JPA786496 JYV786496:JYW786496 KIR786496:KIS786496 KSN786496:KSO786496 LCJ786496:LCK786496 LMF786496:LMG786496 LWB786496:LWC786496 MFX786496:MFY786496 MPT786496:MPU786496 MZP786496:MZQ786496 NJL786496:NJM786496 NTH786496:NTI786496 ODD786496:ODE786496 OMZ786496:ONA786496 OWV786496:OWW786496 PGR786496:PGS786496 PQN786496:PQO786496 QAJ786496:QAK786496 QKF786496:QKG786496 QUB786496:QUC786496 RDX786496:RDY786496 RNT786496:RNU786496 RXP786496:RXQ786496 SHL786496:SHM786496 SRH786496:SRI786496 TBD786496:TBE786496 TKZ786496:TLA786496 TUV786496:TUW786496 UER786496:UES786496 UON786496:UOO786496 UYJ786496:UYK786496 VIF786496:VIG786496 VSB786496:VSC786496 WBX786496:WBY786496 WLT786496:WLU786496 WVP786496:WVQ786496 H852032:I852032 JD852032:JE852032 SZ852032:TA852032 ACV852032:ACW852032 AMR852032:AMS852032 AWN852032:AWO852032 BGJ852032:BGK852032 BQF852032:BQG852032 CAB852032:CAC852032 CJX852032:CJY852032 CTT852032:CTU852032 DDP852032:DDQ852032 DNL852032:DNM852032 DXH852032:DXI852032 EHD852032:EHE852032 EQZ852032:ERA852032 FAV852032:FAW852032 FKR852032:FKS852032 FUN852032:FUO852032 GEJ852032:GEK852032 GOF852032:GOG852032 GYB852032:GYC852032 HHX852032:HHY852032 HRT852032:HRU852032 IBP852032:IBQ852032 ILL852032:ILM852032 IVH852032:IVI852032 JFD852032:JFE852032 JOZ852032:JPA852032 JYV852032:JYW852032 KIR852032:KIS852032 KSN852032:KSO852032 LCJ852032:LCK852032 LMF852032:LMG852032 LWB852032:LWC852032 MFX852032:MFY852032 MPT852032:MPU852032 MZP852032:MZQ852032 NJL852032:NJM852032 NTH852032:NTI852032 ODD852032:ODE852032 OMZ852032:ONA852032 OWV852032:OWW852032 PGR852032:PGS852032 PQN852032:PQO852032 QAJ852032:QAK852032 QKF852032:QKG852032 QUB852032:QUC852032 RDX852032:RDY852032 RNT852032:RNU852032 RXP852032:RXQ852032 SHL852032:SHM852032 SRH852032:SRI852032 TBD852032:TBE852032 TKZ852032:TLA852032 TUV852032:TUW852032 UER852032:UES852032 UON852032:UOO852032 UYJ852032:UYK852032 VIF852032:VIG852032 VSB852032:VSC852032 WBX852032:WBY852032 WLT852032:WLU852032 WVP852032:WVQ852032 H917568:I917568 JD917568:JE917568 SZ917568:TA917568 ACV917568:ACW917568 AMR917568:AMS917568 AWN917568:AWO917568 BGJ917568:BGK917568 BQF917568:BQG917568 CAB917568:CAC917568 CJX917568:CJY917568 CTT917568:CTU917568 DDP917568:DDQ917568 DNL917568:DNM917568 DXH917568:DXI917568 EHD917568:EHE917568 EQZ917568:ERA917568 FAV917568:FAW917568 FKR917568:FKS917568 FUN917568:FUO917568 GEJ917568:GEK917568 GOF917568:GOG917568 GYB917568:GYC917568 HHX917568:HHY917568 HRT917568:HRU917568 IBP917568:IBQ917568 ILL917568:ILM917568 IVH917568:IVI917568 JFD917568:JFE917568 JOZ917568:JPA917568 JYV917568:JYW917568 KIR917568:KIS917568 KSN917568:KSO917568 LCJ917568:LCK917568 LMF917568:LMG917568 LWB917568:LWC917568 MFX917568:MFY917568 MPT917568:MPU917568 MZP917568:MZQ917568 NJL917568:NJM917568 NTH917568:NTI917568 ODD917568:ODE917568 OMZ917568:ONA917568 OWV917568:OWW917568 PGR917568:PGS917568 PQN917568:PQO917568 QAJ917568:QAK917568 QKF917568:QKG917568 QUB917568:QUC917568 RDX917568:RDY917568 RNT917568:RNU917568 RXP917568:RXQ917568 SHL917568:SHM917568 SRH917568:SRI917568 TBD917568:TBE917568 TKZ917568:TLA917568 TUV917568:TUW917568 UER917568:UES917568 UON917568:UOO917568 UYJ917568:UYK917568 VIF917568:VIG917568 VSB917568:VSC917568 WBX917568:WBY917568 WLT917568:WLU917568 WVP917568:WVQ917568 H983104:I983104 JD983104:JE983104 SZ983104:TA983104 ACV983104:ACW983104 AMR983104:AMS983104 AWN983104:AWO983104 BGJ983104:BGK983104 BQF983104:BQG983104 CAB983104:CAC983104 CJX983104:CJY983104 CTT983104:CTU983104 DDP983104:DDQ983104 DNL983104:DNM983104 DXH983104:DXI983104 EHD983104:EHE983104 EQZ983104:ERA983104 FAV983104:FAW983104 FKR983104:FKS983104 FUN983104:FUO983104 GEJ983104:GEK983104 GOF983104:GOG983104 GYB983104:GYC983104 HHX983104:HHY983104 HRT983104:HRU983104 IBP983104:IBQ983104 ILL983104:ILM983104 IVH983104:IVI983104 JFD983104:JFE983104 JOZ983104:JPA983104 JYV983104:JYW983104 KIR983104:KIS983104 KSN983104:KSO983104 LCJ983104:LCK983104 LMF983104:LMG983104 LWB983104:LWC983104 MFX983104:MFY983104 MPT983104:MPU983104 MZP983104:MZQ983104 NJL983104:NJM983104 NTH983104:NTI983104 ODD983104:ODE983104 OMZ983104:ONA983104 OWV983104:OWW983104 PGR983104:PGS983104 PQN983104:PQO983104 QAJ983104:QAK983104 QKF983104:QKG983104 QUB983104:QUC983104 RDX983104:RDY983104 RNT983104:RNU983104 RXP983104:RXQ983104 SHL983104:SHM983104 SRH983104:SRI983104 TBD983104:TBE983104 TKZ983104:TLA983104 TUV983104:TUW983104 UER983104:UES983104 UON983104:UOO983104 UYJ983104:UYK983104 VIF983104:VIG983104 VSB983104:VSC983104 WBX983104:WBY983104 WLT983104:WLU983104 WVP983104:WVQ983104 H67:I72 JD67:JE72 SZ67:TA72 ACV67:ACW72 AMR67:AMS72 AWN67:AWO72 BGJ67:BGK72 BQF67:BQG72 CAB67:CAC72 CJX67:CJY72 CTT67:CTU72 DDP67:DDQ72 DNL67:DNM72 DXH67:DXI72 EHD67:EHE72 EQZ67:ERA72 FAV67:FAW72 FKR67:FKS72 FUN67:FUO72 GEJ67:GEK72 GOF67:GOG72 GYB67:GYC72 HHX67:HHY72 HRT67:HRU72 IBP67:IBQ72 ILL67:ILM72 IVH67:IVI72 JFD67:JFE72 JOZ67:JPA72 JYV67:JYW72 KIR67:KIS72 KSN67:KSO72 LCJ67:LCK72 LMF67:LMG72 LWB67:LWC72 MFX67:MFY72 MPT67:MPU72 MZP67:MZQ72 NJL67:NJM72 NTH67:NTI72 ODD67:ODE72 OMZ67:ONA72 OWV67:OWW72 PGR67:PGS72 PQN67:PQO72 QAJ67:QAK72 QKF67:QKG72 QUB67:QUC72 RDX67:RDY72 RNT67:RNU72 RXP67:RXQ72 SHL67:SHM72 SRH67:SRI72 TBD67:TBE72 TKZ67:TLA72 TUV67:TUW72 UER67:UES72 UON67:UOO72 UYJ67:UYK72 VIF67:VIG72 VSB67:VSC72 WBX67:WBY72 WLT67:WLU72 WVP67:WVQ72 H65603:I65608 JD65603:JE65608 SZ65603:TA65608 ACV65603:ACW65608 AMR65603:AMS65608 AWN65603:AWO65608 BGJ65603:BGK65608 BQF65603:BQG65608 CAB65603:CAC65608 CJX65603:CJY65608 CTT65603:CTU65608 DDP65603:DDQ65608 DNL65603:DNM65608 DXH65603:DXI65608 EHD65603:EHE65608 EQZ65603:ERA65608 FAV65603:FAW65608 FKR65603:FKS65608 FUN65603:FUO65608 GEJ65603:GEK65608 GOF65603:GOG65608 GYB65603:GYC65608 HHX65603:HHY65608 HRT65603:HRU65608 IBP65603:IBQ65608 ILL65603:ILM65608 IVH65603:IVI65608 JFD65603:JFE65608 JOZ65603:JPA65608 JYV65603:JYW65608 KIR65603:KIS65608 KSN65603:KSO65608 LCJ65603:LCK65608 LMF65603:LMG65608 LWB65603:LWC65608 MFX65603:MFY65608 MPT65603:MPU65608 MZP65603:MZQ65608 NJL65603:NJM65608 NTH65603:NTI65608 ODD65603:ODE65608 OMZ65603:ONA65608 OWV65603:OWW65608 PGR65603:PGS65608 PQN65603:PQO65608 QAJ65603:QAK65608 QKF65603:QKG65608 QUB65603:QUC65608 RDX65603:RDY65608 RNT65603:RNU65608 RXP65603:RXQ65608 SHL65603:SHM65608 SRH65603:SRI65608 TBD65603:TBE65608 TKZ65603:TLA65608 TUV65603:TUW65608 UER65603:UES65608 UON65603:UOO65608 UYJ65603:UYK65608 VIF65603:VIG65608 VSB65603:VSC65608 WBX65603:WBY65608 WLT65603:WLU65608 WVP65603:WVQ65608 H131139:I131144 JD131139:JE131144 SZ131139:TA131144 ACV131139:ACW131144 AMR131139:AMS131144 AWN131139:AWO131144 BGJ131139:BGK131144 BQF131139:BQG131144 CAB131139:CAC131144 CJX131139:CJY131144 CTT131139:CTU131144 DDP131139:DDQ131144 DNL131139:DNM131144 DXH131139:DXI131144 EHD131139:EHE131144 EQZ131139:ERA131144 FAV131139:FAW131144 FKR131139:FKS131144 FUN131139:FUO131144 GEJ131139:GEK131144 GOF131139:GOG131144 GYB131139:GYC131144 HHX131139:HHY131144 HRT131139:HRU131144 IBP131139:IBQ131144 ILL131139:ILM131144 IVH131139:IVI131144 JFD131139:JFE131144 JOZ131139:JPA131144 JYV131139:JYW131144 KIR131139:KIS131144 KSN131139:KSO131144 LCJ131139:LCK131144 LMF131139:LMG131144 LWB131139:LWC131144 MFX131139:MFY131144 MPT131139:MPU131144 MZP131139:MZQ131144 NJL131139:NJM131144 NTH131139:NTI131144 ODD131139:ODE131144 OMZ131139:ONA131144 OWV131139:OWW131144 PGR131139:PGS131144 PQN131139:PQO131144 QAJ131139:QAK131144 QKF131139:QKG131144 QUB131139:QUC131144 RDX131139:RDY131144 RNT131139:RNU131144 RXP131139:RXQ131144 SHL131139:SHM131144 SRH131139:SRI131144 TBD131139:TBE131144 TKZ131139:TLA131144 TUV131139:TUW131144 UER131139:UES131144 UON131139:UOO131144 UYJ131139:UYK131144 VIF131139:VIG131144 VSB131139:VSC131144 WBX131139:WBY131144 WLT131139:WLU131144 WVP131139:WVQ131144 H196675:I196680 JD196675:JE196680 SZ196675:TA196680 ACV196675:ACW196680 AMR196675:AMS196680 AWN196675:AWO196680 BGJ196675:BGK196680 BQF196675:BQG196680 CAB196675:CAC196680 CJX196675:CJY196680 CTT196675:CTU196680 DDP196675:DDQ196680 DNL196675:DNM196680 DXH196675:DXI196680 EHD196675:EHE196680 EQZ196675:ERA196680 FAV196675:FAW196680 FKR196675:FKS196680 FUN196675:FUO196680 GEJ196675:GEK196680 GOF196675:GOG196680 GYB196675:GYC196680 HHX196675:HHY196680 HRT196675:HRU196680 IBP196675:IBQ196680 ILL196675:ILM196680 IVH196675:IVI196680 JFD196675:JFE196680 JOZ196675:JPA196680 JYV196675:JYW196680 KIR196675:KIS196680 KSN196675:KSO196680 LCJ196675:LCK196680 LMF196675:LMG196680 LWB196675:LWC196680 MFX196675:MFY196680 MPT196675:MPU196680 MZP196675:MZQ196680 NJL196675:NJM196680 NTH196675:NTI196680 ODD196675:ODE196680 OMZ196675:ONA196680 OWV196675:OWW196680 PGR196675:PGS196680 PQN196675:PQO196680 QAJ196675:QAK196680 QKF196675:QKG196680 QUB196675:QUC196680 RDX196675:RDY196680 RNT196675:RNU196680 RXP196675:RXQ196680 SHL196675:SHM196680 SRH196675:SRI196680 TBD196675:TBE196680 TKZ196675:TLA196680 TUV196675:TUW196680 UER196675:UES196680 UON196675:UOO196680 UYJ196675:UYK196680 VIF196675:VIG196680 VSB196675:VSC196680 WBX196675:WBY196680 WLT196675:WLU196680 WVP196675:WVQ196680 H262211:I262216 JD262211:JE262216 SZ262211:TA262216 ACV262211:ACW262216 AMR262211:AMS262216 AWN262211:AWO262216 BGJ262211:BGK262216 BQF262211:BQG262216 CAB262211:CAC262216 CJX262211:CJY262216 CTT262211:CTU262216 DDP262211:DDQ262216 DNL262211:DNM262216 DXH262211:DXI262216 EHD262211:EHE262216 EQZ262211:ERA262216 FAV262211:FAW262216 FKR262211:FKS262216 FUN262211:FUO262216 GEJ262211:GEK262216 GOF262211:GOG262216 GYB262211:GYC262216 HHX262211:HHY262216 HRT262211:HRU262216 IBP262211:IBQ262216 ILL262211:ILM262216 IVH262211:IVI262216 JFD262211:JFE262216 JOZ262211:JPA262216 JYV262211:JYW262216 KIR262211:KIS262216 KSN262211:KSO262216 LCJ262211:LCK262216 LMF262211:LMG262216 LWB262211:LWC262216 MFX262211:MFY262216 MPT262211:MPU262216 MZP262211:MZQ262216 NJL262211:NJM262216 NTH262211:NTI262216 ODD262211:ODE262216 OMZ262211:ONA262216 OWV262211:OWW262216 PGR262211:PGS262216 PQN262211:PQO262216 QAJ262211:QAK262216 QKF262211:QKG262216 QUB262211:QUC262216 RDX262211:RDY262216 RNT262211:RNU262216 RXP262211:RXQ262216 SHL262211:SHM262216 SRH262211:SRI262216 TBD262211:TBE262216 TKZ262211:TLA262216 TUV262211:TUW262216 UER262211:UES262216 UON262211:UOO262216 UYJ262211:UYK262216 VIF262211:VIG262216 VSB262211:VSC262216 WBX262211:WBY262216 WLT262211:WLU262216 WVP262211:WVQ262216 H327747:I327752 JD327747:JE327752 SZ327747:TA327752 ACV327747:ACW327752 AMR327747:AMS327752 AWN327747:AWO327752 BGJ327747:BGK327752 BQF327747:BQG327752 CAB327747:CAC327752 CJX327747:CJY327752 CTT327747:CTU327752 DDP327747:DDQ327752 DNL327747:DNM327752 DXH327747:DXI327752 EHD327747:EHE327752 EQZ327747:ERA327752 FAV327747:FAW327752 FKR327747:FKS327752 FUN327747:FUO327752 GEJ327747:GEK327752 GOF327747:GOG327752 GYB327747:GYC327752 HHX327747:HHY327752 HRT327747:HRU327752 IBP327747:IBQ327752 ILL327747:ILM327752 IVH327747:IVI327752 JFD327747:JFE327752 JOZ327747:JPA327752 JYV327747:JYW327752 KIR327747:KIS327752 KSN327747:KSO327752 LCJ327747:LCK327752 LMF327747:LMG327752 LWB327747:LWC327752 MFX327747:MFY327752 MPT327747:MPU327752 MZP327747:MZQ327752 NJL327747:NJM327752 NTH327747:NTI327752 ODD327747:ODE327752 OMZ327747:ONA327752 OWV327747:OWW327752 PGR327747:PGS327752 PQN327747:PQO327752 QAJ327747:QAK327752 QKF327747:QKG327752 QUB327747:QUC327752 RDX327747:RDY327752 RNT327747:RNU327752 RXP327747:RXQ327752 SHL327747:SHM327752 SRH327747:SRI327752 TBD327747:TBE327752 TKZ327747:TLA327752 TUV327747:TUW327752 UER327747:UES327752 UON327747:UOO327752 UYJ327747:UYK327752 VIF327747:VIG327752 VSB327747:VSC327752 WBX327747:WBY327752 WLT327747:WLU327752 WVP327747:WVQ327752 H393283:I393288 JD393283:JE393288 SZ393283:TA393288 ACV393283:ACW393288 AMR393283:AMS393288 AWN393283:AWO393288 BGJ393283:BGK393288 BQF393283:BQG393288 CAB393283:CAC393288 CJX393283:CJY393288 CTT393283:CTU393288 DDP393283:DDQ393288 DNL393283:DNM393288 DXH393283:DXI393288 EHD393283:EHE393288 EQZ393283:ERA393288 FAV393283:FAW393288 FKR393283:FKS393288 FUN393283:FUO393288 GEJ393283:GEK393288 GOF393283:GOG393288 GYB393283:GYC393288 HHX393283:HHY393288 HRT393283:HRU393288 IBP393283:IBQ393288 ILL393283:ILM393288 IVH393283:IVI393288 JFD393283:JFE393288 JOZ393283:JPA393288 JYV393283:JYW393288 KIR393283:KIS393288 KSN393283:KSO393288 LCJ393283:LCK393288 LMF393283:LMG393288 LWB393283:LWC393288 MFX393283:MFY393288 MPT393283:MPU393288 MZP393283:MZQ393288 NJL393283:NJM393288 NTH393283:NTI393288 ODD393283:ODE393288 OMZ393283:ONA393288 OWV393283:OWW393288 PGR393283:PGS393288 PQN393283:PQO393288 QAJ393283:QAK393288 QKF393283:QKG393288 QUB393283:QUC393288 RDX393283:RDY393288 RNT393283:RNU393288 RXP393283:RXQ393288 SHL393283:SHM393288 SRH393283:SRI393288 TBD393283:TBE393288 TKZ393283:TLA393288 TUV393283:TUW393288 UER393283:UES393288 UON393283:UOO393288 UYJ393283:UYK393288 VIF393283:VIG393288 VSB393283:VSC393288 WBX393283:WBY393288 WLT393283:WLU393288 WVP393283:WVQ393288 H458819:I458824 JD458819:JE458824 SZ458819:TA458824 ACV458819:ACW458824 AMR458819:AMS458824 AWN458819:AWO458824 BGJ458819:BGK458824 BQF458819:BQG458824 CAB458819:CAC458824 CJX458819:CJY458824 CTT458819:CTU458824 DDP458819:DDQ458824 DNL458819:DNM458824 DXH458819:DXI458824 EHD458819:EHE458824 EQZ458819:ERA458824 FAV458819:FAW458824 FKR458819:FKS458824 FUN458819:FUO458824 GEJ458819:GEK458824 GOF458819:GOG458824 GYB458819:GYC458824 HHX458819:HHY458824 HRT458819:HRU458824 IBP458819:IBQ458824 ILL458819:ILM458824 IVH458819:IVI458824 JFD458819:JFE458824 JOZ458819:JPA458824 JYV458819:JYW458824 KIR458819:KIS458824 KSN458819:KSO458824 LCJ458819:LCK458824 LMF458819:LMG458824 LWB458819:LWC458824 MFX458819:MFY458824 MPT458819:MPU458824 MZP458819:MZQ458824 NJL458819:NJM458824 NTH458819:NTI458824 ODD458819:ODE458824 OMZ458819:ONA458824 OWV458819:OWW458824 PGR458819:PGS458824 PQN458819:PQO458824 QAJ458819:QAK458824 QKF458819:QKG458824 QUB458819:QUC458824 RDX458819:RDY458824 RNT458819:RNU458824 RXP458819:RXQ458824 SHL458819:SHM458824 SRH458819:SRI458824 TBD458819:TBE458824 TKZ458819:TLA458824 TUV458819:TUW458824 UER458819:UES458824 UON458819:UOO458824 UYJ458819:UYK458824 VIF458819:VIG458824 VSB458819:VSC458824 WBX458819:WBY458824 WLT458819:WLU458824 WVP458819:WVQ458824 H524355:I524360 JD524355:JE524360 SZ524355:TA524360 ACV524355:ACW524360 AMR524355:AMS524360 AWN524355:AWO524360 BGJ524355:BGK524360 BQF524355:BQG524360 CAB524355:CAC524360 CJX524355:CJY524360 CTT524355:CTU524360 DDP524355:DDQ524360 DNL524355:DNM524360 DXH524355:DXI524360 EHD524355:EHE524360 EQZ524355:ERA524360 FAV524355:FAW524360 FKR524355:FKS524360 FUN524355:FUO524360 GEJ524355:GEK524360 GOF524355:GOG524360 GYB524355:GYC524360 HHX524355:HHY524360 HRT524355:HRU524360 IBP524355:IBQ524360 ILL524355:ILM524360 IVH524355:IVI524360 JFD524355:JFE524360 JOZ524355:JPA524360 JYV524355:JYW524360 KIR524355:KIS524360 KSN524355:KSO524360 LCJ524355:LCK524360 LMF524355:LMG524360 LWB524355:LWC524360 MFX524355:MFY524360 MPT524355:MPU524360 MZP524355:MZQ524360 NJL524355:NJM524360 NTH524355:NTI524360 ODD524355:ODE524360 OMZ524355:ONA524360 OWV524355:OWW524360 PGR524355:PGS524360 PQN524355:PQO524360 QAJ524355:QAK524360 QKF524355:QKG524360 QUB524355:QUC524360 RDX524355:RDY524360 RNT524355:RNU524360 RXP524355:RXQ524360 SHL524355:SHM524360 SRH524355:SRI524360 TBD524355:TBE524360 TKZ524355:TLA524360 TUV524355:TUW524360 UER524355:UES524360 UON524355:UOO524360 UYJ524355:UYK524360 VIF524355:VIG524360 VSB524355:VSC524360 WBX524355:WBY524360 WLT524355:WLU524360 WVP524355:WVQ524360 H589891:I589896 JD589891:JE589896 SZ589891:TA589896 ACV589891:ACW589896 AMR589891:AMS589896 AWN589891:AWO589896 BGJ589891:BGK589896 BQF589891:BQG589896 CAB589891:CAC589896 CJX589891:CJY589896 CTT589891:CTU589896 DDP589891:DDQ589896 DNL589891:DNM589896 DXH589891:DXI589896 EHD589891:EHE589896 EQZ589891:ERA589896 FAV589891:FAW589896 FKR589891:FKS589896 FUN589891:FUO589896 GEJ589891:GEK589896 GOF589891:GOG589896 GYB589891:GYC589896 HHX589891:HHY589896 HRT589891:HRU589896 IBP589891:IBQ589896 ILL589891:ILM589896 IVH589891:IVI589896 JFD589891:JFE589896 JOZ589891:JPA589896 JYV589891:JYW589896 KIR589891:KIS589896 KSN589891:KSO589896 LCJ589891:LCK589896 LMF589891:LMG589896 LWB589891:LWC589896 MFX589891:MFY589896 MPT589891:MPU589896 MZP589891:MZQ589896 NJL589891:NJM589896 NTH589891:NTI589896 ODD589891:ODE589896 OMZ589891:ONA589896 OWV589891:OWW589896 PGR589891:PGS589896 PQN589891:PQO589896 QAJ589891:QAK589896 QKF589891:QKG589896 QUB589891:QUC589896 RDX589891:RDY589896 RNT589891:RNU589896 RXP589891:RXQ589896 SHL589891:SHM589896 SRH589891:SRI589896 TBD589891:TBE589896 TKZ589891:TLA589896 TUV589891:TUW589896 UER589891:UES589896 UON589891:UOO589896 UYJ589891:UYK589896 VIF589891:VIG589896 VSB589891:VSC589896 WBX589891:WBY589896 WLT589891:WLU589896 WVP589891:WVQ589896 H655427:I655432 JD655427:JE655432 SZ655427:TA655432 ACV655427:ACW655432 AMR655427:AMS655432 AWN655427:AWO655432 BGJ655427:BGK655432 BQF655427:BQG655432 CAB655427:CAC655432 CJX655427:CJY655432 CTT655427:CTU655432 DDP655427:DDQ655432 DNL655427:DNM655432 DXH655427:DXI655432 EHD655427:EHE655432 EQZ655427:ERA655432 FAV655427:FAW655432 FKR655427:FKS655432 FUN655427:FUO655432 GEJ655427:GEK655432 GOF655427:GOG655432 GYB655427:GYC655432 HHX655427:HHY655432 HRT655427:HRU655432 IBP655427:IBQ655432 ILL655427:ILM655432 IVH655427:IVI655432 JFD655427:JFE655432 JOZ655427:JPA655432 JYV655427:JYW655432 KIR655427:KIS655432 KSN655427:KSO655432 LCJ655427:LCK655432 LMF655427:LMG655432 LWB655427:LWC655432 MFX655427:MFY655432 MPT655427:MPU655432 MZP655427:MZQ655432 NJL655427:NJM655432 NTH655427:NTI655432 ODD655427:ODE655432 OMZ655427:ONA655432 OWV655427:OWW655432 PGR655427:PGS655432 PQN655427:PQO655432 QAJ655427:QAK655432 QKF655427:QKG655432 QUB655427:QUC655432 RDX655427:RDY655432 RNT655427:RNU655432 RXP655427:RXQ655432 SHL655427:SHM655432 SRH655427:SRI655432 TBD655427:TBE655432 TKZ655427:TLA655432 TUV655427:TUW655432 UER655427:UES655432 UON655427:UOO655432 UYJ655427:UYK655432 VIF655427:VIG655432 VSB655427:VSC655432 WBX655427:WBY655432 WLT655427:WLU655432 WVP655427:WVQ655432 H720963:I720968 JD720963:JE720968 SZ720963:TA720968 ACV720963:ACW720968 AMR720963:AMS720968 AWN720963:AWO720968 BGJ720963:BGK720968 BQF720963:BQG720968 CAB720963:CAC720968 CJX720963:CJY720968 CTT720963:CTU720968 DDP720963:DDQ720968 DNL720963:DNM720968 DXH720963:DXI720968 EHD720963:EHE720968 EQZ720963:ERA720968 FAV720963:FAW720968 FKR720963:FKS720968 FUN720963:FUO720968 GEJ720963:GEK720968 GOF720963:GOG720968 GYB720963:GYC720968 HHX720963:HHY720968 HRT720963:HRU720968 IBP720963:IBQ720968 ILL720963:ILM720968 IVH720963:IVI720968 JFD720963:JFE720968 JOZ720963:JPA720968 JYV720963:JYW720968 KIR720963:KIS720968 KSN720963:KSO720968 LCJ720963:LCK720968 LMF720963:LMG720968 LWB720963:LWC720968 MFX720963:MFY720968 MPT720963:MPU720968 MZP720963:MZQ720968 NJL720963:NJM720968 NTH720963:NTI720968 ODD720963:ODE720968 OMZ720963:ONA720968 OWV720963:OWW720968 PGR720963:PGS720968 PQN720963:PQO720968 QAJ720963:QAK720968 QKF720963:QKG720968 QUB720963:QUC720968 RDX720963:RDY720968 RNT720963:RNU720968 RXP720963:RXQ720968 SHL720963:SHM720968 SRH720963:SRI720968 TBD720963:TBE720968 TKZ720963:TLA720968 TUV720963:TUW720968 UER720963:UES720968 UON720963:UOO720968 UYJ720963:UYK720968 VIF720963:VIG720968 VSB720963:VSC720968 WBX720963:WBY720968 WLT720963:WLU720968 WVP720963:WVQ720968 H786499:I786504 JD786499:JE786504 SZ786499:TA786504 ACV786499:ACW786504 AMR786499:AMS786504 AWN786499:AWO786504 BGJ786499:BGK786504 BQF786499:BQG786504 CAB786499:CAC786504 CJX786499:CJY786504 CTT786499:CTU786504 DDP786499:DDQ786504 DNL786499:DNM786504 DXH786499:DXI786504 EHD786499:EHE786504 EQZ786499:ERA786504 FAV786499:FAW786504 FKR786499:FKS786504 FUN786499:FUO786504 GEJ786499:GEK786504 GOF786499:GOG786504 GYB786499:GYC786504 HHX786499:HHY786504 HRT786499:HRU786504 IBP786499:IBQ786504 ILL786499:ILM786504 IVH786499:IVI786504 JFD786499:JFE786504 JOZ786499:JPA786504 JYV786499:JYW786504 KIR786499:KIS786504 KSN786499:KSO786504 LCJ786499:LCK786504 LMF786499:LMG786504 LWB786499:LWC786504 MFX786499:MFY786504 MPT786499:MPU786504 MZP786499:MZQ786504 NJL786499:NJM786504 NTH786499:NTI786504 ODD786499:ODE786504 OMZ786499:ONA786504 OWV786499:OWW786504 PGR786499:PGS786504 PQN786499:PQO786504 QAJ786499:QAK786504 QKF786499:QKG786504 QUB786499:QUC786504 RDX786499:RDY786504 RNT786499:RNU786504 RXP786499:RXQ786504 SHL786499:SHM786504 SRH786499:SRI786504 TBD786499:TBE786504 TKZ786499:TLA786504 TUV786499:TUW786504 UER786499:UES786504 UON786499:UOO786504 UYJ786499:UYK786504 VIF786499:VIG786504 VSB786499:VSC786504 WBX786499:WBY786504 WLT786499:WLU786504 WVP786499:WVQ786504 H852035:I852040 JD852035:JE852040 SZ852035:TA852040 ACV852035:ACW852040 AMR852035:AMS852040 AWN852035:AWO852040 BGJ852035:BGK852040 BQF852035:BQG852040 CAB852035:CAC852040 CJX852035:CJY852040 CTT852035:CTU852040 DDP852035:DDQ852040 DNL852035:DNM852040 DXH852035:DXI852040 EHD852035:EHE852040 EQZ852035:ERA852040 FAV852035:FAW852040 FKR852035:FKS852040 FUN852035:FUO852040 GEJ852035:GEK852040 GOF852035:GOG852040 GYB852035:GYC852040 HHX852035:HHY852040 HRT852035:HRU852040 IBP852035:IBQ852040 ILL852035:ILM852040 IVH852035:IVI852040 JFD852035:JFE852040 JOZ852035:JPA852040 JYV852035:JYW852040 KIR852035:KIS852040 KSN852035:KSO852040 LCJ852035:LCK852040 LMF852035:LMG852040 LWB852035:LWC852040 MFX852035:MFY852040 MPT852035:MPU852040 MZP852035:MZQ852040 NJL852035:NJM852040 NTH852035:NTI852040 ODD852035:ODE852040 OMZ852035:ONA852040 OWV852035:OWW852040 PGR852035:PGS852040 PQN852035:PQO852040 QAJ852035:QAK852040 QKF852035:QKG852040 QUB852035:QUC852040 RDX852035:RDY852040 RNT852035:RNU852040 RXP852035:RXQ852040 SHL852035:SHM852040 SRH852035:SRI852040 TBD852035:TBE852040 TKZ852035:TLA852040 TUV852035:TUW852040 UER852035:UES852040 UON852035:UOO852040 UYJ852035:UYK852040 VIF852035:VIG852040 VSB852035:VSC852040 WBX852035:WBY852040 WLT852035:WLU852040 WVP852035:WVQ852040 H917571:I917576 JD917571:JE917576 SZ917571:TA917576 ACV917571:ACW917576 AMR917571:AMS917576 AWN917571:AWO917576 BGJ917571:BGK917576 BQF917571:BQG917576 CAB917571:CAC917576 CJX917571:CJY917576 CTT917571:CTU917576 DDP917571:DDQ917576 DNL917571:DNM917576 DXH917571:DXI917576 EHD917571:EHE917576 EQZ917571:ERA917576 FAV917571:FAW917576 FKR917571:FKS917576 FUN917571:FUO917576 GEJ917571:GEK917576 GOF917571:GOG917576 GYB917571:GYC917576 HHX917571:HHY917576 HRT917571:HRU917576 IBP917571:IBQ917576 ILL917571:ILM917576 IVH917571:IVI917576 JFD917571:JFE917576 JOZ917571:JPA917576 JYV917571:JYW917576 KIR917571:KIS917576 KSN917571:KSO917576 LCJ917571:LCK917576 LMF917571:LMG917576 LWB917571:LWC917576 MFX917571:MFY917576 MPT917571:MPU917576 MZP917571:MZQ917576 NJL917571:NJM917576 NTH917571:NTI917576 ODD917571:ODE917576 OMZ917571:ONA917576 OWV917571:OWW917576 PGR917571:PGS917576 PQN917571:PQO917576 QAJ917571:QAK917576 QKF917571:QKG917576 QUB917571:QUC917576 RDX917571:RDY917576 RNT917571:RNU917576 RXP917571:RXQ917576 SHL917571:SHM917576 SRH917571:SRI917576 TBD917571:TBE917576 TKZ917571:TLA917576 TUV917571:TUW917576 UER917571:UES917576 UON917571:UOO917576 UYJ917571:UYK917576 VIF917571:VIG917576 VSB917571:VSC917576 WBX917571:WBY917576 WLT917571:WLU917576 WVP917571:WVQ917576 H983107:I983112 JD983107:JE983112 SZ983107:TA983112 ACV983107:ACW983112 AMR983107:AMS983112 AWN983107:AWO983112 BGJ983107:BGK983112 BQF983107:BQG983112 CAB983107:CAC983112 CJX983107:CJY983112 CTT983107:CTU983112 DDP983107:DDQ983112 DNL983107:DNM983112 DXH983107:DXI983112 EHD983107:EHE983112 EQZ983107:ERA983112 FAV983107:FAW983112 FKR983107:FKS983112 FUN983107:FUO983112 GEJ983107:GEK983112 GOF983107:GOG983112 GYB983107:GYC983112 HHX983107:HHY983112 HRT983107:HRU983112 IBP983107:IBQ983112 ILL983107:ILM983112 IVH983107:IVI983112 JFD983107:JFE983112 JOZ983107:JPA983112 JYV983107:JYW983112 KIR983107:KIS983112 KSN983107:KSO983112 LCJ983107:LCK983112 LMF983107:LMG983112 LWB983107:LWC983112 MFX983107:MFY983112 MPT983107:MPU983112 MZP983107:MZQ983112 NJL983107:NJM983112 NTH983107:NTI983112 ODD983107:ODE983112 OMZ983107:ONA983112 OWV983107:OWW983112 PGR983107:PGS983112 PQN983107:PQO983112 QAJ983107:QAK983112 QKF983107:QKG983112 QUB983107:QUC983112 RDX983107:RDY983112 RNT983107:RNU983112 RXP983107:RXQ983112 SHL983107:SHM983112 SRH983107:SRI983112 TBD983107:TBE983112 TKZ983107:TLA983112 TUV983107:TUW983112 UER983107:UES983112 UON983107:UOO983112 UYJ983107:UYK983112 VIF983107:VIG983112 VSB983107:VSC983112 WBX983107:WBY983112 WLT983107:WLU983112 WVP983107:WVQ983112 I73 JE73 TA73 ACW73 AMS73 AWO73 BGK73 BQG73 CAC73 CJY73 CTU73 DDQ73 DNM73 DXI73 EHE73 ERA73 FAW73 FKS73 FUO73 GEK73 GOG73 GYC73 HHY73 HRU73 IBQ73 ILM73 IVI73 JFE73 JPA73 JYW73 KIS73 KSO73 LCK73 LMG73 LWC73 MFY73 MPU73 MZQ73 NJM73 NTI73 ODE73 ONA73 OWW73 PGS73 PQO73 QAK73 QKG73 QUC73 RDY73 RNU73 RXQ73 SHM73 SRI73 TBE73 TLA73 TUW73 UES73 UOO73 UYK73 VIG73 VSC73 WBY73 WLU73 WVQ73 I65609 JE65609 TA65609 ACW65609 AMS65609 AWO65609 BGK65609 BQG65609 CAC65609 CJY65609 CTU65609 DDQ65609 DNM65609 DXI65609 EHE65609 ERA65609 FAW65609 FKS65609 FUO65609 GEK65609 GOG65609 GYC65609 HHY65609 HRU65609 IBQ65609 ILM65609 IVI65609 JFE65609 JPA65609 JYW65609 KIS65609 KSO65609 LCK65609 LMG65609 LWC65609 MFY65609 MPU65609 MZQ65609 NJM65609 NTI65609 ODE65609 ONA65609 OWW65609 PGS65609 PQO65609 QAK65609 QKG65609 QUC65609 RDY65609 RNU65609 RXQ65609 SHM65609 SRI65609 TBE65609 TLA65609 TUW65609 UES65609 UOO65609 UYK65609 VIG65609 VSC65609 WBY65609 WLU65609 WVQ65609 I131145 JE131145 TA131145 ACW131145 AMS131145 AWO131145 BGK131145 BQG131145 CAC131145 CJY131145 CTU131145 DDQ131145 DNM131145 DXI131145 EHE131145 ERA131145 FAW131145 FKS131145 FUO131145 GEK131145 GOG131145 GYC131145 HHY131145 HRU131145 IBQ131145 ILM131145 IVI131145 JFE131145 JPA131145 JYW131145 KIS131145 KSO131145 LCK131145 LMG131145 LWC131145 MFY131145 MPU131145 MZQ131145 NJM131145 NTI131145 ODE131145 ONA131145 OWW131145 PGS131145 PQO131145 QAK131145 QKG131145 QUC131145 RDY131145 RNU131145 RXQ131145 SHM131145 SRI131145 TBE131145 TLA131145 TUW131145 UES131145 UOO131145 UYK131145 VIG131145 VSC131145 WBY131145 WLU131145 WVQ131145 I196681 JE196681 TA196681 ACW196681 AMS196681 AWO196681 BGK196681 BQG196681 CAC196681 CJY196681 CTU196681 DDQ196681 DNM196681 DXI196681 EHE196681 ERA196681 FAW196681 FKS196681 FUO196681 GEK196681 GOG196681 GYC196681 HHY196681 HRU196681 IBQ196681 ILM196681 IVI196681 JFE196681 JPA196681 JYW196681 KIS196681 KSO196681 LCK196681 LMG196681 LWC196681 MFY196681 MPU196681 MZQ196681 NJM196681 NTI196681 ODE196681 ONA196681 OWW196681 PGS196681 PQO196681 QAK196681 QKG196681 QUC196681 RDY196681 RNU196681 RXQ196681 SHM196681 SRI196681 TBE196681 TLA196681 TUW196681 UES196681 UOO196681 UYK196681 VIG196681 VSC196681 WBY196681 WLU196681 WVQ196681 I262217 JE262217 TA262217 ACW262217 AMS262217 AWO262217 BGK262217 BQG262217 CAC262217 CJY262217 CTU262217 DDQ262217 DNM262217 DXI262217 EHE262217 ERA262217 FAW262217 FKS262217 FUO262217 GEK262217 GOG262217 GYC262217 HHY262217 HRU262217 IBQ262217 ILM262217 IVI262217 JFE262217 JPA262217 JYW262217 KIS262217 KSO262217 LCK262217 LMG262217 LWC262217 MFY262217 MPU262217 MZQ262217 NJM262217 NTI262217 ODE262217 ONA262217 OWW262217 PGS262217 PQO262217 QAK262217 QKG262217 QUC262217 RDY262217 RNU262217 RXQ262217 SHM262217 SRI262217 TBE262217 TLA262217 TUW262217 UES262217 UOO262217 UYK262217 VIG262217 VSC262217 WBY262217 WLU262217 WVQ262217 I327753 JE327753 TA327753 ACW327753 AMS327753 AWO327753 BGK327753 BQG327753 CAC327753 CJY327753 CTU327753 DDQ327753 DNM327753 DXI327753 EHE327753 ERA327753 FAW327753 FKS327753 FUO327753 GEK327753 GOG327753 GYC327753 HHY327753 HRU327753 IBQ327753 ILM327753 IVI327753 JFE327753 JPA327753 JYW327753 KIS327753 KSO327753 LCK327753 LMG327753 LWC327753 MFY327753 MPU327753 MZQ327753 NJM327753 NTI327753 ODE327753 ONA327753 OWW327753 PGS327753 PQO327753 QAK327753 QKG327753 QUC327753 RDY327753 RNU327753 RXQ327753 SHM327753 SRI327753 TBE327753 TLA327753 TUW327753 UES327753 UOO327753 UYK327753 VIG327753 VSC327753 WBY327753 WLU327753 WVQ327753 I393289 JE393289 TA393289 ACW393289 AMS393289 AWO393289 BGK393289 BQG393289 CAC393289 CJY393289 CTU393289 DDQ393289 DNM393289 DXI393289 EHE393289 ERA393289 FAW393289 FKS393289 FUO393289 GEK393289 GOG393289 GYC393289 HHY393289 HRU393289 IBQ393289 ILM393289 IVI393289 JFE393289 JPA393289 JYW393289 KIS393289 KSO393289 LCK393289 LMG393289 LWC393289 MFY393289 MPU393289 MZQ393289 NJM393289 NTI393289 ODE393289 ONA393289 OWW393289 PGS393289 PQO393289 QAK393289 QKG393289 QUC393289 RDY393289 RNU393289 RXQ393289 SHM393289 SRI393289 TBE393289 TLA393289 TUW393289 UES393289 UOO393289 UYK393289 VIG393289 VSC393289 WBY393289 WLU393289 WVQ393289 I458825 JE458825 TA458825 ACW458825 AMS458825 AWO458825 BGK458825 BQG458825 CAC458825 CJY458825 CTU458825 DDQ458825 DNM458825 DXI458825 EHE458825 ERA458825 FAW458825 FKS458825 FUO458825 GEK458825 GOG458825 GYC458825 HHY458825 HRU458825 IBQ458825 ILM458825 IVI458825 JFE458825 JPA458825 JYW458825 KIS458825 KSO458825 LCK458825 LMG458825 LWC458825 MFY458825 MPU458825 MZQ458825 NJM458825 NTI458825 ODE458825 ONA458825 OWW458825 PGS458825 PQO458825 QAK458825 QKG458825 QUC458825 RDY458825 RNU458825 RXQ458825 SHM458825 SRI458825 TBE458825 TLA458825 TUW458825 UES458825 UOO458825 UYK458825 VIG458825 VSC458825 WBY458825 WLU458825 WVQ458825 I524361 JE524361 TA524361 ACW524361 AMS524361 AWO524361 BGK524361 BQG524361 CAC524361 CJY524361 CTU524361 DDQ524361 DNM524361 DXI524361 EHE524361 ERA524361 FAW524361 FKS524361 FUO524361 GEK524361 GOG524361 GYC524361 HHY524361 HRU524361 IBQ524361 ILM524361 IVI524361 JFE524361 JPA524361 JYW524361 KIS524361 KSO524361 LCK524361 LMG524361 LWC524361 MFY524361 MPU524361 MZQ524361 NJM524361 NTI524361 ODE524361 ONA524361 OWW524361 PGS524361 PQO524361 QAK524361 QKG524361 QUC524361 RDY524361 RNU524361 RXQ524361 SHM524361 SRI524361 TBE524361 TLA524361 TUW524361 UES524361 UOO524361 UYK524361 VIG524361 VSC524361 WBY524361 WLU524361 WVQ524361 I589897 JE589897 TA589897 ACW589897 AMS589897 AWO589897 BGK589897 BQG589897 CAC589897 CJY589897 CTU589897 DDQ589897 DNM589897 DXI589897 EHE589897 ERA589897 FAW589897 FKS589897 FUO589897 GEK589897 GOG589897 GYC589897 HHY589897 HRU589897 IBQ589897 ILM589897 IVI589897 JFE589897 JPA589897 JYW589897 KIS589897 KSO589897 LCK589897 LMG589897 LWC589897 MFY589897 MPU589897 MZQ589897 NJM589897 NTI589897 ODE589897 ONA589897 OWW589897 PGS589897 PQO589897 QAK589897 QKG589897 QUC589897 RDY589897 RNU589897 RXQ589897 SHM589897 SRI589897 TBE589897 TLA589897 TUW589897 UES589897 UOO589897 UYK589897 VIG589897 VSC589897 WBY589897 WLU589897 WVQ589897 I655433 JE655433 TA655433 ACW655433 AMS655433 AWO655433 BGK655433 BQG655433 CAC655433 CJY655433 CTU655433 DDQ655433 DNM655433 DXI655433 EHE655433 ERA655433 FAW655433 FKS655433 FUO655433 GEK655433 GOG655433 GYC655433 HHY655433 HRU655433 IBQ655433 ILM655433 IVI655433 JFE655433 JPA655433 JYW655433 KIS655433 KSO655433 LCK655433 LMG655433 LWC655433 MFY655433 MPU655433 MZQ655433 NJM655433 NTI655433 ODE655433 ONA655433 OWW655433 PGS655433 PQO655433 QAK655433 QKG655433 QUC655433 RDY655433 RNU655433 RXQ655433 SHM655433 SRI655433 TBE655433 TLA655433 TUW655433 UES655433 UOO655433 UYK655433 VIG655433 VSC655433 WBY655433 WLU655433 WVQ655433 I720969 JE720969 TA720969 ACW720969 AMS720969 AWO720969 BGK720969 BQG720969 CAC720969 CJY720969 CTU720969 DDQ720969 DNM720969 DXI720969 EHE720969 ERA720969 FAW720969 FKS720969 FUO720969 GEK720969 GOG720969 GYC720969 HHY720969 HRU720969 IBQ720969 ILM720969 IVI720969 JFE720969 JPA720969 JYW720969 KIS720969 KSO720969 LCK720969 LMG720969 LWC720969 MFY720969 MPU720969 MZQ720969 NJM720969 NTI720969 ODE720969 ONA720969 OWW720969 PGS720969 PQO720969 QAK720969 QKG720969 QUC720969 RDY720969 RNU720969 RXQ720969 SHM720969 SRI720969 TBE720969 TLA720969 TUW720969 UES720969 UOO720969 UYK720969 VIG720969 VSC720969 WBY720969 WLU720969 WVQ720969 I786505 JE786505 TA786505 ACW786505 AMS786505 AWO786505 BGK786505 BQG786505 CAC786505 CJY786505 CTU786505 DDQ786505 DNM786505 DXI786505 EHE786505 ERA786505 FAW786505 FKS786505 FUO786505 GEK786505 GOG786505 GYC786505 HHY786505 HRU786505 IBQ786505 ILM786505 IVI786505 JFE786505 JPA786505 JYW786505 KIS786505 KSO786505 LCK786505 LMG786505 LWC786505 MFY786505 MPU786505 MZQ786505 NJM786505 NTI786505 ODE786505 ONA786505 OWW786505 PGS786505 PQO786505 QAK786505 QKG786505 QUC786505 RDY786505 RNU786505 RXQ786505 SHM786505 SRI786505 TBE786505 TLA786505 TUW786505 UES786505 UOO786505 UYK786505 VIG786505 VSC786505 WBY786505 WLU786505 WVQ786505 I852041 JE852041 TA852041 ACW852041 AMS852041 AWO852041 BGK852041 BQG852041 CAC852041 CJY852041 CTU852041 DDQ852041 DNM852041 DXI852041 EHE852041 ERA852041 FAW852041 FKS852041 FUO852041 GEK852041 GOG852041 GYC852041 HHY852041 HRU852041 IBQ852041 ILM852041 IVI852041 JFE852041 JPA852041 JYW852041 KIS852041 KSO852041 LCK852041 LMG852041 LWC852041 MFY852041 MPU852041 MZQ852041 NJM852041 NTI852041 ODE852041 ONA852041 OWW852041 PGS852041 PQO852041 QAK852041 QKG852041 QUC852041 RDY852041 RNU852041 RXQ852041 SHM852041 SRI852041 TBE852041 TLA852041 TUW852041 UES852041 UOO852041 UYK852041 VIG852041 VSC852041 WBY852041 WLU852041 WVQ852041 I917577 JE917577 TA917577 ACW917577 AMS917577 AWO917577 BGK917577 BQG917577 CAC917577 CJY917577 CTU917577 DDQ917577 DNM917577 DXI917577 EHE917577 ERA917577 FAW917577 FKS917577 FUO917577 GEK917577 GOG917577 GYC917577 HHY917577 HRU917577 IBQ917577 ILM917577 IVI917577 JFE917577 JPA917577 JYW917577 KIS917577 KSO917577 LCK917577 LMG917577 LWC917577 MFY917577 MPU917577 MZQ917577 NJM917577 NTI917577 ODE917577 ONA917577 OWW917577 PGS917577 PQO917577 QAK917577 QKG917577 QUC917577 RDY917577 RNU917577 RXQ917577 SHM917577 SRI917577 TBE917577 TLA917577 TUW917577 UES917577 UOO917577 UYK917577 VIG917577 VSC917577 WBY917577 WLU917577 WVQ917577 I983113 JE983113 TA983113 ACW983113 AMS983113 AWO983113 BGK983113 BQG983113 CAC983113 CJY983113 CTU983113 DDQ983113 DNM983113 DXI983113 EHE983113 ERA983113 FAW983113 FKS983113 FUO983113 GEK983113 GOG983113 GYC983113 HHY983113 HRU983113 IBQ983113 ILM983113 IVI983113 JFE983113 JPA983113 JYW983113 KIS983113 KSO983113 LCK983113 LMG983113 LWC983113 MFY983113 MPU983113 MZQ983113 NJM983113 NTI983113 ODE983113 ONA983113 OWW983113 PGS983113 PQO983113 QAK983113 QKG983113 QUC983113 RDY983113 RNU983113 RXQ983113 SHM983113 SRI983113 TBE983113 TLA983113 TUW983113 UES983113 UOO983113 UYK983113 VIG983113 VSC983113 WBY983113 WLU983113 WVQ983113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99FF99"/>
    <pageSetUpPr fitToPage="1"/>
  </sheetPr>
  <dimension ref="A1:BQ180"/>
  <sheetViews>
    <sheetView showGridLines="0" view="pageBreakPreview" zoomScale="90" zoomScaleNormal="75" zoomScaleSheetLayoutView="90" workbookViewId="0">
      <selection activeCell="C1" sqref="C1"/>
    </sheetView>
  </sheetViews>
  <sheetFormatPr defaultRowHeight="12.75"/>
  <cols>
    <col min="1" max="1" width="9.140625" style="1324"/>
    <col min="2" max="2" width="20" style="1324" customWidth="1"/>
    <col min="3" max="3" width="19.85546875" style="1324" customWidth="1"/>
    <col min="4" max="4" width="22.140625" style="1324" customWidth="1"/>
    <col min="5" max="5" width="13.140625" style="1324" customWidth="1"/>
    <col min="6" max="6" width="11.140625" style="1324" customWidth="1"/>
    <col min="7" max="7" width="7.7109375" style="1324" customWidth="1"/>
    <col min="8" max="8" width="8.7109375" style="1324" customWidth="1"/>
    <col min="9" max="9" width="12.140625" style="1324" customWidth="1"/>
    <col min="10" max="10" width="14.5703125" style="1324" customWidth="1"/>
    <col min="11" max="11" width="9" style="1324" customWidth="1"/>
    <col min="12" max="12" width="8.85546875" style="1324" customWidth="1"/>
    <col min="13" max="13" width="11.42578125" style="1324" customWidth="1"/>
    <col min="14" max="14" width="7.5703125" style="1324" customWidth="1"/>
    <col min="15" max="15" width="6.85546875" style="1324" customWidth="1"/>
    <col min="16" max="16" width="35.7109375" style="1324" customWidth="1"/>
    <col min="17" max="19" width="9.140625" style="1324"/>
    <col min="20" max="20" width="9.140625" style="1324" hidden="1" customWidth="1"/>
    <col min="21" max="16384" width="9.140625" style="1324"/>
  </cols>
  <sheetData>
    <row r="1" spans="1:69" ht="26.25" customHeight="1">
      <c r="A1" s="1534" t="s">
        <v>1408</v>
      </c>
      <c r="B1" s="1138"/>
      <c r="C1" s="1137"/>
      <c r="D1" s="1138"/>
      <c r="E1" s="1138"/>
      <c r="F1" s="1140"/>
      <c r="G1" s="1138"/>
      <c r="H1" s="1138"/>
      <c r="I1" s="1138"/>
      <c r="J1" s="1138"/>
    </row>
    <row r="2" spans="1:69" ht="26.25" customHeight="1">
      <c r="B2" s="1138"/>
      <c r="C2" s="1137" t="str">
        <f>'1.1 - APPLIANCES'!C2</f>
        <v>MULTIFAMILY PERFORMANCE PROGRAM</v>
      </c>
      <c r="D2" s="1138"/>
      <c r="E2" s="1138"/>
      <c r="F2" s="1140"/>
      <c r="G2" s="1138"/>
      <c r="H2" s="1138"/>
      <c r="I2" s="1138"/>
      <c r="J2" s="1138"/>
    </row>
    <row r="3" spans="1:69" ht="26.25" customHeight="1">
      <c r="B3" s="1138"/>
      <c r="C3" s="1139" t="s">
        <v>368</v>
      </c>
      <c r="D3" s="1139">
        <f>'Project Info'!C3</f>
        <v>0</v>
      </c>
      <c r="E3" s="1138"/>
      <c r="F3" s="1140"/>
      <c r="G3" s="1138"/>
      <c r="H3" s="1138"/>
      <c r="I3" s="1138"/>
      <c r="J3" s="1138"/>
    </row>
    <row r="4" spans="1:69" ht="26.25" customHeight="1">
      <c r="B4" s="790"/>
      <c r="C4" s="1138"/>
      <c r="D4" s="1138"/>
      <c r="E4" s="1138"/>
      <c r="F4" s="1138"/>
      <c r="G4" s="1138"/>
      <c r="H4" s="1138"/>
      <c r="I4" s="1138"/>
      <c r="J4" s="1138"/>
      <c r="K4" s="795"/>
      <c r="L4" s="1636"/>
      <c r="M4" s="1529"/>
      <c r="N4" s="1529"/>
      <c r="O4" s="1529"/>
      <c r="P4" s="795"/>
    </row>
    <row r="5" spans="1:69" s="1539" customFormat="1" ht="15.75">
      <c r="A5" s="1540"/>
      <c r="B5" s="1158" t="s">
        <v>1563</v>
      </c>
      <c r="C5" s="1159"/>
      <c r="D5" s="1160"/>
      <c r="E5" s="1159"/>
      <c r="F5" s="2788"/>
      <c r="G5" s="2788"/>
      <c r="H5" s="2788"/>
      <c r="I5" s="2788"/>
      <c r="J5" s="2788"/>
      <c r="K5" s="2788"/>
      <c r="L5" s="2788"/>
      <c r="M5" s="2788"/>
      <c r="N5" s="2721" t="s">
        <v>1411</v>
      </c>
      <c r="O5" s="2722"/>
      <c r="P5" s="1352" t="s">
        <v>1412</v>
      </c>
      <c r="Q5" s="1540"/>
      <c r="R5" s="1540"/>
      <c r="S5" s="1540"/>
      <c r="T5" s="1540"/>
      <c r="U5" s="1540"/>
      <c r="V5" s="1540"/>
      <c r="W5" s="1540"/>
      <c r="X5" s="1540"/>
      <c r="Y5" s="1540"/>
      <c r="Z5" s="1540"/>
      <c r="AA5" s="1540"/>
      <c r="AB5" s="1540"/>
      <c r="AC5" s="1540"/>
      <c r="AD5" s="1540"/>
      <c r="AE5" s="1540"/>
      <c r="AF5" s="1540"/>
      <c r="AG5" s="1540"/>
      <c r="AH5" s="1540"/>
      <c r="AI5" s="1540"/>
      <c r="AJ5" s="1540"/>
      <c r="AK5" s="1540"/>
      <c r="AL5" s="1540"/>
      <c r="AM5" s="1540"/>
      <c r="AN5" s="1540"/>
      <c r="AO5" s="1540"/>
      <c r="AP5" s="1540"/>
      <c r="AQ5" s="1540"/>
      <c r="AR5" s="1540"/>
      <c r="AS5" s="1540"/>
      <c r="AT5" s="1540"/>
      <c r="AU5" s="1540"/>
      <c r="AV5" s="1540"/>
      <c r="AW5" s="1540"/>
      <c r="AX5" s="1540"/>
      <c r="AY5" s="1540"/>
      <c r="AZ5" s="1540"/>
      <c r="BA5" s="1540"/>
      <c r="BB5" s="1540"/>
      <c r="BC5" s="1540"/>
      <c r="BD5" s="1540"/>
      <c r="BE5" s="1540"/>
      <c r="BF5" s="1540"/>
      <c r="BG5" s="1540"/>
      <c r="BH5" s="1540"/>
      <c r="BI5" s="1540"/>
      <c r="BJ5" s="1540"/>
      <c r="BK5" s="1540"/>
      <c r="BL5" s="1540"/>
      <c r="BM5" s="1540"/>
      <c r="BN5" s="1540"/>
      <c r="BO5" s="1540"/>
      <c r="BP5" s="1540"/>
      <c r="BQ5" s="1540"/>
    </row>
    <row r="6" spans="1:69">
      <c r="B6" s="2724"/>
      <c r="C6" s="2725"/>
      <c r="D6" s="2726"/>
      <c r="E6" s="2726"/>
      <c r="F6" s="1144"/>
      <c r="G6" s="1144"/>
      <c r="H6" s="1144"/>
      <c r="I6" s="1144"/>
      <c r="J6" s="1144"/>
      <c r="K6" s="2781"/>
      <c r="L6" s="2781"/>
      <c r="M6" s="1650"/>
      <c r="N6" s="2789" t="s">
        <v>1413</v>
      </c>
      <c r="O6" s="2732"/>
      <c r="P6" s="921"/>
      <c r="Q6" s="1528"/>
    </row>
    <row r="7" spans="1:69">
      <c r="B7" s="2724" t="s">
        <v>1414</v>
      </c>
      <c r="C7" s="2725"/>
      <c r="D7" s="2726"/>
      <c r="E7" s="2726"/>
      <c r="F7" s="1144"/>
      <c r="G7" s="1144"/>
      <c r="H7" s="1144"/>
      <c r="I7" s="1144"/>
      <c r="J7" s="1144"/>
      <c r="K7" s="2781"/>
      <c r="L7" s="2781"/>
      <c r="M7" s="1649"/>
      <c r="N7" s="2731"/>
      <c r="O7" s="2732"/>
      <c r="P7" s="922"/>
      <c r="Q7" s="1528"/>
    </row>
    <row r="8" spans="1:69" ht="42" customHeight="1">
      <c r="B8" s="2783" t="s">
        <v>1564</v>
      </c>
      <c r="C8" s="2717"/>
      <c r="D8" s="2717"/>
      <c r="E8" s="2717"/>
      <c r="F8" s="2717"/>
      <c r="G8" s="2717"/>
      <c r="H8" s="2717"/>
      <c r="I8" s="2717"/>
      <c r="J8" s="2717"/>
      <c r="K8" s="2781"/>
      <c r="L8" s="2781"/>
      <c r="M8" s="1649"/>
      <c r="N8" s="2719"/>
      <c r="O8" s="2719"/>
      <c r="P8" s="890"/>
      <c r="Q8" s="1528"/>
    </row>
    <row r="9" spans="1:69" ht="28.5" customHeight="1">
      <c r="A9" s="1528"/>
      <c r="B9" s="2783" t="s">
        <v>1565</v>
      </c>
      <c r="C9" s="2717"/>
      <c r="D9" s="2717"/>
      <c r="E9" s="2717"/>
      <c r="F9" s="2717"/>
      <c r="G9" s="2717"/>
      <c r="H9" s="2717"/>
      <c r="I9" s="2717"/>
      <c r="J9" s="2717"/>
      <c r="K9" s="2781"/>
      <c r="L9" s="2781"/>
      <c r="M9" s="1530"/>
      <c r="N9" s="2718"/>
      <c r="O9" s="2718"/>
      <c r="P9" s="1529"/>
      <c r="Q9" s="1528"/>
    </row>
    <row r="10" spans="1:69" ht="12.75" customHeight="1">
      <c r="A10" s="1528"/>
      <c r="B10" s="1347"/>
      <c r="C10" s="1347"/>
      <c r="D10" s="1347"/>
      <c r="E10" s="1347"/>
      <c r="F10" s="1347"/>
      <c r="G10" s="1347"/>
      <c r="H10" s="1347"/>
      <c r="I10" s="1347"/>
      <c r="J10" s="1347"/>
      <c r="K10" s="1648"/>
      <c r="L10" s="1648"/>
      <c r="M10" s="1530"/>
      <c r="N10" s="1451"/>
      <c r="O10" s="1451"/>
      <c r="P10" s="1529"/>
      <c r="Q10" s="1528"/>
    </row>
    <row r="11" spans="1:69">
      <c r="A11" s="1528"/>
      <c r="B11" s="1146" t="s">
        <v>1416</v>
      </c>
      <c r="C11" s="1144"/>
      <c r="D11" s="1144"/>
      <c r="E11" s="1144"/>
      <c r="F11" s="1144"/>
      <c r="G11" s="1144"/>
      <c r="H11" s="1144"/>
      <c r="I11" s="1144"/>
      <c r="J11" s="1144"/>
      <c r="K11" s="2781"/>
      <c r="L11" s="2781"/>
      <c r="M11" s="1530"/>
      <c r="N11" s="1529"/>
      <c r="O11" s="1529"/>
      <c r="P11" s="1529"/>
      <c r="Q11" s="1528"/>
    </row>
    <row r="12" spans="1:69">
      <c r="A12" s="1528"/>
      <c r="B12" s="1144" t="s">
        <v>1417</v>
      </c>
      <c r="C12" s="1144"/>
      <c r="D12" s="1144"/>
      <c r="E12" s="1144"/>
      <c r="F12" s="1144"/>
      <c r="G12" s="1144"/>
      <c r="H12" s="1144"/>
      <c r="I12" s="1144"/>
      <c r="J12" s="1144"/>
      <c r="K12" s="1529"/>
      <c r="L12" s="1529"/>
      <c r="M12" s="1529"/>
      <c r="N12" s="1529"/>
      <c r="O12" s="1529"/>
      <c r="P12" s="1529"/>
      <c r="Q12" s="1528"/>
    </row>
    <row r="13" spans="1:69">
      <c r="A13" s="1528"/>
      <c r="B13" s="1149" t="s">
        <v>1466</v>
      </c>
      <c r="C13" s="1144"/>
      <c r="D13" s="1144"/>
      <c r="E13" s="1144"/>
      <c r="F13" s="1144"/>
      <c r="G13" s="1144"/>
      <c r="H13" s="1144"/>
      <c r="I13" s="1144"/>
      <c r="J13" s="1144"/>
      <c r="K13" s="1529"/>
      <c r="L13" s="1529"/>
      <c r="M13" s="1529"/>
      <c r="N13" s="1529"/>
      <c r="O13" s="1529"/>
      <c r="P13" s="1529"/>
      <c r="Q13" s="1528"/>
    </row>
    <row r="14" spans="1:69">
      <c r="A14" s="1528"/>
      <c r="B14" s="1149" t="s">
        <v>1566</v>
      </c>
      <c r="C14" s="1144"/>
      <c r="D14" s="1144"/>
      <c r="E14" s="1144"/>
      <c r="F14" s="1144"/>
      <c r="G14" s="1144"/>
      <c r="H14" s="1144"/>
      <c r="I14" s="1144"/>
      <c r="J14" s="1144"/>
      <c r="K14" s="1529"/>
      <c r="L14" s="1529"/>
      <c r="M14" s="1529"/>
      <c r="N14" s="1529"/>
      <c r="O14" s="1529"/>
      <c r="P14" s="1529"/>
      <c r="Q14" s="1528"/>
    </row>
    <row r="15" spans="1:69">
      <c r="A15" s="1528"/>
      <c r="B15" s="1144"/>
      <c r="C15" s="1144"/>
      <c r="D15" s="1144"/>
      <c r="E15" s="1144"/>
      <c r="F15" s="1144"/>
      <c r="G15" s="1144"/>
      <c r="H15" s="1144"/>
      <c r="I15" s="1144"/>
      <c r="J15" s="1144"/>
      <c r="K15" s="1529"/>
      <c r="L15" s="1529"/>
      <c r="M15" s="1529"/>
      <c r="N15" s="1529"/>
      <c r="O15" s="1529"/>
      <c r="P15" s="1529"/>
      <c r="Q15" s="1528"/>
    </row>
    <row r="16" spans="1:69">
      <c r="A16" s="1528"/>
      <c r="B16" s="1148" t="s">
        <v>1420</v>
      </c>
      <c r="C16" s="1144"/>
      <c r="D16" s="1144"/>
      <c r="E16" s="1144"/>
      <c r="F16" s="1144"/>
      <c r="G16" s="1144"/>
      <c r="H16" s="1144"/>
      <c r="I16" s="1144"/>
      <c r="J16" s="1144"/>
      <c r="K16" s="1529"/>
      <c r="L16" s="1529"/>
      <c r="M16" s="1529"/>
      <c r="N16" s="1529"/>
      <c r="O16" s="1529"/>
      <c r="P16" s="1529"/>
      <c r="Q16" s="1528"/>
    </row>
    <row r="17" spans="1:17" ht="41.25" customHeight="1">
      <c r="A17" s="1528"/>
      <c r="B17" s="2671" t="s">
        <v>1567</v>
      </c>
      <c r="C17" s="2671"/>
      <c r="D17" s="2671"/>
      <c r="E17" s="2671"/>
      <c r="F17" s="2671"/>
      <c r="G17" s="2671"/>
      <c r="H17" s="2671"/>
      <c r="I17" s="2671"/>
      <c r="J17" s="2671"/>
      <c r="K17" s="1529"/>
      <c r="L17" s="1529"/>
      <c r="M17" s="1529"/>
      <c r="N17" s="1529"/>
      <c r="O17" s="1529"/>
      <c r="P17" s="1529"/>
      <c r="Q17" s="1528"/>
    </row>
    <row r="18" spans="1:17">
      <c r="A18" s="1528"/>
      <c r="B18" s="2786" t="s">
        <v>2168</v>
      </c>
      <c r="C18" s="2786"/>
      <c r="D18" s="2786"/>
      <c r="E18" s="2786"/>
      <c r="F18" s="2786"/>
      <c r="G18" s="2786"/>
      <c r="H18" s="2786"/>
      <c r="I18" s="2786"/>
      <c r="J18" s="2786"/>
      <c r="K18" s="1529"/>
      <c r="L18" s="1529"/>
      <c r="M18" s="1529"/>
      <c r="N18" s="1529"/>
      <c r="O18" s="1529"/>
      <c r="P18" s="1529"/>
      <c r="Q18" s="1528"/>
    </row>
    <row r="19" spans="1:17" ht="26.25" customHeight="1">
      <c r="A19" s="1528"/>
      <c r="B19" s="2671" t="s">
        <v>1568</v>
      </c>
      <c r="C19" s="2671"/>
      <c r="D19" s="2671"/>
      <c r="E19" s="2671"/>
      <c r="F19" s="2671"/>
      <c r="G19" s="2671"/>
      <c r="H19" s="2671"/>
      <c r="I19" s="2671"/>
      <c r="J19" s="2671"/>
      <c r="K19" s="1529"/>
      <c r="L19" s="1529"/>
      <c r="M19" s="1529"/>
      <c r="N19" s="1529"/>
      <c r="O19" s="1529"/>
      <c r="P19" s="1529"/>
      <c r="Q19" s="1528"/>
    </row>
    <row r="20" spans="1:17">
      <c r="A20" s="1528"/>
      <c r="B20" s="1200" t="s">
        <v>1486</v>
      </c>
      <c r="C20" s="1144"/>
      <c r="D20" s="1144"/>
      <c r="E20" s="1144"/>
      <c r="F20" s="1144"/>
      <c r="G20" s="1144"/>
      <c r="H20" s="1144"/>
      <c r="I20" s="1144"/>
      <c r="J20" s="1144"/>
      <c r="K20" s="1529"/>
      <c r="L20" s="1529"/>
      <c r="M20" s="1529"/>
      <c r="N20" s="1529"/>
      <c r="O20" s="1529"/>
      <c r="P20" s="1529"/>
      <c r="Q20" s="1528"/>
    </row>
    <row r="21" spans="1:17" ht="48.75" customHeight="1">
      <c r="A21" s="1528"/>
      <c r="B21" s="2787" t="s">
        <v>2167</v>
      </c>
      <c r="C21" s="2787"/>
      <c r="D21" s="2787"/>
      <c r="E21" s="2787"/>
      <c r="F21" s="2787"/>
      <c r="G21" s="2787"/>
      <c r="H21" s="2787"/>
      <c r="I21" s="2787"/>
      <c r="J21" s="2787"/>
      <c r="K21" s="1529"/>
      <c r="L21" s="1529"/>
      <c r="M21" s="1529"/>
      <c r="N21" s="1529"/>
      <c r="O21" s="1529"/>
      <c r="P21" s="1529"/>
      <c r="Q21" s="1528"/>
    </row>
    <row r="22" spans="1:17">
      <c r="A22" s="1528"/>
      <c r="B22" s="1648"/>
      <c r="C22" s="1451"/>
      <c r="D22" s="1451"/>
      <c r="E22" s="1451"/>
      <c r="F22" s="1451"/>
      <c r="G22" s="1451"/>
      <c r="H22" s="1451"/>
      <c r="I22" s="1451"/>
      <c r="J22" s="1451"/>
      <c r="K22" s="1451"/>
      <c r="L22" s="1451"/>
      <c r="M22" s="1451"/>
      <c r="N22" s="1529"/>
      <c r="O22" s="1529"/>
      <c r="P22" s="1529"/>
      <c r="Q22" s="1528"/>
    </row>
    <row r="23" spans="1:17" ht="9" customHeight="1">
      <c r="A23" s="1528"/>
      <c r="B23" s="1647"/>
      <c r="C23" s="1529"/>
      <c r="D23" s="1529"/>
      <c r="E23" s="1529"/>
      <c r="F23" s="1529"/>
      <c r="G23" s="1529"/>
      <c r="H23" s="1529"/>
      <c r="I23" s="1529"/>
      <c r="J23" s="1529"/>
      <c r="K23" s="1529"/>
      <c r="L23" s="1529"/>
      <c r="M23" s="1529"/>
      <c r="N23" s="1529"/>
      <c r="O23" s="1529"/>
      <c r="P23" s="1529"/>
      <c r="Q23" s="1528"/>
    </row>
    <row r="24" spans="1:17" ht="9" customHeight="1"/>
    <row r="25" spans="1:17" ht="9" customHeight="1">
      <c r="A25" s="1528"/>
      <c r="B25" s="1529"/>
      <c r="C25" s="1529"/>
      <c r="D25" s="1529"/>
      <c r="E25" s="1529"/>
      <c r="F25" s="1529"/>
      <c r="G25" s="1529"/>
      <c r="H25" s="1529"/>
      <c r="I25" s="1529"/>
      <c r="J25" s="1529"/>
      <c r="K25" s="1529"/>
      <c r="L25" s="1529"/>
      <c r="M25" s="1529"/>
      <c r="N25" s="1529"/>
      <c r="O25" s="1529"/>
      <c r="P25" s="1529"/>
      <c r="Q25" s="1528"/>
    </row>
    <row r="26" spans="1:17" s="1526" customFormat="1" ht="75" customHeight="1">
      <c r="B26" s="1391" t="s">
        <v>1425</v>
      </c>
      <c r="C26" s="1365"/>
      <c r="D26" s="1342"/>
      <c r="E26" s="1342"/>
      <c r="F26" s="1342"/>
      <c r="G26" s="2784" t="s">
        <v>1433</v>
      </c>
      <c r="H26" s="2784"/>
      <c r="I26" s="2785"/>
      <c r="J26" s="2785"/>
      <c r="K26" s="2785"/>
      <c r="L26" s="2785"/>
      <c r="M26" s="1342" t="s">
        <v>1434</v>
      </c>
      <c r="N26" s="1155" t="s">
        <v>1435</v>
      </c>
    </row>
    <row r="27" spans="1:17" ht="150.75" customHeight="1">
      <c r="B27" s="2680" t="s">
        <v>2166</v>
      </c>
      <c r="C27" s="2694"/>
      <c r="D27" s="2694"/>
      <c r="E27" s="2694"/>
      <c r="F27" s="2733"/>
      <c r="G27" s="2778"/>
      <c r="H27" s="2779"/>
      <c r="I27" s="2779"/>
      <c r="J27" s="2779"/>
      <c r="K27" s="2779"/>
      <c r="L27" s="2780"/>
      <c r="M27" s="1359"/>
      <c r="N27" s="1388"/>
    </row>
    <row r="28" spans="1:17" ht="75" customHeight="1">
      <c r="A28" s="1426"/>
      <c r="B28" s="1162" t="s">
        <v>1453</v>
      </c>
      <c r="C28" s="1201" t="s">
        <v>1569</v>
      </c>
      <c r="D28" s="1342" t="s">
        <v>1430</v>
      </c>
      <c r="E28" s="1367" t="s">
        <v>1570</v>
      </c>
      <c r="F28" s="1162" t="s">
        <v>1571</v>
      </c>
      <c r="G28" s="1162" t="s">
        <v>1572</v>
      </c>
      <c r="H28" s="1162" t="s">
        <v>2165</v>
      </c>
      <c r="I28" s="1162" t="s">
        <v>1573</v>
      </c>
      <c r="J28" s="1162" t="s">
        <v>1574</v>
      </c>
      <c r="K28" s="1162" t="s">
        <v>1575</v>
      </c>
      <c r="L28" s="1367" t="s">
        <v>1432</v>
      </c>
      <c r="M28" s="1342" t="s">
        <v>1434</v>
      </c>
      <c r="N28" s="1155" t="s">
        <v>1435</v>
      </c>
      <c r="O28" s="1155" t="s">
        <v>1436</v>
      </c>
      <c r="P28" s="1202" t="s">
        <v>1576</v>
      </c>
      <c r="Q28" s="1646"/>
    </row>
    <row r="29" spans="1:17">
      <c r="B29" s="923"/>
      <c r="C29" s="924"/>
      <c r="D29" s="924"/>
      <c r="E29" s="924"/>
      <c r="F29" s="924"/>
      <c r="G29" s="925"/>
      <c r="H29" s="923"/>
      <c r="I29" s="923"/>
      <c r="J29" s="923"/>
      <c r="K29" s="923"/>
      <c r="L29" s="923"/>
      <c r="M29" s="924"/>
      <c r="N29" s="913"/>
      <c r="O29" s="926"/>
      <c r="P29" s="926"/>
    </row>
    <row r="30" spans="1:17">
      <c r="B30" s="923"/>
      <c r="C30" s="924"/>
      <c r="D30" s="924"/>
      <c r="E30" s="924"/>
      <c r="F30" s="924"/>
      <c r="G30" s="925"/>
      <c r="H30" s="923"/>
      <c r="I30" s="923"/>
      <c r="J30" s="923"/>
      <c r="K30" s="923"/>
      <c r="L30" s="923"/>
      <c r="M30" s="924"/>
      <c r="N30" s="913"/>
      <c r="O30" s="926"/>
      <c r="P30" s="926"/>
    </row>
    <row r="31" spans="1:17">
      <c r="B31" s="923"/>
      <c r="C31" s="924"/>
      <c r="D31" s="924"/>
      <c r="E31" s="924"/>
      <c r="F31" s="924"/>
      <c r="G31" s="925"/>
      <c r="H31" s="923"/>
      <c r="I31" s="923"/>
      <c r="J31" s="923"/>
      <c r="K31" s="923"/>
      <c r="L31" s="923"/>
      <c r="M31" s="924"/>
      <c r="N31" s="913"/>
      <c r="O31" s="926"/>
      <c r="P31" s="926"/>
    </row>
    <row r="32" spans="1:17">
      <c r="B32" s="923"/>
      <c r="C32" s="924"/>
      <c r="D32" s="924"/>
      <c r="E32" s="924"/>
      <c r="F32" s="924"/>
      <c r="G32" s="925"/>
      <c r="H32" s="923"/>
      <c r="I32" s="923"/>
      <c r="J32" s="923"/>
      <c r="K32" s="923"/>
      <c r="L32" s="923"/>
      <c r="M32" s="924"/>
      <c r="N32" s="913"/>
      <c r="O32" s="926"/>
      <c r="P32" s="926"/>
    </row>
    <row r="33" spans="1:17">
      <c r="B33" s="923"/>
      <c r="C33" s="924"/>
      <c r="D33" s="924"/>
      <c r="E33" s="924"/>
      <c r="F33" s="924"/>
      <c r="G33" s="925"/>
      <c r="H33" s="923"/>
      <c r="I33" s="923"/>
      <c r="J33" s="923"/>
      <c r="K33" s="923"/>
      <c r="L33" s="923"/>
      <c r="M33" s="924"/>
      <c r="N33" s="913"/>
      <c r="O33" s="926"/>
      <c r="P33" s="926"/>
    </row>
    <row r="34" spans="1:17">
      <c r="B34" s="923"/>
      <c r="C34" s="924"/>
      <c r="D34" s="924"/>
      <c r="E34" s="924"/>
      <c r="F34" s="924"/>
      <c r="G34" s="925"/>
      <c r="H34" s="923"/>
      <c r="I34" s="923"/>
      <c r="J34" s="923"/>
      <c r="K34" s="923"/>
      <c r="L34" s="923"/>
      <c r="M34" s="924"/>
      <c r="N34" s="913"/>
      <c r="O34" s="926"/>
      <c r="P34" s="926"/>
    </row>
    <row r="35" spans="1:17">
      <c r="B35" s="923"/>
      <c r="C35" s="925"/>
      <c r="D35" s="925"/>
      <c r="E35" s="924"/>
      <c r="F35" s="924"/>
      <c r="G35" s="925"/>
      <c r="H35" s="923"/>
      <c r="I35" s="923"/>
      <c r="J35" s="923"/>
      <c r="K35" s="923"/>
      <c r="L35" s="923"/>
      <c r="M35" s="924"/>
      <c r="N35" s="913"/>
      <c r="O35" s="926"/>
      <c r="P35" s="926"/>
    </row>
    <row r="36" spans="1:17" ht="7.5" customHeight="1">
      <c r="A36" s="1528"/>
      <c r="B36" s="1529"/>
      <c r="C36" s="1529"/>
      <c r="D36" s="1529"/>
      <c r="E36" s="1529"/>
      <c r="F36" s="1529"/>
      <c r="G36" s="1529"/>
      <c r="H36" s="1529"/>
      <c r="I36" s="1529"/>
      <c r="J36" s="1529"/>
      <c r="K36" s="1529"/>
      <c r="L36" s="1529"/>
      <c r="M36" s="1529"/>
      <c r="N36" s="1529"/>
      <c r="O36" s="1529"/>
      <c r="P36" s="1529"/>
      <c r="Q36" s="1528"/>
    </row>
    <row r="37" spans="1:17" ht="7.5" customHeight="1">
      <c r="B37" s="1548"/>
      <c r="C37" s="1547"/>
      <c r="D37" s="1547"/>
      <c r="E37" s="1547"/>
      <c r="F37" s="1546"/>
      <c r="G37" s="795"/>
      <c r="H37" s="1545"/>
      <c r="I37" s="1545"/>
      <c r="J37" s="1545"/>
      <c r="K37" s="1545"/>
      <c r="L37" s="1544"/>
      <c r="M37" s="1544"/>
      <c r="N37" s="1544"/>
      <c r="O37" s="1544"/>
      <c r="P37" s="1543"/>
    </row>
    <row r="38" spans="1:17" s="1526" customFormat="1" ht="75" customHeight="1">
      <c r="B38" s="1338"/>
      <c r="C38" s="1365"/>
      <c r="D38" s="1342" t="s">
        <v>1426</v>
      </c>
      <c r="E38" s="2710" t="s">
        <v>1427</v>
      </c>
      <c r="F38" s="2710"/>
      <c r="G38" s="2679" t="s">
        <v>1433</v>
      </c>
      <c r="H38" s="2679"/>
      <c r="I38" s="2708"/>
      <c r="J38" s="2708"/>
      <c r="K38" s="2708"/>
      <c r="L38" s="2708"/>
      <c r="M38" s="1342" t="s">
        <v>1434</v>
      </c>
      <c r="N38" s="1155" t="s">
        <v>1435</v>
      </c>
      <c r="O38" s="1155" t="s">
        <v>1436</v>
      </c>
      <c r="P38" s="1163" t="s">
        <v>1576</v>
      </c>
    </row>
    <row r="39" spans="1:17" ht="240" customHeight="1">
      <c r="A39" s="1526"/>
      <c r="B39" s="2672" t="s">
        <v>2164</v>
      </c>
      <c r="C39" s="2782"/>
      <c r="D39" s="891" t="str">
        <f>IF('Project Info'!C4='Project Info'!P32,'Prescriptive Path Checklist'!C48,IF('Project Info'!C4='Project Info'!P33,#REF!,"&lt;Select compliance path on the 'Project Info' tab&gt;"))</f>
        <v>Specified windows must be double or triple-pane, with low-emissivity glass or coatings. 
Based on the climate zone, the specified windows meet the Prescriptive requirements.
Window frames must be separated from conductive framing (metal &amp; masonry studs, lintels &amp; sills) with insulation designed to serve as a thermal break.</v>
      </c>
      <c r="E39" s="2706">
        <f>ERMs!B31</f>
        <v>0</v>
      </c>
      <c r="F39" s="2707"/>
      <c r="G39" s="2775"/>
      <c r="H39" s="2776"/>
      <c r="I39" s="2777"/>
      <c r="J39" s="2777"/>
      <c r="K39" s="2777"/>
      <c r="L39" s="2777"/>
      <c r="M39" s="1359"/>
      <c r="N39" s="1388"/>
      <c r="O39" s="1383"/>
      <c r="P39" s="1383"/>
    </row>
    <row r="40" spans="1:17" ht="86.25" customHeight="1">
      <c r="A40" s="1426"/>
      <c r="B40" s="2703" t="s">
        <v>1577</v>
      </c>
      <c r="C40" s="2739"/>
      <c r="D40" s="2739"/>
      <c r="E40" s="2739"/>
      <c r="F40" s="2739"/>
      <c r="G40" s="2775"/>
      <c r="H40" s="2776"/>
      <c r="I40" s="2777"/>
      <c r="J40" s="2777"/>
      <c r="K40" s="2777"/>
      <c r="L40" s="2777"/>
      <c r="M40" s="1359"/>
      <c r="N40" s="1388"/>
      <c r="O40" s="1383"/>
      <c r="P40" s="1383"/>
    </row>
    <row r="41" spans="1:17" ht="54.75" customHeight="1">
      <c r="B41" s="2773" t="s">
        <v>1578</v>
      </c>
      <c r="C41" s="2774"/>
      <c r="D41" s="2774"/>
      <c r="E41" s="2774"/>
      <c r="F41" s="2774"/>
      <c r="G41" s="2774"/>
      <c r="H41" s="2774"/>
      <c r="I41" s="2774"/>
      <c r="J41" s="2774"/>
      <c r="K41" s="2774"/>
      <c r="L41" s="2774"/>
      <c r="M41" s="2774"/>
      <c r="N41" s="2774"/>
      <c r="O41" s="1383"/>
      <c r="P41" s="1383"/>
    </row>
    <row r="42" spans="1:17" ht="53.25" customHeight="1">
      <c r="B42" s="2773" t="s">
        <v>1579</v>
      </c>
      <c r="C42" s="2774"/>
      <c r="D42" s="2774"/>
      <c r="E42" s="2774"/>
      <c r="F42" s="2774"/>
      <c r="G42" s="2774"/>
      <c r="H42" s="2774"/>
      <c r="I42" s="2774"/>
      <c r="J42" s="2774"/>
      <c r="K42" s="2774"/>
      <c r="L42" s="2774"/>
      <c r="M42" s="2774"/>
      <c r="N42" s="2774"/>
      <c r="O42" s="1383"/>
      <c r="P42" s="1383"/>
    </row>
    <row r="43" spans="1:17" ht="42.75" customHeight="1">
      <c r="B43" s="2773" t="s">
        <v>2163</v>
      </c>
      <c r="C43" s="2774"/>
      <c r="D43" s="2774"/>
      <c r="E43" s="2774"/>
      <c r="F43" s="2774"/>
      <c r="G43" s="2774"/>
      <c r="H43" s="2774"/>
      <c r="I43" s="2774"/>
      <c r="J43" s="2774"/>
      <c r="K43" s="2774"/>
      <c r="L43" s="2774"/>
      <c r="M43" s="2774"/>
      <c r="N43" s="2774"/>
      <c r="O43" s="1383"/>
      <c r="P43" s="1383"/>
    </row>
    <row r="44" spans="1:17" ht="38.25" customHeight="1">
      <c r="A44" s="1426"/>
      <c r="B44" s="2773" t="s">
        <v>1580</v>
      </c>
      <c r="C44" s="2774"/>
      <c r="D44" s="2774"/>
      <c r="E44" s="2774"/>
      <c r="F44" s="2774"/>
      <c r="G44" s="2774"/>
      <c r="H44" s="2774"/>
      <c r="I44" s="2774"/>
      <c r="J44" s="2774"/>
      <c r="K44" s="2774"/>
      <c r="L44" s="2774"/>
      <c r="M44" s="2774"/>
      <c r="N44" s="2774"/>
      <c r="O44" s="1383"/>
      <c r="P44" s="1383"/>
    </row>
    <row r="45" spans="1:17" ht="41.25" customHeight="1">
      <c r="B45" s="2773" t="s">
        <v>2162</v>
      </c>
      <c r="C45" s="2774"/>
      <c r="D45" s="2774"/>
      <c r="E45" s="2774"/>
      <c r="F45" s="2774"/>
      <c r="G45" s="2774"/>
      <c r="H45" s="2774"/>
      <c r="I45" s="2774"/>
      <c r="J45" s="2774"/>
      <c r="K45" s="2774"/>
      <c r="L45" s="2774"/>
      <c r="M45" s="2774"/>
      <c r="N45" s="2774"/>
      <c r="O45" s="1383"/>
      <c r="P45" s="1383"/>
    </row>
    <row r="46" spans="1:17" ht="54" customHeight="1">
      <c r="B46" s="2773" t="s">
        <v>1581</v>
      </c>
      <c r="C46" s="2774"/>
      <c r="D46" s="2774"/>
      <c r="E46" s="2774"/>
      <c r="F46" s="2774"/>
      <c r="G46" s="2774"/>
      <c r="H46" s="2774"/>
      <c r="I46" s="2774"/>
      <c r="J46" s="2774"/>
      <c r="K46" s="2774"/>
      <c r="L46" s="2774"/>
      <c r="M46" s="2774"/>
      <c r="N46" s="2774"/>
      <c r="O46" s="1383"/>
      <c r="P46" s="1383"/>
    </row>
    <row r="47" spans="1:17">
      <c r="D47" s="1535"/>
    </row>
    <row r="51" spans="4:20" ht="25.5">
      <c r="D51" s="1524"/>
      <c r="T51" s="1426" t="s">
        <v>362</v>
      </c>
    </row>
    <row r="52" spans="4:20" ht="25.5">
      <c r="D52" s="1524"/>
      <c r="T52" s="1426" t="s">
        <v>364</v>
      </c>
    </row>
    <row r="53" spans="4:20" ht="25.5">
      <c r="D53" s="1524"/>
      <c r="T53" s="1426" t="s">
        <v>363</v>
      </c>
    </row>
    <row r="180" spans="2:2" ht="18">
      <c r="B180" s="794"/>
    </row>
  </sheetData>
  <sheetProtection formatCells="0" formatColumns="0" formatRows="0" insertColumns="0" insertRows="0"/>
  <mergeCells count="35">
    <mergeCell ref="N5:O5"/>
    <mergeCell ref="F5:M5"/>
    <mergeCell ref="N6:O6"/>
    <mergeCell ref="N7:O7"/>
    <mergeCell ref="B6:E6"/>
    <mergeCell ref="K6:L6"/>
    <mergeCell ref="B19:J19"/>
    <mergeCell ref="B21:J21"/>
    <mergeCell ref="B7:E7"/>
    <mergeCell ref="N8:O8"/>
    <mergeCell ref="K8:L8"/>
    <mergeCell ref="K7:L7"/>
    <mergeCell ref="B8:J8"/>
    <mergeCell ref="B40:F40"/>
    <mergeCell ref="G40:L40"/>
    <mergeCell ref="E38:F38"/>
    <mergeCell ref="E39:F39"/>
    <mergeCell ref="N9:O9"/>
    <mergeCell ref="G27:L27"/>
    <mergeCell ref="B27:F27"/>
    <mergeCell ref="K9:L9"/>
    <mergeCell ref="G38:L38"/>
    <mergeCell ref="K11:L11"/>
    <mergeCell ref="G39:L39"/>
    <mergeCell ref="B39:C39"/>
    <mergeCell ref="B9:J9"/>
    <mergeCell ref="B17:J17"/>
    <mergeCell ref="G26:L26"/>
    <mergeCell ref="B18:J18"/>
    <mergeCell ref="B46:N46"/>
    <mergeCell ref="B41:N41"/>
    <mergeCell ref="B42:N42"/>
    <mergeCell ref="B43:N43"/>
    <mergeCell ref="B44:N44"/>
    <mergeCell ref="B45:N45"/>
  </mergeCells>
  <dataValidations count="2">
    <dataValidation type="list" allowBlank="1" showInputMessage="1" showErrorMessage="1" sqref="N27 JJ27 TF27 ADB27 AMX27 AWT27 BGP27 BQL27 CAH27 CKD27 CTZ27 DDV27 DNR27 DXN27 EHJ27 ERF27 FBB27 FKX27 FUT27 GEP27 GOL27 GYH27 HID27 HRZ27 IBV27 ILR27 IVN27 JFJ27 JPF27 JZB27 KIX27 KST27 LCP27 LML27 LWH27 MGD27 MPZ27 MZV27 NJR27 NTN27 ODJ27 ONF27 OXB27 PGX27 PQT27 QAP27 QKL27 QUH27 RED27 RNZ27 RXV27 SHR27 SRN27 TBJ27 TLF27 TVB27 UEX27 UOT27 UYP27 VIL27 VSH27 WCD27 WLZ27 WVV27 N65563 JJ65563 TF65563 ADB65563 AMX65563 AWT65563 BGP65563 BQL65563 CAH65563 CKD65563 CTZ65563 DDV65563 DNR65563 DXN65563 EHJ65563 ERF65563 FBB65563 FKX65563 FUT65563 GEP65563 GOL65563 GYH65563 HID65563 HRZ65563 IBV65563 ILR65563 IVN65563 JFJ65563 JPF65563 JZB65563 KIX65563 KST65563 LCP65563 LML65563 LWH65563 MGD65563 MPZ65563 MZV65563 NJR65563 NTN65563 ODJ65563 ONF65563 OXB65563 PGX65563 PQT65563 QAP65563 QKL65563 QUH65563 RED65563 RNZ65563 RXV65563 SHR65563 SRN65563 TBJ65563 TLF65563 TVB65563 UEX65563 UOT65563 UYP65563 VIL65563 VSH65563 WCD65563 WLZ65563 WVV65563 N131099 JJ131099 TF131099 ADB131099 AMX131099 AWT131099 BGP131099 BQL131099 CAH131099 CKD131099 CTZ131099 DDV131099 DNR131099 DXN131099 EHJ131099 ERF131099 FBB131099 FKX131099 FUT131099 GEP131099 GOL131099 GYH131099 HID131099 HRZ131099 IBV131099 ILR131099 IVN131099 JFJ131099 JPF131099 JZB131099 KIX131099 KST131099 LCP131099 LML131099 LWH131099 MGD131099 MPZ131099 MZV131099 NJR131099 NTN131099 ODJ131099 ONF131099 OXB131099 PGX131099 PQT131099 QAP131099 QKL131099 QUH131099 RED131099 RNZ131099 RXV131099 SHR131099 SRN131099 TBJ131099 TLF131099 TVB131099 UEX131099 UOT131099 UYP131099 VIL131099 VSH131099 WCD131099 WLZ131099 WVV131099 N196635 JJ196635 TF196635 ADB196635 AMX196635 AWT196635 BGP196635 BQL196635 CAH196635 CKD196635 CTZ196635 DDV196635 DNR196635 DXN196635 EHJ196635 ERF196635 FBB196635 FKX196635 FUT196635 GEP196635 GOL196635 GYH196635 HID196635 HRZ196635 IBV196635 ILR196635 IVN196635 JFJ196635 JPF196635 JZB196635 KIX196635 KST196635 LCP196635 LML196635 LWH196635 MGD196635 MPZ196635 MZV196635 NJR196635 NTN196635 ODJ196635 ONF196635 OXB196635 PGX196635 PQT196635 QAP196635 QKL196635 QUH196635 RED196635 RNZ196635 RXV196635 SHR196635 SRN196635 TBJ196635 TLF196635 TVB196635 UEX196635 UOT196635 UYP196635 VIL196635 VSH196635 WCD196635 WLZ196635 WVV196635 N262171 JJ262171 TF262171 ADB262171 AMX262171 AWT262171 BGP262171 BQL262171 CAH262171 CKD262171 CTZ262171 DDV262171 DNR262171 DXN262171 EHJ262171 ERF262171 FBB262171 FKX262171 FUT262171 GEP262171 GOL262171 GYH262171 HID262171 HRZ262171 IBV262171 ILR262171 IVN262171 JFJ262171 JPF262171 JZB262171 KIX262171 KST262171 LCP262171 LML262171 LWH262171 MGD262171 MPZ262171 MZV262171 NJR262171 NTN262171 ODJ262171 ONF262171 OXB262171 PGX262171 PQT262171 QAP262171 QKL262171 QUH262171 RED262171 RNZ262171 RXV262171 SHR262171 SRN262171 TBJ262171 TLF262171 TVB262171 UEX262171 UOT262171 UYP262171 VIL262171 VSH262171 WCD262171 WLZ262171 WVV262171 N327707 JJ327707 TF327707 ADB327707 AMX327707 AWT327707 BGP327707 BQL327707 CAH327707 CKD327707 CTZ327707 DDV327707 DNR327707 DXN327707 EHJ327707 ERF327707 FBB327707 FKX327707 FUT327707 GEP327707 GOL327707 GYH327707 HID327707 HRZ327707 IBV327707 ILR327707 IVN327707 JFJ327707 JPF327707 JZB327707 KIX327707 KST327707 LCP327707 LML327707 LWH327707 MGD327707 MPZ327707 MZV327707 NJR327707 NTN327707 ODJ327707 ONF327707 OXB327707 PGX327707 PQT327707 QAP327707 QKL327707 QUH327707 RED327707 RNZ327707 RXV327707 SHR327707 SRN327707 TBJ327707 TLF327707 TVB327707 UEX327707 UOT327707 UYP327707 VIL327707 VSH327707 WCD327707 WLZ327707 WVV327707 N393243 JJ393243 TF393243 ADB393243 AMX393243 AWT393243 BGP393243 BQL393243 CAH393243 CKD393243 CTZ393243 DDV393243 DNR393243 DXN393243 EHJ393243 ERF393243 FBB393243 FKX393243 FUT393243 GEP393243 GOL393243 GYH393243 HID393243 HRZ393243 IBV393243 ILR393243 IVN393243 JFJ393243 JPF393243 JZB393243 KIX393243 KST393243 LCP393243 LML393243 LWH393243 MGD393243 MPZ393243 MZV393243 NJR393243 NTN393243 ODJ393243 ONF393243 OXB393243 PGX393243 PQT393243 QAP393243 QKL393243 QUH393243 RED393243 RNZ393243 RXV393243 SHR393243 SRN393243 TBJ393243 TLF393243 TVB393243 UEX393243 UOT393243 UYP393243 VIL393243 VSH393243 WCD393243 WLZ393243 WVV393243 N458779 JJ458779 TF458779 ADB458779 AMX458779 AWT458779 BGP458779 BQL458779 CAH458779 CKD458779 CTZ458779 DDV458779 DNR458779 DXN458779 EHJ458779 ERF458779 FBB458779 FKX458779 FUT458779 GEP458779 GOL458779 GYH458779 HID458779 HRZ458779 IBV458779 ILR458779 IVN458779 JFJ458779 JPF458779 JZB458779 KIX458779 KST458779 LCP458779 LML458779 LWH458779 MGD458779 MPZ458779 MZV458779 NJR458779 NTN458779 ODJ458779 ONF458779 OXB458779 PGX458779 PQT458779 QAP458779 QKL458779 QUH458779 RED458779 RNZ458779 RXV458779 SHR458779 SRN458779 TBJ458779 TLF458779 TVB458779 UEX458779 UOT458779 UYP458779 VIL458779 VSH458779 WCD458779 WLZ458779 WVV458779 N524315 JJ524315 TF524315 ADB524315 AMX524315 AWT524315 BGP524315 BQL524315 CAH524315 CKD524315 CTZ524315 DDV524315 DNR524315 DXN524315 EHJ524315 ERF524315 FBB524315 FKX524315 FUT524315 GEP524315 GOL524315 GYH524315 HID524315 HRZ524315 IBV524315 ILR524315 IVN524315 JFJ524315 JPF524315 JZB524315 KIX524315 KST524315 LCP524315 LML524315 LWH524315 MGD524315 MPZ524315 MZV524315 NJR524315 NTN524315 ODJ524315 ONF524315 OXB524315 PGX524315 PQT524315 QAP524315 QKL524315 QUH524315 RED524315 RNZ524315 RXV524315 SHR524315 SRN524315 TBJ524315 TLF524315 TVB524315 UEX524315 UOT524315 UYP524315 VIL524315 VSH524315 WCD524315 WLZ524315 WVV524315 N589851 JJ589851 TF589851 ADB589851 AMX589851 AWT589851 BGP589851 BQL589851 CAH589851 CKD589851 CTZ589851 DDV589851 DNR589851 DXN589851 EHJ589851 ERF589851 FBB589851 FKX589851 FUT589851 GEP589851 GOL589851 GYH589851 HID589851 HRZ589851 IBV589851 ILR589851 IVN589851 JFJ589851 JPF589851 JZB589851 KIX589851 KST589851 LCP589851 LML589851 LWH589851 MGD589851 MPZ589851 MZV589851 NJR589851 NTN589851 ODJ589851 ONF589851 OXB589851 PGX589851 PQT589851 QAP589851 QKL589851 QUH589851 RED589851 RNZ589851 RXV589851 SHR589851 SRN589851 TBJ589851 TLF589851 TVB589851 UEX589851 UOT589851 UYP589851 VIL589851 VSH589851 WCD589851 WLZ589851 WVV589851 N655387 JJ655387 TF655387 ADB655387 AMX655387 AWT655387 BGP655387 BQL655387 CAH655387 CKD655387 CTZ655387 DDV655387 DNR655387 DXN655387 EHJ655387 ERF655387 FBB655387 FKX655387 FUT655387 GEP655387 GOL655387 GYH655387 HID655387 HRZ655387 IBV655387 ILR655387 IVN655387 JFJ655387 JPF655387 JZB655387 KIX655387 KST655387 LCP655387 LML655387 LWH655387 MGD655387 MPZ655387 MZV655387 NJR655387 NTN655387 ODJ655387 ONF655387 OXB655387 PGX655387 PQT655387 QAP655387 QKL655387 QUH655387 RED655387 RNZ655387 RXV655387 SHR655387 SRN655387 TBJ655387 TLF655387 TVB655387 UEX655387 UOT655387 UYP655387 VIL655387 VSH655387 WCD655387 WLZ655387 WVV655387 N720923 JJ720923 TF720923 ADB720923 AMX720923 AWT720923 BGP720923 BQL720923 CAH720923 CKD720923 CTZ720923 DDV720923 DNR720923 DXN720923 EHJ720923 ERF720923 FBB720923 FKX720923 FUT720923 GEP720923 GOL720923 GYH720923 HID720923 HRZ720923 IBV720923 ILR720923 IVN720923 JFJ720923 JPF720923 JZB720923 KIX720923 KST720923 LCP720923 LML720923 LWH720923 MGD720923 MPZ720923 MZV720923 NJR720923 NTN720923 ODJ720923 ONF720923 OXB720923 PGX720923 PQT720923 QAP720923 QKL720923 QUH720923 RED720923 RNZ720923 RXV720923 SHR720923 SRN720923 TBJ720923 TLF720923 TVB720923 UEX720923 UOT720923 UYP720923 VIL720923 VSH720923 WCD720923 WLZ720923 WVV720923 N786459 JJ786459 TF786459 ADB786459 AMX786459 AWT786459 BGP786459 BQL786459 CAH786459 CKD786459 CTZ786459 DDV786459 DNR786459 DXN786459 EHJ786459 ERF786459 FBB786459 FKX786459 FUT786459 GEP786459 GOL786459 GYH786459 HID786459 HRZ786459 IBV786459 ILR786459 IVN786459 JFJ786459 JPF786459 JZB786459 KIX786459 KST786459 LCP786459 LML786459 LWH786459 MGD786459 MPZ786459 MZV786459 NJR786459 NTN786459 ODJ786459 ONF786459 OXB786459 PGX786459 PQT786459 QAP786459 QKL786459 QUH786459 RED786459 RNZ786459 RXV786459 SHR786459 SRN786459 TBJ786459 TLF786459 TVB786459 UEX786459 UOT786459 UYP786459 VIL786459 VSH786459 WCD786459 WLZ786459 WVV786459 N851995 JJ851995 TF851995 ADB851995 AMX851995 AWT851995 BGP851995 BQL851995 CAH851995 CKD851995 CTZ851995 DDV851995 DNR851995 DXN851995 EHJ851995 ERF851995 FBB851995 FKX851995 FUT851995 GEP851995 GOL851995 GYH851995 HID851995 HRZ851995 IBV851995 ILR851995 IVN851995 JFJ851995 JPF851995 JZB851995 KIX851995 KST851995 LCP851995 LML851995 LWH851995 MGD851995 MPZ851995 MZV851995 NJR851995 NTN851995 ODJ851995 ONF851995 OXB851995 PGX851995 PQT851995 QAP851995 QKL851995 QUH851995 RED851995 RNZ851995 RXV851995 SHR851995 SRN851995 TBJ851995 TLF851995 TVB851995 UEX851995 UOT851995 UYP851995 VIL851995 VSH851995 WCD851995 WLZ851995 WVV851995 N917531 JJ917531 TF917531 ADB917531 AMX917531 AWT917531 BGP917531 BQL917531 CAH917531 CKD917531 CTZ917531 DDV917531 DNR917531 DXN917531 EHJ917531 ERF917531 FBB917531 FKX917531 FUT917531 GEP917531 GOL917531 GYH917531 HID917531 HRZ917531 IBV917531 ILR917531 IVN917531 JFJ917531 JPF917531 JZB917531 KIX917531 KST917531 LCP917531 LML917531 LWH917531 MGD917531 MPZ917531 MZV917531 NJR917531 NTN917531 ODJ917531 ONF917531 OXB917531 PGX917531 PQT917531 QAP917531 QKL917531 QUH917531 RED917531 RNZ917531 RXV917531 SHR917531 SRN917531 TBJ917531 TLF917531 TVB917531 UEX917531 UOT917531 UYP917531 VIL917531 VSH917531 WCD917531 WLZ917531 WVV917531 N983067 JJ983067 TF983067 ADB983067 AMX983067 AWT983067 BGP983067 BQL983067 CAH983067 CKD983067 CTZ983067 DDV983067 DNR983067 DXN983067 EHJ983067 ERF983067 FBB983067 FKX983067 FUT983067 GEP983067 GOL983067 GYH983067 HID983067 HRZ983067 IBV983067 ILR983067 IVN983067 JFJ983067 JPF983067 JZB983067 KIX983067 KST983067 LCP983067 LML983067 LWH983067 MGD983067 MPZ983067 MZV983067 NJR983067 NTN983067 ODJ983067 ONF983067 OXB983067 PGX983067 PQT983067 QAP983067 QKL983067 QUH983067 RED983067 RNZ983067 RXV983067 SHR983067 SRN983067 TBJ983067 TLF983067 TVB983067 UEX983067 UOT983067 UYP983067 VIL983067 VSH983067 WCD983067 WLZ983067 WVV983067 N29:O35 JJ29:JK35 TF29:TG35 ADB29:ADC35 AMX29:AMY35 AWT29:AWU35 BGP29:BGQ35 BQL29:BQM35 CAH29:CAI35 CKD29:CKE35 CTZ29:CUA35 DDV29:DDW35 DNR29:DNS35 DXN29:DXO35 EHJ29:EHK35 ERF29:ERG35 FBB29:FBC35 FKX29:FKY35 FUT29:FUU35 GEP29:GEQ35 GOL29:GOM35 GYH29:GYI35 HID29:HIE35 HRZ29:HSA35 IBV29:IBW35 ILR29:ILS35 IVN29:IVO35 JFJ29:JFK35 JPF29:JPG35 JZB29:JZC35 KIX29:KIY35 KST29:KSU35 LCP29:LCQ35 LML29:LMM35 LWH29:LWI35 MGD29:MGE35 MPZ29:MQA35 MZV29:MZW35 NJR29:NJS35 NTN29:NTO35 ODJ29:ODK35 ONF29:ONG35 OXB29:OXC35 PGX29:PGY35 PQT29:PQU35 QAP29:QAQ35 QKL29:QKM35 QUH29:QUI35 RED29:REE35 RNZ29:ROA35 RXV29:RXW35 SHR29:SHS35 SRN29:SRO35 TBJ29:TBK35 TLF29:TLG35 TVB29:TVC35 UEX29:UEY35 UOT29:UOU35 UYP29:UYQ35 VIL29:VIM35 VSH29:VSI35 WCD29:WCE35 WLZ29:WMA35 WVV29:WVW35 N65565:O65571 JJ65565:JK65571 TF65565:TG65571 ADB65565:ADC65571 AMX65565:AMY65571 AWT65565:AWU65571 BGP65565:BGQ65571 BQL65565:BQM65571 CAH65565:CAI65571 CKD65565:CKE65571 CTZ65565:CUA65571 DDV65565:DDW65571 DNR65565:DNS65571 DXN65565:DXO65571 EHJ65565:EHK65571 ERF65565:ERG65571 FBB65565:FBC65571 FKX65565:FKY65571 FUT65565:FUU65571 GEP65565:GEQ65571 GOL65565:GOM65571 GYH65565:GYI65571 HID65565:HIE65571 HRZ65565:HSA65571 IBV65565:IBW65571 ILR65565:ILS65571 IVN65565:IVO65571 JFJ65565:JFK65571 JPF65565:JPG65571 JZB65565:JZC65571 KIX65565:KIY65571 KST65565:KSU65571 LCP65565:LCQ65571 LML65565:LMM65571 LWH65565:LWI65571 MGD65565:MGE65571 MPZ65565:MQA65571 MZV65565:MZW65571 NJR65565:NJS65571 NTN65565:NTO65571 ODJ65565:ODK65571 ONF65565:ONG65571 OXB65565:OXC65571 PGX65565:PGY65571 PQT65565:PQU65571 QAP65565:QAQ65571 QKL65565:QKM65571 QUH65565:QUI65571 RED65565:REE65571 RNZ65565:ROA65571 RXV65565:RXW65571 SHR65565:SHS65571 SRN65565:SRO65571 TBJ65565:TBK65571 TLF65565:TLG65571 TVB65565:TVC65571 UEX65565:UEY65571 UOT65565:UOU65571 UYP65565:UYQ65571 VIL65565:VIM65571 VSH65565:VSI65571 WCD65565:WCE65571 WLZ65565:WMA65571 WVV65565:WVW65571 N131101:O131107 JJ131101:JK131107 TF131101:TG131107 ADB131101:ADC131107 AMX131101:AMY131107 AWT131101:AWU131107 BGP131101:BGQ131107 BQL131101:BQM131107 CAH131101:CAI131107 CKD131101:CKE131107 CTZ131101:CUA131107 DDV131101:DDW131107 DNR131101:DNS131107 DXN131101:DXO131107 EHJ131101:EHK131107 ERF131101:ERG131107 FBB131101:FBC131107 FKX131101:FKY131107 FUT131101:FUU131107 GEP131101:GEQ131107 GOL131101:GOM131107 GYH131101:GYI131107 HID131101:HIE131107 HRZ131101:HSA131107 IBV131101:IBW131107 ILR131101:ILS131107 IVN131101:IVO131107 JFJ131101:JFK131107 JPF131101:JPG131107 JZB131101:JZC131107 KIX131101:KIY131107 KST131101:KSU131107 LCP131101:LCQ131107 LML131101:LMM131107 LWH131101:LWI131107 MGD131101:MGE131107 MPZ131101:MQA131107 MZV131101:MZW131107 NJR131101:NJS131107 NTN131101:NTO131107 ODJ131101:ODK131107 ONF131101:ONG131107 OXB131101:OXC131107 PGX131101:PGY131107 PQT131101:PQU131107 QAP131101:QAQ131107 QKL131101:QKM131107 QUH131101:QUI131107 RED131101:REE131107 RNZ131101:ROA131107 RXV131101:RXW131107 SHR131101:SHS131107 SRN131101:SRO131107 TBJ131101:TBK131107 TLF131101:TLG131107 TVB131101:TVC131107 UEX131101:UEY131107 UOT131101:UOU131107 UYP131101:UYQ131107 VIL131101:VIM131107 VSH131101:VSI131107 WCD131101:WCE131107 WLZ131101:WMA131107 WVV131101:WVW131107 N196637:O196643 JJ196637:JK196643 TF196637:TG196643 ADB196637:ADC196643 AMX196637:AMY196643 AWT196637:AWU196643 BGP196637:BGQ196643 BQL196637:BQM196643 CAH196637:CAI196643 CKD196637:CKE196643 CTZ196637:CUA196643 DDV196637:DDW196643 DNR196637:DNS196643 DXN196637:DXO196643 EHJ196637:EHK196643 ERF196637:ERG196643 FBB196637:FBC196643 FKX196637:FKY196643 FUT196637:FUU196643 GEP196637:GEQ196643 GOL196637:GOM196643 GYH196637:GYI196643 HID196637:HIE196643 HRZ196637:HSA196643 IBV196637:IBW196643 ILR196637:ILS196643 IVN196637:IVO196643 JFJ196637:JFK196643 JPF196637:JPG196643 JZB196637:JZC196643 KIX196637:KIY196643 KST196637:KSU196643 LCP196637:LCQ196643 LML196637:LMM196643 LWH196637:LWI196643 MGD196637:MGE196643 MPZ196637:MQA196643 MZV196637:MZW196643 NJR196637:NJS196643 NTN196637:NTO196643 ODJ196637:ODK196643 ONF196637:ONG196643 OXB196637:OXC196643 PGX196637:PGY196643 PQT196637:PQU196643 QAP196637:QAQ196643 QKL196637:QKM196643 QUH196637:QUI196643 RED196637:REE196643 RNZ196637:ROA196643 RXV196637:RXW196643 SHR196637:SHS196643 SRN196637:SRO196643 TBJ196637:TBK196643 TLF196637:TLG196643 TVB196637:TVC196643 UEX196637:UEY196643 UOT196637:UOU196643 UYP196637:UYQ196643 VIL196637:VIM196643 VSH196637:VSI196643 WCD196637:WCE196643 WLZ196637:WMA196643 WVV196637:WVW196643 N262173:O262179 JJ262173:JK262179 TF262173:TG262179 ADB262173:ADC262179 AMX262173:AMY262179 AWT262173:AWU262179 BGP262173:BGQ262179 BQL262173:BQM262179 CAH262173:CAI262179 CKD262173:CKE262179 CTZ262173:CUA262179 DDV262173:DDW262179 DNR262173:DNS262179 DXN262173:DXO262179 EHJ262173:EHK262179 ERF262173:ERG262179 FBB262173:FBC262179 FKX262173:FKY262179 FUT262173:FUU262179 GEP262173:GEQ262179 GOL262173:GOM262179 GYH262173:GYI262179 HID262173:HIE262179 HRZ262173:HSA262179 IBV262173:IBW262179 ILR262173:ILS262179 IVN262173:IVO262179 JFJ262173:JFK262179 JPF262173:JPG262179 JZB262173:JZC262179 KIX262173:KIY262179 KST262173:KSU262179 LCP262173:LCQ262179 LML262173:LMM262179 LWH262173:LWI262179 MGD262173:MGE262179 MPZ262173:MQA262179 MZV262173:MZW262179 NJR262173:NJS262179 NTN262173:NTO262179 ODJ262173:ODK262179 ONF262173:ONG262179 OXB262173:OXC262179 PGX262173:PGY262179 PQT262173:PQU262179 QAP262173:QAQ262179 QKL262173:QKM262179 QUH262173:QUI262179 RED262173:REE262179 RNZ262173:ROA262179 RXV262173:RXW262179 SHR262173:SHS262179 SRN262173:SRO262179 TBJ262173:TBK262179 TLF262173:TLG262179 TVB262173:TVC262179 UEX262173:UEY262179 UOT262173:UOU262179 UYP262173:UYQ262179 VIL262173:VIM262179 VSH262173:VSI262179 WCD262173:WCE262179 WLZ262173:WMA262179 WVV262173:WVW262179 N327709:O327715 JJ327709:JK327715 TF327709:TG327715 ADB327709:ADC327715 AMX327709:AMY327715 AWT327709:AWU327715 BGP327709:BGQ327715 BQL327709:BQM327715 CAH327709:CAI327715 CKD327709:CKE327715 CTZ327709:CUA327715 DDV327709:DDW327715 DNR327709:DNS327715 DXN327709:DXO327715 EHJ327709:EHK327715 ERF327709:ERG327715 FBB327709:FBC327715 FKX327709:FKY327715 FUT327709:FUU327715 GEP327709:GEQ327715 GOL327709:GOM327715 GYH327709:GYI327715 HID327709:HIE327715 HRZ327709:HSA327715 IBV327709:IBW327715 ILR327709:ILS327715 IVN327709:IVO327715 JFJ327709:JFK327715 JPF327709:JPG327715 JZB327709:JZC327715 KIX327709:KIY327715 KST327709:KSU327715 LCP327709:LCQ327715 LML327709:LMM327715 LWH327709:LWI327715 MGD327709:MGE327715 MPZ327709:MQA327715 MZV327709:MZW327715 NJR327709:NJS327715 NTN327709:NTO327715 ODJ327709:ODK327715 ONF327709:ONG327715 OXB327709:OXC327715 PGX327709:PGY327715 PQT327709:PQU327715 QAP327709:QAQ327715 QKL327709:QKM327715 QUH327709:QUI327715 RED327709:REE327715 RNZ327709:ROA327715 RXV327709:RXW327715 SHR327709:SHS327715 SRN327709:SRO327715 TBJ327709:TBK327715 TLF327709:TLG327715 TVB327709:TVC327715 UEX327709:UEY327715 UOT327709:UOU327715 UYP327709:UYQ327715 VIL327709:VIM327715 VSH327709:VSI327715 WCD327709:WCE327715 WLZ327709:WMA327715 WVV327709:WVW327715 N393245:O393251 JJ393245:JK393251 TF393245:TG393251 ADB393245:ADC393251 AMX393245:AMY393251 AWT393245:AWU393251 BGP393245:BGQ393251 BQL393245:BQM393251 CAH393245:CAI393251 CKD393245:CKE393251 CTZ393245:CUA393251 DDV393245:DDW393251 DNR393245:DNS393251 DXN393245:DXO393251 EHJ393245:EHK393251 ERF393245:ERG393251 FBB393245:FBC393251 FKX393245:FKY393251 FUT393245:FUU393251 GEP393245:GEQ393251 GOL393245:GOM393251 GYH393245:GYI393251 HID393245:HIE393251 HRZ393245:HSA393251 IBV393245:IBW393251 ILR393245:ILS393251 IVN393245:IVO393251 JFJ393245:JFK393251 JPF393245:JPG393251 JZB393245:JZC393251 KIX393245:KIY393251 KST393245:KSU393251 LCP393245:LCQ393251 LML393245:LMM393251 LWH393245:LWI393251 MGD393245:MGE393251 MPZ393245:MQA393251 MZV393245:MZW393251 NJR393245:NJS393251 NTN393245:NTO393251 ODJ393245:ODK393251 ONF393245:ONG393251 OXB393245:OXC393251 PGX393245:PGY393251 PQT393245:PQU393251 QAP393245:QAQ393251 QKL393245:QKM393251 QUH393245:QUI393251 RED393245:REE393251 RNZ393245:ROA393251 RXV393245:RXW393251 SHR393245:SHS393251 SRN393245:SRO393251 TBJ393245:TBK393251 TLF393245:TLG393251 TVB393245:TVC393251 UEX393245:UEY393251 UOT393245:UOU393251 UYP393245:UYQ393251 VIL393245:VIM393251 VSH393245:VSI393251 WCD393245:WCE393251 WLZ393245:WMA393251 WVV393245:WVW393251 N458781:O458787 JJ458781:JK458787 TF458781:TG458787 ADB458781:ADC458787 AMX458781:AMY458787 AWT458781:AWU458787 BGP458781:BGQ458787 BQL458781:BQM458787 CAH458781:CAI458787 CKD458781:CKE458787 CTZ458781:CUA458787 DDV458781:DDW458787 DNR458781:DNS458787 DXN458781:DXO458787 EHJ458781:EHK458787 ERF458781:ERG458787 FBB458781:FBC458787 FKX458781:FKY458787 FUT458781:FUU458787 GEP458781:GEQ458787 GOL458781:GOM458787 GYH458781:GYI458787 HID458781:HIE458787 HRZ458781:HSA458787 IBV458781:IBW458787 ILR458781:ILS458787 IVN458781:IVO458787 JFJ458781:JFK458787 JPF458781:JPG458787 JZB458781:JZC458787 KIX458781:KIY458787 KST458781:KSU458787 LCP458781:LCQ458787 LML458781:LMM458787 LWH458781:LWI458787 MGD458781:MGE458787 MPZ458781:MQA458787 MZV458781:MZW458787 NJR458781:NJS458787 NTN458781:NTO458787 ODJ458781:ODK458787 ONF458781:ONG458787 OXB458781:OXC458787 PGX458781:PGY458787 PQT458781:PQU458787 QAP458781:QAQ458787 QKL458781:QKM458787 QUH458781:QUI458787 RED458781:REE458787 RNZ458781:ROA458787 RXV458781:RXW458787 SHR458781:SHS458787 SRN458781:SRO458787 TBJ458781:TBK458787 TLF458781:TLG458787 TVB458781:TVC458787 UEX458781:UEY458787 UOT458781:UOU458787 UYP458781:UYQ458787 VIL458781:VIM458787 VSH458781:VSI458787 WCD458781:WCE458787 WLZ458781:WMA458787 WVV458781:WVW458787 N524317:O524323 JJ524317:JK524323 TF524317:TG524323 ADB524317:ADC524323 AMX524317:AMY524323 AWT524317:AWU524323 BGP524317:BGQ524323 BQL524317:BQM524323 CAH524317:CAI524323 CKD524317:CKE524323 CTZ524317:CUA524323 DDV524317:DDW524323 DNR524317:DNS524323 DXN524317:DXO524323 EHJ524317:EHK524323 ERF524317:ERG524323 FBB524317:FBC524323 FKX524317:FKY524323 FUT524317:FUU524323 GEP524317:GEQ524323 GOL524317:GOM524323 GYH524317:GYI524323 HID524317:HIE524323 HRZ524317:HSA524323 IBV524317:IBW524323 ILR524317:ILS524323 IVN524317:IVO524323 JFJ524317:JFK524323 JPF524317:JPG524323 JZB524317:JZC524323 KIX524317:KIY524323 KST524317:KSU524323 LCP524317:LCQ524323 LML524317:LMM524323 LWH524317:LWI524323 MGD524317:MGE524323 MPZ524317:MQA524323 MZV524317:MZW524323 NJR524317:NJS524323 NTN524317:NTO524323 ODJ524317:ODK524323 ONF524317:ONG524323 OXB524317:OXC524323 PGX524317:PGY524323 PQT524317:PQU524323 QAP524317:QAQ524323 QKL524317:QKM524323 QUH524317:QUI524323 RED524317:REE524323 RNZ524317:ROA524323 RXV524317:RXW524323 SHR524317:SHS524323 SRN524317:SRO524323 TBJ524317:TBK524323 TLF524317:TLG524323 TVB524317:TVC524323 UEX524317:UEY524323 UOT524317:UOU524323 UYP524317:UYQ524323 VIL524317:VIM524323 VSH524317:VSI524323 WCD524317:WCE524323 WLZ524317:WMA524323 WVV524317:WVW524323 N589853:O589859 JJ589853:JK589859 TF589853:TG589859 ADB589853:ADC589859 AMX589853:AMY589859 AWT589853:AWU589859 BGP589853:BGQ589859 BQL589853:BQM589859 CAH589853:CAI589859 CKD589853:CKE589859 CTZ589853:CUA589859 DDV589853:DDW589859 DNR589853:DNS589859 DXN589853:DXO589859 EHJ589853:EHK589859 ERF589853:ERG589859 FBB589853:FBC589859 FKX589853:FKY589859 FUT589853:FUU589859 GEP589853:GEQ589859 GOL589853:GOM589859 GYH589853:GYI589859 HID589853:HIE589859 HRZ589853:HSA589859 IBV589853:IBW589859 ILR589853:ILS589859 IVN589853:IVO589859 JFJ589853:JFK589859 JPF589853:JPG589859 JZB589853:JZC589859 KIX589853:KIY589859 KST589853:KSU589859 LCP589853:LCQ589859 LML589853:LMM589859 LWH589853:LWI589859 MGD589853:MGE589859 MPZ589853:MQA589859 MZV589853:MZW589859 NJR589853:NJS589859 NTN589853:NTO589859 ODJ589853:ODK589859 ONF589853:ONG589859 OXB589853:OXC589859 PGX589853:PGY589859 PQT589853:PQU589859 QAP589853:QAQ589859 QKL589853:QKM589859 QUH589853:QUI589859 RED589853:REE589859 RNZ589853:ROA589859 RXV589853:RXW589859 SHR589853:SHS589859 SRN589853:SRO589859 TBJ589853:TBK589859 TLF589853:TLG589859 TVB589853:TVC589859 UEX589853:UEY589859 UOT589853:UOU589859 UYP589853:UYQ589859 VIL589853:VIM589859 VSH589853:VSI589859 WCD589853:WCE589859 WLZ589853:WMA589859 WVV589853:WVW589859 N655389:O655395 JJ655389:JK655395 TF655389:TG655395 ADB655389:ADC655395 AMX655389:AMY655395 AWT655389:AWU655395 BGP655389:BGQ655395 BQL655389:BQM655395 CAH655389:CAI655395 CKD655389:CKE655395 CTZ655389:CUA655395 DDV655389:DDW655395 DNR655389:DNS655395 DXN655389:DXO655395 EHJ655389:EHK655395 ERF655389:ERG655395 FBB655389:FBC655395 FKX655389:FKY655395 FUT655389:FUU655395 GEP655389:GEQ655395 GOL655389:GOM655395 GYH655389:GYI655395 HID655389:HIE655395 HRZ655389:HSA655395 IBV655389:IBW655395 ILR655389:ILS655395 IVN655389:IVO655395 JFJ655389:JFK655395 JPF655389:JPG655395 JZB655389:JZC655395 KIX655389:KIY655395 KST655389:KSU655395 LCP655389:LCQ655395 LML655389:LMM655395 LWH655389:LWI655395 MGD655389:MGE655395 MPZ655389:MQA655395 MZV655389:MZW655395 NJR655389:NJS655395 NTN655389:NTO655395 ODJ655389:ODK655395 ONF655389:ONG655395 OXB655389:OXC655395 PGX655389:PGY655395 PQT655389:PQU655395 QAP655389:QAQ655395 QKL655389:QKM655395 QUH655389:QUI655395 RED655389:REE655395 RNZ655389:ROA655395 RXV655389:RXW655395 SHR655389:SHS655395 SRN655389:SRO655395 TBJ655389:TBK655395 TLF655389:TLG655395 TVB655389:TVC655395 UEX655389:UEY655395 UOT655389:UOU655395 UYP655389:UYQ655395 VIL655389:VIM655395 VSH655389:VSI655395 WCD655389:WCE655395 WLZ655389:WMA655395 WVV655389:WVW655395 N720925:O720931 JJ720925:JK720931 TF720925:TG720931 ADB720925:ADC720931 AMX720925:AMY720931 AWT720925:AWU720931 BGP720925:BGQ720931 BQL720925:BQM720931 CAH720925:CAI720931 CKD720925:CKE720931 CTZ720925:CUA720931 DDV720925:DDW720931 DNR720925:DNS720931 DXN720925:DXO720931 EHJ720925:EHK720931 ERF720925:ERG720931 FBB720925:FBC720931 FKX720925:FKY720931 FUT720925:FUU720931 GEP720925:GEQ720931 GOL720925:GOM720931 GYH720925:GYI720931 HID720925:HIE720931 HRZ720925:HSA720931 IBV720925:IBW720931 ILR720925:ILS720931 IVN720925:IVO720931 JFJ720925:JFK720931 JPF720925:JPG720931 JZB720925:JZC720931 KIX720925:KIY720931 KST720925:KSU720931 LCP720925:LCQ720931 LML720925:LMM720931 LWH720925:LWI720931 MGD720925:MGE720931 MPZ720925:MQA720931 MZV720925:MZW720931 NJR720925:NJS720931 NTN720925:NTO720931 ODJ720925:ODK720931 ONF720925:ONG720931 OXB720925:OXC720931 PGX720925:PGY720931 PQT720925:PQU720931 QAP720925:QAQ720931 QKL720925:QKM720931 QUH720925:QUI720931 RED720925:REE720931 RNZ720925:ROA720931 RXV720925:RXW720931 SHR720925:SHS720931 SRN720925:SRO720931 TBJ720925:TBK720931 TLF720925:TLG720931 TVB720925:TVC720931 UEX720925:UEY720931 UOT720925:UOU720931 UYP720925:UYQ720931 VIL720925:VIM720931 VSH720925:VSI720931 WCD720925:WCE720931 WLZ720925:WMA720931 WVV720925:WVW720931 N786461:O786467 JJ786461:JK786467 TF786461:TG786467 ADB786461:ADC786467 AMX786461:AMY786467 AWT786461:AWU786467 BGP786461:BGQ786467 BQL786461:BQM786467 CAH786461:CAI786467 CKD786461:CKE786467 CTZ786461:CUA786467 DDV786461:DDW786467 DNR786461:DNS786467 DXN786461:DXO786467 EHJ786461:EHK786467 ERF786461:ERG786467 FBB786461:FBC786467 FKX786461:FKY786467 FUT786461:FUU786467 GEP786461:GEQ786467 GOL786461:GOM786467 GYH786461:GYI786467 HID786461:HIE786467 HRZ786461:HSA786467 IBV786461:IBW786467 ILR786461:ILS786467 IVN786461:IVO786467 JFJ786461:JFK786467 JPF786461:JPG786467 JZB786461:JZC786467 KIX786461:KIY786467 KST786461:KSU786467 LCP786461:LCQ786467 LML786461:LMM786467 LWH786461:LWI786467 MGD786461:MGE786467 MPZ786461:MQA786467 MZV786461:MZW786467 NJR786461:NJS786467 NTN786461:NTO786467 ODJ786461:ODK786467 ONF786461:ONG786467 OXB786461:OXC786467 PGX786461:PGY786467 PQT786461:PQU786467 QAP786461:QAQ786467 QKL786461:QKM786467 QUH786461:QUI786467 RED786461:REE786467 RNZ786461:ROA786467 RXV786461:RXW786467 SHR786461:SHS786467 SRN786461:SRO786467 TBJ786461:TBK786467 TLF786461:TLG786467 TVB786461:TVC786467 UEX786461:UEY786467 UOT786461:UOU786467 UYP786461:UYQ786467 VIL786461:VIM786467 VSH786461:VSI786467 WCD786461:WCE786467 WLZ786461:WMA786467 WVV786461:WVW786467 N851997:O852003 JJ851997:JK852003 TF851997:TG852003 ADB851997:ADC852003 AMX851997:AMY852003 AWT851997:AWU852003 BGP851997:BGQ852003 BQL851997:BQM852003 CAH851997:CAI852003 CKD851997:CKE852003 CTZ851997:CUA852003 DDV851997:DDW852003 DNR851997:DNS852003 DXN851997:DXO852003 EHJ851997:EHK852003 ERF851997:ERG852003 FBB851997:FBC852003 FKX851997:FKY852003 FUT851997:FUU852003 GEP851997:GEQ852003 GOL851997:GOM852003 GYH851997:GYI852003 HID851997:HIE852003 HRZ851997:HSA852003 IBV851997:IBW852003 ILR851997:ILS852003 IVN851997:IVO852003 JFJ851997:JFK852003 JPF851997:JPG852003 JZB851997:JZC852003 KIX851997:KIY852003 KST851997:KSU852003 LCP851997:LCQ852003 LML851997:LMM852003 LWH851997:LWI852003 MGD851997:MGE852003 MPZ851997:MQA852003 MZV851997:MZW852003 NJR851997:NJS852003 NTN851997:NTO852003 ODJ851997:ODK852003 ONF851997:ONG852003 OXB851997:OXC852003 PGX851997:PGY852003 PQT851997:PQU852003 QAP851997:QAQ852003 QKL851997:QKM852003 QUH851997:QUI852003 RED851997:REE852003 RNZ851997:ROA852003 RXV851997:RXW852003 SHR851997:SHS852003 SRN851997:SRO852003 TBJ851997:TBK852003 TLF851997:TLG852003 TVB851997:TVC852003 UEX851997:UEY852003 UOT851997:UOU852003 UYP851997:UYQ852003 VIL851997:VIM852003 VSH851997:VSI852003 WCD851997:WCE852003 WLZ851997:WMA852003 WVV851997:WVW852003 N917533:O917539 JJ917533:JK917539 TF917533:TG917539 ADB917533:ADC917539 AMX917533:AMY917539 AWT917533:AWU917539 BGP917533:BGQ917539 BQL917533:BQM917539 CAH917533:CAI917539 CKD917533:CKE917539 CTZ917533:CUA917539 DDV917533:DDW917539 DNR917533:DNS917539 DXN917533:DXO917539 EHJ917533:EHK917539 ERF917533:ERG917539 FBB917533:FBC917539 FKX917533:FKY917539 FUT917533:FUU917539 GEP917533:GEQ917539 GOL917533:GOM917539 GYH917533:GYI917539 HID917533:HIE917539 HRZ917533:HSA917539 IBV917533:IBW917539 ILR917533:ILS917539 IVN917533:IVO917539 JFJ917533:JFK917539 JPF917533:JPG917539 JZB917533:JZC917539 KIX917533:KIY917539 KST917533:KSU917539 LCP917533:LCQ917539 LML917533:LMM917539 LWH917533:LWI917539 MGD917533:MGE917539 MPZ917533:MQA917539 MZV917533:MZW917539 NJR917533:NJS917539 NTN917533:NTO917539 ODJ917533:ODK917539 ONF917533:ONG917539 OXB917533:OXC917539 PGX917533:PGY917539 PQT917533:PQU917539 QAP917533:QAQ917539 QKL917533:QKM917539 QUH917533:QUI917539 RED917533:REE917539 RNZ917533:ROA917539 RXV917533:RXW917539 SHR917533:SHS917539 SRN917533:SRO917539 TBJ917533:TBK917539 TLF917533:TLG917539 TVB917533:TVC917539 UEX917533:UEY917539 UOT917533:UOU917539 UYP917533:UYQ917539 VIL917533:VIM917539 VSH917533:VSI917539 WCD917533:WCE917539 WLZ917533:WMA917539 WVV917533:WVW917539 N983069:O983075 JJ983069:JK983075 TF983069:TG983075 ADB983069:ADC983075 AMX983069:AMY983075 AWT983069:AWU983075 BGP983069:BGQ983075 BQL983069:BQM983075 CAH983069:CAI983075 CKD983069:CKE983075 CTZ983069:CUA983075 DDV983069:DDW983075 DNR983069:DNS983075 DXN983069:DXO983075 EHJ983069:EHK983075 ERF983069:ERG983075 FBB983069:FBC983075 FKX983069:FKY983075 FUT983069:FUU983075 GEP983069:GEQ983075 GOL983069:GOM983075 GYH983069:GYI983075 HID983069:HIE983075 HRZ983069:HSA983075 IBV983069:IBW983075 ILR983069:ILS983075 IVN983069:IVO983075 JFJ983069:JFK983075 JPF983069:JPG983075 JZB983069:JZC983075 KIX983069:KIY983075 KST983069:KSU983075 LCP983069:LCQ983075 LML983069:LMM983075 LWH983069:LWI983075 MGD983069:MGE983075 MPZ983069:MQA983075 MZV983069:MZW983075 NJR983069:NJS983075 NTN983069:NTO983075 ODJ983069:ODK983075 ONF983069:ONG983075 OXB983069:OXC983075 PGX983069:PGY983075 PQT983069:PQU983075 QAP983069:QAQ983075 QKL983069:QKM983075 QUH983069:QUI983075 RED983069:REE983075 RNZ983069:ROA983075 RXV983069:RXW983075 SHR983069:SHS983075 SRN983069:SRO983075 TBJ983069:TBK983075 TLF983069:TLG983075 TVB983069:TVC983075 UEX983069:UEY983075 UOT983069:UOU983075 UYP983069:UYQ983075 VIL983069:VIM983075 VSH983069:VSI983075 WCD983069:WCE983075 WLZ983069:WMA983075 WVV983069:WVW983075 N39:O40 JJ39:JK40 TF39:TG40 ADB39:ADC40 AMX39:AMY40 AWT39:AWU40 BGP39:BGQ40 BQL39:BQM40 CAH39:CAI40 CKD39:CKE40 CTZ39:CUA40 DDV39:DDW40 DNR39:DNS40 DXN39:DXO40 EHJ39:EHK40 ERF39:ERG40 FBB39:FBC40 FKX39:FKY40 FUT39:FUU40 GEP39:GEQ40 GOL39:GOM40 GYH39:GYI40 HID39:HIE40 HRZ39:HSA40 IBV39:IBW40 ILR39:ILS40 IVN39:IVO40 JFJ39:JFK40 JPF39:JPG40 JZB39:JZC40 KIX39:KIY40 KST39:KSU40 LCP39:LCQ40 LML39:LMM40 LWH39:LWI40 MGD39:MGE40 MPZ39:MQA40 MZV39:MZW40 NJR39:NJS40 NTN39:NTO40 ODJ39:ODK40 ONF39:ONG40 OXB39:OXC40 PGX39:PGY40 PQT39:PQU40 QAP39:QAQ40 QKL39:QKM40 QUH39:QUI40 RED39:REE40 RNZ39:ROA40 RXV39:RXW40 SHR39:SHS40 SRN39:SRO40 TBJ39:TBK40 TLF39:TLG40 TVB39:TVC40 UEX39:UEY40 UOT39:UOU40 UYP39:UYQ40 VIL39:VIM40 VSH39:VSI40 WCD39:WCE40 WLZ39:WMA40 WVV39:WVW40 N65575:O65576 JJ65575:JK65576 TF65575:TG65576 ADB65575:ADC65576 AMX65575:AMY65576 AWT65575:AWU65576 BGP65575:BGQ65576 BQL65575:BQM65576 CAH65575:CAI65576 CKD65575:CKE65576 CTZ65575:CUA65576 DDV65575:DDW65576 DNR65575:DNS65576 DXN65575:DXO65576 EHJ65575:EHK65576 ERF65575:ERG65576 FBB65575:FBC65576 FKX65575:FKY65576 FUT65575:FUU65576 GEP65575:GEQ65576 GOL65575:GOM65576 GYH65575:GYI65576 HID65575:HIE65576 HRZ65575:HSA65576 IBV65575:IBW65576 ILR65575:ILS65576 IVN65575:IVO65576 JFJ65575:JFK65576 JPF65575:JPG65576 JZB65575:JZC65576 KIX65575:KIY65576 KST65575:KSU65576 LCP65575:LCQ65576 LML65575:LMM65576 LWH65575:LWI65576 MGD65575:MGE65576 MPZ65575:MQA65576 MZV65575:MZW65576 NJR65575:NJS65576 NTN65575:NTO65576 ODJ65575:ODK65576 ONF65575:ONG65576 OXB65575:OXC65576 PGX65575:PGY65576 PQT65575:PQU65576 QAP65575:QAQ65576 QKL65575:QKM65576 QUH65575:QUI65576 RED65575:REE65576 RNZ65575:ROA65576 RXV65575:RXW65576 SHR65575:SHS65576 SRN65575:SRO65576 TBJ65575:TBK65576 TLF65575:TLG65576 TVB65575:TVC65576 UEX65575:UEY65576 UOT65575:UOU65576 UYP65575:UYQ65576 VIL65575:VIM65576 VSH65575:VSI65576 WCD65575:WCE65576 WLZ65575:WMA65576 WVV65575:WVW65576 N131111:O131112 JJ131111:JK131112 TF131111:TG131112 ADB131111:ADC131112 AMX131111:AMY131112 AWT131111:AWU131112 BGP131111:BGQ131112 BQL131111:BQM131112 CAH131111:CAI131112 CKD131111:CKE131112 CTZ131111:CUA131112 DDV131111:DDW131112 DNR131111:DNS131112 DXN131111:DXO131112 EHJ131111:EHK131112 ERF131111:ERG131112 FBB131111:FBC131112 FKX131111:FKY131112 FUT131111:FUU131112 GEP131111:GEQ131112 GOL131111:GOM131112 GYH131111:GYI131112 HID131111:HIE131112 HRZ131111:HSA131112 IBV131111:IBW131112 ILR131111:ILS131112 IVN131111:IVO131112 JFJ131111:JFK131112 JPF131111:JPG131112 JZB131111:JZC131112 KIX131111:KIY131112 KST131111:KSU131112 LCP131111:LCQ131112 LML131111:LMM131112 LWH131111:LWI131112 MGD131111:MGE131112 MPZ131111:MQA131112 MZV131111:MZW131112 NJR131111:NJS131112 NTN131111:NTO131112 ODJ131111:ODK131112 ONF131111:ONG131112 OXB131111:OXC131112 PGX131111:PGY131112 PQT131111:PQU131112 QAP131111:QAQ131112 QKL131111:QKM131112 QUH131111:QUI131112 RED131111:REE131112 RNZ131111:ROA131112 RXV131111:RXW131112 SHR131111:SHS131112 SRN131111:SRO131112 TBJ131111:TBK131112 TLF131111:TLG131112 TVB131111:TVC131112 UEX131111:UEY131112 UOT131111:UOU131112 UYP131111:UYQ131112 VIL131111:VIM131112 VSH131111:VSI131112 WCD131111:WCE131112 WLZ131111:WMA131112 WVV131111:WVW131112 N196647:O196648 JJ196647:JK196648 TF196647:TG196648 ADB196647:ADC196648 AMX196647:AMY196648 AWT196647:AWU196648 BGP196647:BGQ196648 BQL196647:BQM196648 CAH196647:CAI196648 CKD196647:CKE196648 CTZ196647:CUA196648 DDV196647:DDW196648 DNR196647:DNS196648 DXN196647:DXO196648 EHJ196647:EHK196648 ERF196647:ERG196648 FBB196647:FBC196648 FKX196647:FKY196648 FUT196647:FUU196648 GEP196647:GEQ196648 GOL196647:GOM196648 GYH196647:GYI196648 HID196647:HIE196648 HRZ196647:HSA196648 IBV196647:IBW196648 ILR196647:ILS196648 IVN196647:IVO196648 JFJ196647:JFK196648 JPF196647:JPG196648 JZB196647:JZC196648 KIX196647:KIY196648 KST196647:KSU196648 LCP196647:LCQ196648 LML196647:LMM196648 LWH196647:LWI196648 MGD196647:MGE196648 MPZ196647:MQA196648 MZV196647:MZW196648 NJR196647:NJS196648 NTN196647:NTO196648 ODJ196647:ODK196648 ONF196647:ONG196648 OXB196647:OXC196648 PGX196647:PGY196648 PQT196647:PQU196648 QAP196647:QAQ196648 QKL196647:QKM196648 QUH196647:QUI196648 RED196647:REE196648 RNZ196647:ROA196648 RXV196647:RXW196648 SHR196647:SHS196648 SRN196647:SRO196648 TBJ196647:TBK196648 TLF196647:TLG196648 TVB196647:TVC196648 UEX196647:UEY196648 UOT196647:UOU196648 UYP196647:UYQ196648 VIL196647:VIM196648 VSH196647:VSI196648 WCD196647:WCE196648 WLZ196647:WMA196648 WVV196647:WVW196648 N262183:O262184 JJ262183:JK262184 TF262183:TG262184 ADB262183:ADC262184 AMX262183:AMY262184 AWT262183:AWU262184 BGP262183:BGQ262184 BQL262183:BQM262184 CAH262183:CAI262184 CKD262183:CKE262184 CTZ262183:CUA262184 DDV262183:DDW262184 DNR262183:DNS262184 DXN262183:DXO262184 EHJ262183:EHK262184 ERF262183:ERG262184 FBB262183:FBC262184 FKX262183:FKY262184 FUT262183:FUU262184 GEP262183:GEQ262184 GOL262183:GOM262184 GYH262183:GYI262184 HID262183:HIE262184 HRZ262183:HSA262184 IBV262183:IBW262184 ILR262183:ILS262184 IVN262183:IVO262184 JFJ262183:JFK262184 JPF262183:JPG262184 JZB262183:JZC262184 KIX262183:KIY262184 KST262183:KSU262184 LCP262183:LCQ262184 LML262183:LMM262184 LWH262183:LWI262184 MGD262183:MGE262184 MPZ262183:MQA262184 MZV262183:MZW262184 NJR262183:NJS262184 NTN262183:NTO262184 ODJ262183:ODK262184 ONF262183:ONG262184 OXB262183:OXC262184 PGX262183:PGY262184 PQT262183:PQU262184 QAP262183:QAQ262184 QKL262183:QKM262184 QUH262183:QUI262184 RED262183:REE262184 RNZ262183:ROA262184 RXV262183:RXW262184 SHR262183:SHS262184 SRN262183:SRO262184 TBJ262183:TBK262184 TLF262183:TLG262184 TVB262183:TVC262184 UEX262183:UEY262184 UOT262183:UOU262184 UYP262183:UYQ262184 VIL262183:VIM262184 VSH262183:VSI262184 WCD262183:WCE262184 WLZ262183:WMA262184 WVV262183:WVW262184 N327719:O327720 JJ327719:JK327720 TF327719:TG327720 ADB327719:ADC327720 AMX327719:AMY327720 AWT327719:AWU327720 BGP327719:BGQ327720 BQL327719:BQM327720 CAH327719:CAI327720 CKD327719:CKE327720 CTZ327719:CUA327720 DDV327719:DDW327720 DNR327719:DNS327720 DXN327719:DXO327720 EHJ327719:EHK327720 ERF327719:ERG327720 FBB327719:FBC327720 FKX327719:FKY327720 FUT327719:FUU327720 GEP327719:GEQ327720 GOL327719:GOM327720 GYH327719:GYI327720 HID327719:HIE327720 HRZ327719:HSA327720 IBV327719:IBW327720 ILR327719:ILS327720 IVN327719:IVO327720 JFJ327719:JFK327720 JPF327719:JPG327720 JZB327719:JZC327720 KIX327719:KIY327720 KST327719:KSU327720 LCP327719:LCQ327720 LML327719:LMM327720 LWH327719:LWI327720 MGD327719:MGE327720 MPZ327719:MQA327720 MZV327719:MZW327720 NJR327719:NJS327720 NTN327719:NTO327720 ODJ327719:ODK327720 ONF327719:ONG327720 OXB327719:OXC327720 PGX327719:PGY327720 PQT327719:PQU327720 QAP327719:QAQ327720 QKL327719:QKM327720 QUH327719:QUI327720 RED327719:REE327720 RNZ327719:ROA327720 RXV327719:RXW327720 SHR327719:SHS327720 SRN327719:SRO327720 TBJ327719:TBK327720 TLF327719:TLG327720 TVB327719:TVC327720 UEX327719:UEY327720 UOT327719:UOU327720 UYP327719:UYQ327720 VIL327719:VIM327720 VSH327719:VSI327720 WCD327719:WCE327720 WLZ327719:WMA327720 WVV327719:WVW327720 N393255:O393256 JJ393255:JK393256 TF393255:TG393256 ADB393255:ADC393256 AMX393255:AMY393256 AWT393255:AWU393256 BGP393255:BGQ393256 BQL393255:BQM393256 CAH393255:CAI393256 CKD393255:CKE393256 CTZ393255:CUA393256 DDV393255:DDW393256 DNR393255:DNS393256 DXN393255:DXO393256 EHJ393255:EHK393256 ERF393255:ERG393256 FBB393255:FBC393256 FKX393255:FKY393256 FUT393255:FUU393256 GEP393255:GEQ393256 GOL393255:GOM393256 GYH393255:GYI393256 HID393255:HIE393256 HRZ393255:HSA393256 IBV393255:IBW393256 ILR393255:ILS393256 IVN393255:IVO393256 JFJ393255:JFK393256 JPF393255:JPG393256 JZB393255:JZC393256 KIX393255:KIY393256 KST393255:KSU393256 LCP393255:LCQ393256 LML393255:LMM393256 LWH393255:LWI393256 MGD393255:MGE393256 MPZ393255:MQA393256 MZV393255:MZW393256 NJR393255:NJS393256 NTN393255:NTO393256 ODJ393255:ODK393256 ONF393255:ONG393256 OXB393255:OXC393256 PGX393255:PGY393256 PQT393255:PQU393256 QAP393255:QAQ393256 QKL393255:QKM393256 QUH393255:QUI393256 RED393255:REE393256 RNZ393255:ROA393256 RXV393255:RXW393256 SHR393255:SHS393256 SRN393255:SRO393256 TBJ393255:TBK393256 TLF393255:TLG393256 TVB393255:TVC393256 UEX393255:UEY393256 UOT393255:UOU393256 UYP393255:UYQ393256 VIL393255:VIM393256 VSH393255:VSI393256 WCD393255:WCE393256 WLZ393255:WMA393256 WVV393255:WVW393256 N458791:O458792 JJ458791:JK458792 TF458791:TG458792 ADB458791:ADC458792 AMX458791:AMY458792 AWT458791:AWU458792 BGP458791:BGQ458792 BQL458791:BQM458792 CAH458791:CAI458792 CKD458791:CKE458792 CTZ458791:CUA458792 DDV458791:DDW458792 DNR458791:DNS458792 DXN458791:DXO458792 EHJ458791:EHK458792 ERF458791:ERG458792 FBB458791:FBC458792 FKX458791:FKY458792 FUT458791:FUU458792 GEP458791:GEQ458792 GOL458791:GOM458792 GYH458791:GYI458792 HID458791:HIE458792 HRZ458791:HSA458792 IBV458791:IBW458792 ILR458791:ILS458792 IVN458791:IVO458792 JFJ458791:JFK458792 JPF458791:JPG458792 JZB458791:JZC458792 KIX458791:KIY458792 KST458791:KSU458792 LCP458791:LCQ458792 LML458791:LMM458792 LWH458791:LWI458792 MGD458791:MGE458792 MPZ458791:MQA458792 MZV458791:MZW458792 NJR458791:NJS458792 NTN458791:NTO458792 ODJ458791:ODK458792 ONF458791:ONG458792 OXB458791:OXC458792 PGX458791:PGY458792 PQT458791:PQU458792 QAP458791:QAQ458792 QKL458791:QKM458792 QUH458791:QUI458792 RED458791:REE458792 RNZ458791:ROA458792 RXV458791:RXW458792 SHR458791:SHS458792 SRN458791:SRO458792 TBJ458791:TBK458792 TLF458791:TLG458792 TVB458791:TVC458792 UEX458791:UEY458792 UOT458791:UOU458792 UYP458791:UYQ458792 VIL458791:VIM458792 VSH458791:VSI458792 WCD458791:WCE458792 WLZ458791:WMA458792 WVV458791:WVW458792 N524327:O524328 JJ524327:JK524328 TF524327:TG524328 ADB524327:ADC524328 AMX524327:AMY524328 AWT524327:AWU524328 BGP524327:BGQ524328 BQL524327:BQM524328 CAH524327:CAI524328 CKD524327:CKE524328 CTZ524327:CUA524328 DDV524327:DDW524328 DNR524327:DNS524328 DXN524327:DXO524328 EHJ524327:EHK524328 ERF524327:ERG524328 FBB524327:FBC524328 FKX524327:FKY524328 FUT524327:FUU524328 GEP524327:GEQ524328 GOL524327:GOM524328 GYH524327:GYI524328 HID524327:HIE524328 HRZ524327:HSA524328 IBV524327:IBW524328 ILR524327:ILS524328 IVN524327:IVO524328 JFJ524327:JFK524328 JPF524327:JPG524328 JZB524327:JZC524328 KIX524327:KIY524328 KST524327:KSU524328 LCP524327:LCQ524328 LML524327:LMM524328 LWH524327:LWI524328 MGD524327:MGE524328 MPZ524327:MQA524328 MZV524327:MZW524328 NJR524327:NJS524328 NTN524327:NTO524328 ODJ524327:ODK524328 ONF524327:ONG524328 OXB524327:OXC524328 PGX524327:PGY524328 PQT524327:PQU524328 QAP524327:QAQ524328 QKL524327:QKM524328 QUH524327:QUI524328 RED524327:REE524328 RNZ524327:ROA524328 RXV524327:RXW524328 SHR524327:SHS524328 SRN524327:SRO524328 TBJ524327:TBK524328 TLF524327:TLG524328 TVB524327:TVC524328 UEX524327:UEY524328 UOT524327:UOU524328 UYP524327:UYQ524328 VIL524327:VIM524328 VSH524327:VSI524328 WCD524327:WCE524328 WLZ524327:WMA524328 WVV524327:WVW524328 N589863:O589864 JJ589863:JK589864 TF589863:TG589864 ADB589863:ADC589864 AMX589863:AMY589864 AWT589863:AWU589864 BGP589863:BGQ589864 BQL589863:BQM589864 CAH589863:CAI589864 CKD589863:CKE589864 CTZ589863:CUA589864 DDV589863:DDW589864 DNR589863:DNS589864 DXN589863:DXO589864 EHJ589863:EHK589864 ERF589863:ERG589864 FBB589863:FBC589864 FKX589863:FKY589864 FUT589863:FUU589864 GEP589863:GEQ589864 GOL589863:GOM589864 GYH589863:GYI589864 HID589863:HIE589864 HRZ589863:HSA589864 IBV589863:IBW589864 ILR589863:ILS589864 IVN589863:IVO589864 JFJ589863:JFK589864 JPF589863:JPG589864 JZB589863:JZC589864 KIX589863:KIY589864 KST589863:KSU589864 LCP589863:LCQ589864 LML589863:LMM589864 LWH589863:LWI589864 MGD589863:MGE589864 MPZ589863:MQA589864 MZV589863:MZW589864 NJR589863:NJS589864 NTN589863:NTO589864 ODJ589863:ODK589864 ONF589863:ONG589864 OXB589863:OXC589864 PGX589863:PGY589864 PQT589863:PQU589864 QAP589863:QAQ589864 QKL589863:QKM589864 QUH589863:QUI589864 RED589863:REE589864 RNZ589863:ROA589864 RXV589863:RXW589864 SHR589863:SHS589864 SRN589863:SRO589864 TBJ589863:TBK589864 TLF589863:TLG589864 TVB589863:TVC589864 UEX589863:UEY589864 UOT589863:UOU589864 UYP589863:UYQ589864 VIL589863:VIM589864 VSH589863:VSI589864 WCD589863:WCE589864 WLZ589863:WMA589864 WVV589863:WVW589864 N655399:O655400 JJ655399:JK655400 TF655399:TG655400 ADB655399:ADC655400 AMX655399:AMY655400 AWT655399:AWU655400 BGP655399:BGQ655400 BQL655399:BQM655400 CAH655399:CAI655400 CKD655399:CKE655400 CTZ655399:CUA655400 DDV655399:DDW655400 DNR655399:DNS655400 DXN655399:DXO655400 EHJ655399:EHK655400 ERF655399:ERG655400 FBB655399:FBC655400 FKX655399:FKY655400 FUT655399:FUU655400 GEP655399:GEQ655400 GOL655399:GOM655400 GYH655399:GYI655400 HID655399:HIE655400 HRZ655399:HSA655400 IBV655399:IBW655400 ILR655399:ILS655400 IVN655399:IVO655400 JFJ655399:JFK655400 JPF655399:JPG655400 JZB655399:JZC655400 KIX655399:KIY655400 KST655399:KSU655400 LCP655399:LCQ655400 LML655399:LMM655400 LWH655399:LWI655400 MGD655399:MGE655400 MPZ655399:MQA655400 MZV655399:MZW655400 NJR655399:NJS655400 NTN655399:NTO655400 ODJ655399:ODK655400 ONF655399:ONG655400 OXB655399:OXC655400 PGX655399:PGY655400 PQT655399:PQU655400 QAP655399:QAQ655400 QKL655399:QKM655400 QUH655399:QUI655400 RED655399:REE655400 RNZ655399:ROA655400 RXV655399:RXW655400 SHR655399:SHS655400 SRN655399:SRO655400 TBJ655399:TBK655400 TLF655399:TLG655400 TVB655399:TVC655400 UEX655399:UEY655400 UOT655399:UOU655400 UYP655399:UYQ655400 VIL655399:VIM655400 VSH655399:VSI655400 WCD655399:WCE655400 WLZ655399:WMA655400 WVV655399:WVW655400 N720935:O720936 JJ720935:JK720936 TF720935:TG720936 ADB720935:ADC720936 AMX720935:AMY720936 AWT720935:AWU720936 BGP720935:BGQ720936 BQL720935:BQM720936 CAH720935:CAI720936 CKD720935:CKE720936 CTZ720935:CUA720936 DDV720935:DDW720936 DNR720935:DNS720936 DXN720935:DXO720936 EHJ720935:EHK720936 ERF720935:ERG720936 FBB720935:FBC720936 FKX720935:FKY720936 FUT720935:FUU720936 GEP720935:GEQ720936 GOL720935:GOM720936 GYH720935:GYI720936 HID720935:HIE720936 HRZ720935:HSA720936 IBV720935:IBW720936 ILR720935:ILS720936 IVN720935:IVO720936 JFJ720935:JFK720936 JPF720935:JPG720936 JZB720935:JZC720936 KIX720935:KIY720936 KST720935:KSU720936 LCP720935:LCQ720936 LML720935:LMM720936 LWH720935:LWI720936 MGD720935:MGE720936 MPZ720935:MQA720936 MZV720935:MZW720936 NJR720935:NJS720936 NTN720935:NTO720936 ODJ720935:ODK720936 ONF720935:ONG720936 OXB720935:OXC720936 PGX720935:PGY720936 PQT720935:PQU720936 QAP720935:QAQ720936 QKL720935:QKM720936 QUH720935:QUI720936 RED720935:REE720936 RNZ720935:ROA720936 RXV720935:RXW720936 SHR720935:SHS720936 SRN720935:SRO720936 TBJ720935:TBK720936 TLF720935:TLG720936 TVB720935:TVC720936 UEX720935:UEY720936 UOT720935:UOU720936 UYP720935:UYQ720936 VIL720935:VIM720936 VSH720935:VSI720936 WCD720935:WCE720936 WLZ720935:WMA720936 WVV720935:WVW720936 N786471:O786472 JJ786471:JK786472 TF786471:TG786472 ADB786471:ADC786472 AMX786471:AMY786472 AWT786471:AWU786472 BGP786471:BGQ786472 BQL786471:BQM786472 CAH786471:CAI786472 CKD786471:CKE786472 CTZ786471:CUA786472 DDV786471:DDW786472 DNR786471:DNS786472 DXN786471:DXO786472 EHJ786471:EHK786472 ERF786471:ERG786472 FBB786471:FBC786472 FKX786471:FKY786472 FUT786471:FUU786472 GEP786471:GEQ786472 GOL786471:GOM786472 GYH786471:GYI786472 HID786471:HIE786472 HRZ786471:HSA786472 IBV786471:IBW786472 ILR786471:ILS786472 IVN786471:IVO786472 JFJ786471:JFK786472 JPF786471:JPG786472 JZB786471:JZC786472 KIX786471:KIY786472 KST786471:KSU786472 LCP786471:LCQ786472 LML786471:LMM786472 LWH786471:LWI786472 MGD786471:MGE786472 MPZ786471:MQA786472 MZV786471:MZW786472 NJR786471:NJS786472 NTN786471:NTO786472 ODJ786471:ODK786472 ONF786471:ONG786472 OXB786471:OXC786472 PGX786471:PGY786472 PQT786471:PQU786472 QAP786471:QAQ786472 QKL786471:QKM786472 QUH786471:QUI786472 RED786471:REE786472 RNZ786471:ROA786472 RXV786471:RXW786472 SHR786471:SHS786472 SRN786471:SRO786472 TBJ786471:TBK786472 TLF786471:TLG786472 TVB786471:TVC786472 UEX786471:UEY786472 UOT786471:UOU786472 UYP786471:UYQ786472 VIL786471:VIM786472 VSH786471:VSI786472 WCD786471:WCE786472 WLZ786471:WMA786472 WVV786471:WVW786472 N852007:O852008 JJ852007:JK852008 TF852007:TG852008 ADB852007:ADC852008 AMX852007:AMY852008 AWT852007:AWU852008 BGP852007:BGQ852008 BQL852007:BQM852008 CAH852007:CAI852008 CKD852007:CKE852008 CTZ852007:CUA852008 DDV852007:DDW852008 DNR852007:DNS852008 DXN852007:DXO852008 EHJ852007:EHK852008 ERF852007:ERG852008 FBB852007:FBC852008 FKX852007:FKY852008 FUT852007:FUU852008 GEP852007:GEQ852008 GOL852007:GOM852008 GYH852007:GYI852008 HID852007:HIE852008 HRZ852007:HSA852008 IBV852007:IBW852008 ILR852007:ILS852008 IVN852007:IVO852008 JFJ852007:JFK852008 JPF852007:JPG852008 JZB852007:JZC852008 KIX852007:KIY852008 KST852007:KSU852008 LCP852007:LCQ852008 LML852007:LMM852008 LWH852007:LWI852008 MGD852007:MGE852008 MPZ852007:MQA852008 MZV852007:MZW852008 NJR852007:NJS852008 NTN852007:NTO852008 ODJ852007:ODK852008 ONF852007:ONG852008 OXB852007:OXC852008 PGX852007:PGY852008 PQT852007:PQU852008 QAP852007:QAQ852008 QKL852007:QKM852008 QUH852007:QUI852008 RED852007:REE852008 RNZ852007:ROA852008 RXV852007:RXW852008 SHR852007:SHS852008 SRN852007:SRO852008 TBJ852007:TBK852008 TLF852007:TLG852008 TVB852007:TVC852008 UEX852007:UEY852008 UOT852007:UOU852008 UYP852007:UYQ852008 VIL852007:VIM852008 VSH852007:VSI852008 WCD852007:WCE852008 WLZ852007:WMA852008 WVV852007:WVW852008 N917543:O917544 JJ917543:JK917544 TF917543:TG917544 ADB917543:ADC917544 AMX917543:AMY917544 AWT917543:AWU917544 BGP917543:BGQ917544 BQL917543:BQM917544 CAH917543:CAI917544 CKD917543:CKE917544 CTZ917543:CUA917544 DDV917543:DDW917544 DNR917543:DNS917544 DXN917543:DXO917544 EHJ917543:EHK917544 ERF917543:ERG917544 FBB917543:FBC917544 FKX917543:FKY917544 FUT917543:FUU917544 GEP917543:GEQ917544 GOL917543:GOM917544 GYH917543:GYI917544 HID917543:HIE917544 HRZ917543:HSA917544 IBV917543:IBW917544 ILR917543:ILS917544 IVN917543:IVO917544 JFJ917543:JFK917544 JPF917543:JPG917544 JZB917543:JZC917544 KIX917543:KIY917544 KST917543:KSU917544 LCP917543:LCQ917544 LML917543:LMM917544 LWH917543:LWI917544 MGD917543:MGE917544 MPZ917543:MQA917544 MZV917543:MZW917544 NJR917543:NJS917544 NTN917543:NTO917544 ODJ917543:ODK917544 ONF917543:ONG917544 OXB917543:OXC917544 PGX917543:PGY917544 PQT917543:PQU917544 QAP917543:QAQ917544 QKL917543:QKM917544 QUH917543:QUI917544 RED917543:REE917544 RNZ917543:ROA917544 RXV917543:RXW917544 SHR917543:SHS917544 SRN917543:SRO917544 TBJ917543:TBK917544 TLF917543:TLG917544 TVB917543:TVC917544 UEX917543:UEY917544 UOT917543:UOU917544 UYP917543:UYQ917544 VIL917543:VIM917544 VSH917543:VSI917544 WCD917543:WCE917544 WLZ917543:WMA917544 WVV917543:WVW917544 N983079:O983080 JJ983079:JK983080 TF983079:TG983080 ADB983079:ADC983080 AMX983079:AMY983080 AWT983079:AWU983080 BGP983079:BGQ983080 BQL983079:BQM983080 CAH983079:CAI983080 CKD983079:CKE983080 CTZ983079:CUA983080 DDV983079:DDW983080 DNR983079:DNS983080 DXN983079:DXO983080 EHJ983079:EHK983080 ERF983079:ERG983080 FBB983079:FBC983080 FKX983079:FKY983080 FUT983079:FUU983080 GEP983079:GEQ983080 GOL983079:GOM983080 GYH983079:GYI983080 HID983079:HIE983080 HRZ983079:HSA983080 IBV983079:IBW983080 ILR983079:ILS983080 IVN983079:IVO983080 JFJ983079:JFK983080 JPF983079:JPG983080 JZB983079:JZC983080 KIX983079:KIY983080 KST983079:KSU983080 LCP983079:LCQ983080 LML983079:LMM983080 LWH983079:LWI983080 MGD983079:MGE983080 MPZ983079:MQA983080 MZV983079:MZW983080 NJR983079:NJS983080 NTN983079:NTO983080 ODJ983079:ODK983080 ONF983079:ONG983080 OXB983079:OXC983080 PGX983079:PGY983080 PQT983079:PQU983080 QAP983079:QAQ983080 QKL983079:QKM983080 QUH983079:QUI983080 RED983079:REE983080 RNZ983079:ROA983080 RXV983079:RXW983080 SHR983079:SHS983080 SRN983079:SRO983080 TBJ983079:TBK983080 TLF983079:TLG983080 TVB983079:TVC983080 UEX983079:UEY983080 UOT983079:UOU983080 UYP983079:UYQ983080 VIL983079:VIM983080 VSH983079:VSI983080 WCD983079:WCE983080 WLZ983079:WMA983080 WVV983079:WVW983080 O41:O46 JK41:JK46 TG41:TG46 ADC41:ADC46 AMY41:AMY46 AWU41:AWU46 BGQ41:BGQ46 BQM41:BQM46 CAI41:CAI46 CKE41:CKE46 CUA41:CUA46 DDW41:DDW46 DNS41:DNS46 DXO41:DXO46 EHK41:EHK46 ERG41:ERG46 FBC41:FBC46 FKY41:FKY46 FUU41:FUU46 GEQ41:GEQ46 GOM41:GOM46 GYI41:GYI46 HIE41:HIE46 HSA41:HSA46 IBW41:IBW46 ILS41:ILS46 IVO41:IVO46 JFK41:JFK46 JPG41:JPG46 JZC41:JZC46 KIY41:KIY46 KSU41:KSU46 LCQ41:LCQ46 LMM41:LMM46 LWI41:LWI46 MGE41:MGE46 MQA41:MQA46 MZW41:MZW46 NJS41:NJS46 NTO41:NTO46 ODK41:ODK46 ONG41:ONG46 OXC41:OXC46 PGY41:PGY46 PQU41:PQU46 QAQ41:QAQ46 QKM41:QKM46 QUI41:QUI46 REE41:REE46 ROA41:ROA46 RXW41:RXW46 SHS41:SHS46 SRO41:SRO46 TBK41:TBK46 TLG41:TLG46 TVC41:TVC46 UEY41:UEY46 UOU41:UOU46 UYQ41:UYQ46 VIM41:VIM46 VSI41:VSI46 WCE41:WCE46 WMA41:WMA46 WVW41:WVW46 O65577:O65582 JK65577:JK65582 TG65577:TG65582 ADC65577:ADC65582 AMY65577:AMY65582 AWU65577:AWU65582 BGQ65577:BGQ65582 BQM65577:BQM65582 CAI65577:CAI65582 CKE65577:CKE65582 CUA65577:CUA65582 DDW65577:DDW65582 DNS65577:DNS65582 DXO65577:DXO65582 EHK65577:EHK65582 ERG65577:ERG65582 FBC65577:FBC65582 FKY65577:FKY65582 FUU65577:FUU65582 GEQ65577:GEQ65582 GOM65577:GOM65582 GYI65577:GYI65582 HIE65577:HIE65582 HSA65577:HSA65582 IBW65577:IBW65582 ILS65577:ILS65582 IVO65577:IVO65582 JFK65577:JFK65582 JPG65577:JPG65582 JZC65577:JZC65582 KIY65577:KIY65582 KSU65577:KSU65582 LCQ65577:LCQ65582 LMM65577:LMM65582 LWI65577:LWI65582 MGE65577:MGE65582 MQA65577:MQA65582 MZW65577:MZW65582 NJS65577:NJS65582 NTO65577:NTO65582 ODK65577:ODK65582 ONG65577:ONG65582 OXC65577:OXC65582 PGY65577:PGY65582 PQU65577:PQU65582 QAQ65577:QAQ65582 QKM65577:QKM65582 QUI65577:QUI65582 REE65577:REE65582 ROA65577:ROA65582 RXW65577:RXW65582 SHS65577:SHS65582 SRO65577:SRO65582 TBK65577:TBK65582 TLG65577:TLG65582 TVC65577:TVC65582 UEY65577:UEY65582 UOU65577:UOU65582 UYQ65577:UYQ65582 VIM65577:VIM65582 VSI65577:VSI65582 WCE65577:WCE65582 WMA65577:WMA65582 WVW65577:WVW65582 O131113:O131118 JK131113:JK131118 TG131113:TG131118 ADC131113:ADC131118 AMY131113:AMY131118 AWU131113:AWU131118 BGQ131113:BGQ131118 BQM131113:BQM131118 CAI131113:CAI131118 CKE131113:CKE131118 CUA131113:CUA131118 DDW131113:DDW131118 DNS131113:DNS131118 DXO131113:DXO131118 EHK131113:EHK131118 ERG131113:ERG131118 FBC131113:FBC131118 FKY131113:FKY131118 FUU131113:FUU131118 GEQ131113:GEQ131118 GOM131113:GOM131118 GYI131113:GYI131118 HIE131113:HIE131118 HSA131113:HSA131118 IBW131113:IBW131118 ILS131113:ILS131118 IVO131113:IVO131118 JFK131113:JFK131118 JPG131113:JPG131118 JZC131113:JZC131118 KIY131113:KIY131118 KSU131113:KSU131118 LCQ131113:LCQ131118 LMM131113:LMM131118 LWI131113:LWI131118 MGE131113:MGE131118 MQA131113:MQA131118 MZW131113:MZW131118 NJS131113:NJS131118 NTO131113:NTO131118 ODK131113:ODK131118 ONG131113:ONG131118 OXC131113:OXC131118 PGY131113:PGY131118 PQU131113:PQU131118 QAQ131113:QAQ131118 QKM131113:QKM131118 QUI131113:QUI131118 REE131113:REE131118 ROA131113:ROA131118 RXW131113:RXW131118 SHS131113:SHS131118 SRO131113:SRO131118 TBK131113:TBK131118 TLG131113:TLG131118 TVC131113:TVC131118 UEY131113:UEY131118 UOU131113:UOU131118 UYQ131113:UYQ131118 VIM131113:VIM131118 VSI131113:VSI131118 WCE131113:WCE131118 WMA131113:WMA131118 WVW131113:WVW131118 O196649:O196654 JK196649:JK196654 TG196649:TG196654 ADC196649:ADC196654 AMY196649:AMY196654 AWU196649:AWU196654 BGQ196649:BGQ196654 BQM196649:BQM196654 CAI196649:CAI196654 CKE196649:CKE196654 CUA196649:CUA196654 DDW196649:DDW196654 DNS196649:DNS196654 DXO196649:DXO196654 EHK196649:EHK196654 ERG196649:ERG196654 FBC196649:FBC196654 FKY196649:FKY196654 FUU196649:FUU196654 GEQ196649:GEQ196654 GOM196649:GOM196654 GYI196649:GYI196654 HIE196649:HIE196654 HSA196649:HSA196654 IBW196649:IBW196654 ILS196649:ILS196654 IVO196649:IVO196654 JFK196649:JFK196654 JPG196649:JPG196654 JZC196649:JZC196654 KIY196649:KIY196654 KSU196649:KSU196654 LCQ196649:LCQ196654 LMM196649:LMM196654 LWI196649:LWI196654 MGE196649:MGE196654 MQA196649:MQA196654 MZW196649:MZW196654 NJS196649:NJS196654 NTO196649:NTO196654 ODK196649:ODK196654 ONG196649:ONG196654 OXC196649:OXC196654 PGY196649:PGY196654 PQU196649:PQU196654 QAQ196649:QAQ196654 QKM196649:QKM196654 QUI196649:QUI196654 REE196649:REE196654 ROA196649:ROA196654 RXW196649:RXW196654 SHS196649:SHS196654 SRO196649:SRO196654 TBK196649:TBK196654 TLG196649:TLG196654 TVC196649:TVC196654 UEY196649:UEY196654 UOU196649:UOU196654 UYQ196649:UYQ196654 VIM196649:VIM196654 VSI196649:VSI196654 WCE196649:WCE196654 WMA196649:WMA196654 WVW196649:WVW196654 O262185:O262190 JK262185:JK262190 TG262185:TG262190 ADC262185:ADC262190 AMY262185:AMY262190 AWU262185:AWU262190 BGQ262185:BGQ262190 BQM262185:BQM262190 CAI262185:CAI262190 CKE262185:CKE262190 CUA262185:CUA262190 DDW262185:DDW262190 DNS262185:DNS262190 DXO262185:DXO262190 EHK262185:EHK262190 ERG262185:ERG262190 FBC262185:FBC262190 FKY262185:FKY262190 FUU262185:FUU262190 GEQ262185:GEQ262190 GOM262185:GOM262190 GYI262185:GYI262190 HIE262185:HIE262190 HSA262185:HSA262190 IBW262185:IBW262190 ILS262185:ILS262190 IVO262185:IVO262190 JFK262185:JFK262190 JPG262185:JPG262190 JZC262185:JZC262190 KIY262185:KIY262190 KSU262185:KSU262190 LCQ262185:LCQ262190 LMM262185:LMM262190 LWI262185:LWI262190 MGE262185:MGE262190 MQA262185:MQA262190 MZW262185:MZW262190 NJS262185:NJS262190 NTO262185:NTO262190 ODK262185:ODK262190 ONG262185:ONG262190 OXC262185:OXC262190 PGY262185:PGY262190 PQU262185:PQU262190 QAQ262185:QAQ262190 QKM262185:QKM262190 QUI262185:QUI262190 REE262185:REE262190 ROA262185:ROA262190 RXW262185:RXW262190 SHS262185:SHS262190 SRO262185:SRO262190 TBK262185:TBK262190 TLG262185:TLG262190 TVC262185:TVC262190 UEY262185:UEY262190 UOU262185:UOU262190 UYQ262185:UYQ262190 VIM262185:VIM262190 VSI262185:VSI262190 WCE262185:WCE262190 WMA262185:WMA262190 WVW262185:WVW262190 O327721:O327726 JK327721:JK327726 TG327721:TG327726 ADC327721:ADC327726 AMY327721:AMY327726 AWU327721:AWU327726 BGQ327721:BGQ327726 BQM327721:BQM327726 CAI327721:CAI327726 CKE327721:CKE327726 CUA327721:CUA327726 DDW327721:DDW327726 DNS327721:DNS327726 DXO327721:DXO327726 EHK327721:EHK327726 ERG327721:ERG327726 FBC327721:FBC327726 FKY327721:FKY327726 FUU327721:FUU327726 GEQ327721:GEQ327726 GOM327721:GOM327726 GYI327721:GYI327726 HIE327721:HIE327726 HSA327721:HSA327726 IBW327721:IBW327726 ILS327721:ILS327726 IVO327721:IVO327726 JFK327721:JFK327726 JPG327721:JPG327726 JZC327721:JZC327726 KIY327721:KIY327726 KSU327721:KSU327726 LCQ327721:LCQ327726 LMM327721:LMM327726 LWI327721:LWI327726 MGE327721:MGE327726 MQA327721:MQA327726 MZW327721:MZW327726 NJS327721:NJS327726 NTO327721:NTO327726 ODK327721:ODK327726 ONG327721:ONG327726 OXC327721:OXC327726 PGY327721:PGY327726 PQU327721:PQU327726 QAQ327721:QAQ327726 QKM327721:QKM327726 QUI327721:QUI327726 REE327721:REE327726 ROA327721:ROA327726 RXW327721:RXW327726 SHS327721:SHS327726 SRO327721:SRO327726 TBK327721:TBK327726 TLG327721:TLG327726 TVC327721:TVC327726 UEY327721:UEY327726 UOU327721:UOU327726 UYQ327721:UYQ327726 VIM327721:VIM327726 VSI327721:VSI327726 WCE327721:WCE327726 WMA327721:WMA327726 WVW327721:WVW327726 O393257:O393262 JK393257:JK393262 TG393257:TG393262 ADC393257:ADC393262 AMY393257:AMY393262 AWU393257:AWU393262 BGQ393257:BGQ393262 BQM393257:BQM393262 CAI393257:CAI393262 CKE393257:CKE393262 CUA393257:CUA393262 DDW393257:DDW393262 DNS393257:DNS393262 DXO393257:DXO393262 EHK393257:EHK393262 ERG393257:ERG393262 FBC393257:FBC393262 FKY393257:FKY393262 FUU393257:FUU393262 GEQ393257:GEQ393262 GOM393257:GOM393262 GYI393257:GYI393262 HIE393257:HIE393262 HSA393257:HSA393262 IBW393257:IBW393262 ILS393257:ILS393262 IVO393257:IVO393262 JFK393257:JFK393262 JPG393257:JPG393262 JZC393257:JZC393262 KIY393257:KIY393262 KSU393257:KSU393262 LCQ393257:LCQ393262 LMM393257:LMM393262 LWI393257:LWI393262 MGE393257:MGE393262 MQA393257:MQA393262 MZW393257:MZW393262 NJS393257:NJS393262 NTO393257:NTO393262 ODK393257:ODK393262 ONG393257:ONG393262 OXC393257:OXC393262 PGY393257:PGY393262 PQU393257:PQU393262 QAQ393257:QAQ393262 QKM393257:QKM393262 QUI393257:QUI393262 REE393257:REE393262 ROA393257:ROA393262 RXW393257:RXW393262 SHS393257:SHS393262 SRO393257:SRO393262 TBK393257:TBK393262 TLG393257:TLG393262 TVC393257:TVC393262 UEY393257:UEY393262 UOU393257:UOU393262 UYQ393257:UYQ393262 VIM393257:VIM393262 VSI393257:VSI393262 WCE393257:WCE393262 WMA393257:WMA393262 WVW393257:WVW393262 O458793:O458798 JK458793:JK458798 TG458793:TG458798 ADC458793:ADC458798 AMY458793:AMY458798 AWU458793:AWU458798 BGQ458793:BGQ458798 BQM458793:BQM458798 CAI458793:CAI458798 CKE458793:CKE458798 CUA458793:CUA458798 DDW458793:DDW458798 DNS458793:DNS458798 DXO458793:DXO458798 EHK458793:EHK458798 ERG458793:ERG458798 FBC458793:FBC458798 FKY458793:FKY458798 FUU458793:FUU458798 GEQ458793:GEQ458798 GOM458793:GOM458798 GYI458793:GYI458798 HIE458793:HIE458798 HSA458793:HSA458798 IBW458793:IBW458798 ILS458793:ILS458798 IVO458793:IVO458798 JFK458793:JFK458798 JPG458793:JPG458798 JZC458793:JZC458798 KIY458793:KIY458798 KSU458793:KSU458798 LCQ458793:LCQ458798 LMM458793:LMM458798 LWI458793:LWI458798 MGE458793:MGE458798 MQA458793:MQA458798 MZW458793:MZW458798 NJS458793:NJS458798 NTO458793:NTO458798 ODK458793:ODK458798 ONG458793:ONG458798 OXC458793:OXC458798 PGY458793:PGY458798 PQU458793:PQU458798 QAQ458793:QAQ458798 QKM458793:QKM458798 QUI458793:QUI458798 REE458793:REE458798 ROA458793:ROA458798 RXW458793:RXW458798 SHS458793:SHS458798 SRO458793:SRO458798 TBK458793:TBK458798 TLG458793:TLG458798 TVC458793:TVC458798 UEY458793:UEY458798 UOU458793:UOU458798 UYQ458793:UYQ458798 VIM458793:VIM458798 VSI458793:VSI458798 WCE458793:WCE458798 WMA458793:WMA458798 WVW458793:WVW458798 O524329:O524334 JK524329:JK524334 TG524329:TG524334 ADC524329:ADC524334 AMY524329:AMY524334 AWU524329:AWU524334 BGQ524329:BGQ524334 BQM524329:BQM524334 CAI524329:CAI524334 CKE524329:CKE524334 CUA524329:CUA524334 DDW524329:DDW524334 DNS524329:DNS524334 DXO524329:DXO524334 EHK524329:EHK524334 ERG524329:ERG524334 FBC524329:FBC524334 FKY524329:FKY524334 FUU524329:FUU524334 GEQ524329:GEQ524334 GOM524329:GOM524334 GYI524329:GYI524334 HIE524329:HIE524334 HSA524329:HSA524334 IBW524329:IBW524334 ILS524329:ILS524334 IVO524329:IVO524334 JFK524329:JFK524334 JPG524329:JPG524334 JZC524329:JZC524334 KIY524329:KIY524334 KSU524329:KSU524334 LCQ524329:LCQ524334 LMM524329:LMM524334 LWI524329:LWI524334 MGE524329:MGE524334 MQA524329:MQA524334 MZW524329:MZW524334 NJS524329:NJS524334 NTO524329:NTO524334 ODK524329:ODK524334 ONG524329:ONG524334 OXC524329:OXC524334 PGY524329:PGY524334 PQU524329:PQU524334 QAQ524329:QAQ524334 QKM524329:QKM524334 QUI524329:QUI524334 REE524329:REE524334 ROA524329:ROA524334 RXW524329:RXW524334 SHS524329:SHS524334 SRO524329:SRO524334 TBK524329:TBK524334 TLG524329:TLG524334 TVC524329:TVC524334 UEY524329:UEY524334 UOU524329:UOU524334 UYQ524329:UYQ524334 VIM524329:VIM524334 VSI524329:VSI524334 WCE524329:WCE524334 WMA524329:WMA524334 WVW524329:WVW524334 O589865:O589870 JK589865:JK589870 TG589865:TG589870 ADC589865:ADC589870 AMY589865:AMY589870 AWU589865:AWU589870 BGQ589865:BGQ589870 BQM589865:BQM589870 CAI589865:CAI589870 CKE589865:CKE589870 CUA589865:CUA589870 DDW589865:DDW589870 DNS589865:DNS589870 DXO589865:DXO589870 EHK589865:EHK589870 ERG589865:ERG589870 FBC589865:FBC589870 FKY589865:FKY589870 FUU589865:FUU589870 GEQ589865:GEQ589870 GOM589865:GOM589870 GYI589865:GYI589870 HIE589865:HIE589870 HSA589865:HSA589870 IBW589865:IBW589870 ILS589865:ILS589870 IVO589865:IVO589870 JFK589865:JFK589870 JPG589865:JPG589870 JZC589865:JZC589870 KIY589865:KIY589870 KSU589865:KSU589870 LCQ589865:LCQ589870 LMM589865:LMM589870 LWI589865:LWI589870 MGE589865:MGE589870 MQA589865:MQA589870 MZW589865:MZW589870 NJS589865:NJS589870 NTO589865:NTO589870 ODK589865:ODK589870 ONG589865:ONG589870 OXC589865:OXC589870 PGY589865:PGY589870 PQU589865:PQU589870 QAQ589865:QAQ589870 QKM589865:QKM589870 QUI589865:QUI589870 REE589865:REE589870 ROA589865:ROA589870 RXW589865:RXW589870 SHS589865:SHS589870 SRO589865:SRO589870 TBK589865:TBK589870 TLG589865:TLG589870 TVC589865:TVC589870 UEY589865:UEY589870 UOU589865:UOU589870 UYQ589865:UYQ589870 VIM589865:VIM589870 VSI589865:VSI589870 WCE589865:WCE589870 WMA589865:WMA589870 WVW589865:WVW589870 O655401:O655406 JK655401:JK655406 TG655401:TG655406 ADC655401:ADC655406 AMY655401:AMY655406 AWU655401:AWU655406 BGQ655401:BGQ655406 BQM655401:BQM655406 CAI655401:CAI655406 CKE655401:CKE655406 CUA655401:CUA655406 DDW655401:DDW655406 DNS655401:DNS655406 DXO655401:DXO655406 EHK655401:EHK655406 ERG655401:ERG655406 FBC655401:FBC655406 FKY655401:FKY655406 FUU655401:FUU655406 GEQ655401:GEQ655406 GOM655401:GOM655406 GYI655401:GYI655406 HIE655401:HIE655406 HSA655401:HSA655406 IBW655401:IBW655406 ILS655401:ILS655406 IVO655401:IVO655406 JFK655401:JFK655406 JPG655401:JPG655406 JZC655401:JZC655406 KIY655401:KIY655406 KSU655401:KSU655406 LCQ655401:LCQ655406 LMM655401:LMM655406 LWI655401:LWI655406 MGE655401:MGE655406 MQA655401:MQA655406 MZW655401:MZW655406 NJS655401:NJS655406 NTO655401:NTO655406 ODK655401:ODK655406 ONG655401:ONG655406 OXC655401:OXC655406 PGY655401:PGY655406 PQU655401:PQU655406 QAQ655401:QAQ655406 QKM655401:QKM655406 QUI655401:QUI655406 REE655401:REE655406 ROA655401:ROA655406 RXW655401:RXW655406 SHS655401:SHS655406 SRO655401:SRO655406 TBK655401:TBK655406 TLG655401:TLG655406 TVC655401:TVC655406 UEY655401:UEY655406 UOU655401:UOU655406 UYQ655401:UYQ655406 VIM655401:VIM655406 VSI655401:VSI655406 WCE655401:WCE655406 WMA655401:WMA655406 WVW655401:WVW655406 O720937:O720942 JK720937:JK720942 TG720937:TG720942 ADC720937:ADC720942 AMY720937:AMY720942 AWU720937:AWU720942 BGQ720937:BGQ720942 BQM720937:BQM720942 CAI720937:CAI720942 CKE720937:CKE720942 CUA720937:CUA720942 DDW720937:DDW720942 DNS720937:DNS720942 DXO720937:DXO720942 EHK720937:EHK720942 ERG720937:ERG720942 FBC720937:FBC720942 FKY720937:FKY720942 FUU720937:FUU720942 GEQ720937:GEQ720942 GOM720937:GOM720942 GYI720937:GYI720942 HIE720937:HIE720942 HSA720937:HSA720942 IBW720937:IBW720942 ILS720937:ILS720942 IVO720937:IVO720942 JFK720937:JFK720942 JPG720937:JPG720942 JZC720937:JZC720942 KIY720937:KIY720942 KSU720937:KSU720942 LCQ720937:LCQ720942 LMM720937:LMM720942 LWI720937:LWI720942 MGE720937:MGE720942 MQA720937:MQA720942 MZW720937:MZW720942 NJS720937:NJS720942 NTO720937:NTO720942 ODK720937:ODK720942 ONG720937:ONG720942 OXC720937:OXC720942 PGY720937:PGY720942 PQU720937:PQU720942 QAQ720937:QAQ720942 QKM720937:QKM720942 QUI720937:QUI720942 REE720937:REE720942 ROA720937:ROA720942 RXW720937:RXW720942 SHS720937:SHS720942 SRO720937:SRO720942 TBK720937:TBK720942 TLG720937:TLG720942 TVC720937:TVC720942 UEY720937:UEY720942 UOU720937:UOU720942 UYQ720937:UYQ720942 VIM720937:VIM720942 VSI720937:VSI720942 WCE720937:WCE720942 WMA720937:WMA720942 WVW720937:WVW720942 O786473:O786478 JK786473:JK786478 TG786473:TG786478 ADC786473:ADC786478 AMY786473:AMY786478 AWU786473:AWU786478 BGQ786473:BGQ786478 BQM786473:BQM786478 CAI786473:CAI786478 CKE786473:CKE786478 CUA786473:CUA786478 DDW786473:DDW786478 DNS786473:DNS786478 DXO786473:DXO786478 EHK786473:EHK786478 ERG786473:ERG786478 FBC786473:FBC786478 FKY786473:FKY786478 FUU786473:FUU786478 GEQ786473:GEQ786478 GOM786473:GOM786478 GYI786473:GYI786478 HIE786473:HIE786478 HSA786473:HSA786478 IBW786473:IBW786478 ILS786473:ILS786478 IVO786473:IVO786478 JFK786473:JFK786478 JPG786473:JPG786478 JZC786473:JZC786478 KIY786473:KIY786478 KSU786473:KSU786478 LCQ786473:LCQ786478 LMM786473:LMM786478 LWI786473:LWI786478 MGE786473:MGE786478 MQA786473:MQA786478 MZW786473:MZW786478 NJS786473:NJS786478 NTO786473:NTO786478 ODK786473:ODK786478 ONG786473:ONG786478 OXC786473:OXC786478 PGY786473:PGY786478 PQU786473:PQU786478 QAQ786473:QAQ786478 QKM786473:QKM786478 QUI786473:QUI786478 REE786473:REE786478 ROA786473:ROA786478 RXW786473:RXW786478 SHS786473:SHS786478 SRO786473:SRO786478 TBK786473:TBK786478 TLG786473:TLG786478 TVC786473:TVC786478 UEY786473:UEY786478 UOU786473:UOU786478 UYQ786473:UYQ786478 VIM786473:VIM786478 VSI786473:VSI786478 WCE786473:WCE786478 WMA786473:WMA786478 WVW786473:WVW786478 O852009:O852014 JK852009:JK852014 TG852009:TG852014 ADC852009:ADC852014 AMY852009:AMY852014 AWU852009:AWU852014 BGQ852009:BGQ852014 BQM852009:BQM852014 CAI852009:CAI852014 CKE852009:CKE852014 CUA852009:CUA852014 DDW852009:DDW852014 DNS852009:DNS852014 DXO852009:DXO852014 EHK852009:EHK852014 ERG852009:ERG852014 FBC852009:FBC852014 FKY852009:FKY852014 FUU852009:FUU852014 GEQ852009:GEQ852014 GOM852009:GOM852014 GYI852009:GYI852014 HIE852009:HIE852014 HSA852009:HSA852014 IBW852009:IBW852014 ILS852009:ILS852014 IVO852009:IVO852014 JFK852009:JFK852014 JPG852009:JPG852014 JZC852009:JZC852014 KIY852009:KIY852014 KSU852009:KSU852014 LCQ852009:LCQ852014 LMM852009:LMM852014 LWI852009:LWI852014 MGE852009:MGE852014 MQA852009:MQA852014 MZW852009:MZW852014 NJS852009:NJS852014 NTO852009:NTO852014 ODK852009:ODK852014 ONG852009:ONG852014 OXC852009:OXC852014 PGY852009:PGY852014 PQU852009:PQU852014 QAQ852009:QAQ852014 QKM852009:QKM852014 QUI852009:QUI852014 REE852009:REE852014 ROA852009:ROA852014 RXW852009:RXW852014 SHS852009:SHS852014 SRO852009:SRO852014 TBK852009:TBK852014 TLG852009:TLG852014 TVC852009:TVC852014 UEY852009:UEY852014 UOU852009:UOU852014 UYQ852009:UYQ852014 VIM852009:VIM852014 VSI852009:VSI852014 WCE852009:WCE852014 WMA852009:WMA852014 WVW852009:WVW852014 O917545:O917550 JK917545:JK917550 TG917545:TG917550 ADC917545:ADC917550 AMY917545:AMY917550 AWU917545:AWU917550 BGQ917545:BGQ917550 BQM917545:BQM917550 CAI917545:CAI917550 CKE917545:CKE917550 CUA917545:CUA917550 DDW917545:DDW917550 DNS917545:DNS917550 DXO917545:DXO917550 EHK917545:EHK917550 ERG917545:ERG917550 FBC917545:FBC917550 FKY917545:FKY917550 FUU917545:FUU917550 GEQ917545:GEQ917550 GOM917545:GOM917550 GYI917545:GYI917550 HIE917545:HIE917550 HSA917545:HSA917550 IBW917545:IBW917550 ILS917545:ILS917550 IVO917545:IVO917550 JFK917545:JFK917550 JPG917545:JPG917550 JZC917545:JZC917550 KIY917545:KIY917550 KSU917545:KSU917550 LCQ917545:LCQ917550 LMM917545:LMM917550 LWI917545:LWI917550 MGE917545:MGE917550 MQA917545:MQA917550 MZW917545:MZW917550 NJS917545:NJS917550 NTO917545:NTO917550 ODK917545:ODK917550 ONG917545:ONG917550 OXC917545:OXC917550 PGY917545:PGY917550 PQU917545:PQU917550 QAQ917545:QAQ917550 QKM917545:QKM917550 QUI917545:QUI917550 REE917545:REE917550 ROA917545:ROA917550 RXW917545:RXW917550 SHS917545:SHS917550 SRO917545:SRO917550 TBK917545:TBK917550 TLG917545:TLG917550 TVC917545:TVC917550 UEY917545:UEY917550 UOU917545:UOU917550 UYQ917545:UYQ917550 VIM917545:VIM917550 VSI917545:VSI917550 WCE917545:WCE917550 WMA917545:WMA917550 WVW917545:WVW917550 O983081:O983086 JK983081:JK983086 TG983081:TG983086 ADC983081:ADC983086 AMY983081:AMY983086 AWU983081:AWU983086 BGQ983081:BGQ983086 BQM983081:BQM983086 CAI983081:CAI983086 CKE983081:CKE983086 CUA983081:CUA983086 DDW983081:DDW983086 DNS983081:DNS983086 DXO983081:DXO983086 EHK983081:EHK983086 ERG983081:ERG983086 FBC983081:FBC983086 FKY983081:FKY983086 FUU983081:FUU983086 GEQ983081:GEQ983086 GOM983081:GOM983086 GYI983081:GYI983086 HIE983081:HIE983086 HSA983081:HSA983086 IBW983081:IBW983086 ILS983081:ILS983086 IVO983081:IVO983086 JFK983081:JFK983086 JPG983081:JPG983086 JZC983081:JZC983086 KIY983081:KIY983086 KSU983081:KSU983086 LCQ983081:LCQ983086 LMM983081:LMM983086 LWI983081:LWI983086 MGE983081:MGE983086 MQA983081:MQA983086 MZW983081:MZW983086 NJS983081:NJS983086 NTO983081:NTO983086 ODK983081:ODK983086 ONG983081:ONG983086 OXC983081:OXC983086 PGY983081:PGY983086 PQU983081:PQU983086 QAQ983081:QAQ983086 QKM983081:QKM983086 QUI983081:QUI983086 REE983081:REE983086 ROA983081:ROA983086 RXW983081:RXW983086 SHS983081:SHS983086 SRO983081:SRO983086 TBK983081:TBK983086 TLG983081:TLG983086 TVC983081:TVC983086 UEY983081:UEY983086 UOU983081:UOU983086 UYQ983081:UYQ983086 VIM983081:VIM983086 VSI983081:VSI983086 WCE983081:WCE983086 WMA983081:WMA983086 WVW983081:WVW983086">
      <formula1>"Yes,No,NA"</formula1>
    </dataValidation>
    <dataValidation type="list" allowBlank="1" showInputMessage="1" showErrorMessage="1" sqref="N42:N46 JJ42:JJ46 TF42:TF46 ADB42:ADB46 AMX42:AMX46 AWT42:AWT46 BGP42:BGP46 BQL42:BQL46 CAH42:CAH46 CKD42:CKD46 CTZ42:CTZ46 DDV42:DDV46 DNR42:DNR46 DXN42:DXN46 EHJ42:EHJ46 ERF42:ERF46 FBB42:FBB46 FKX42:FKX46 FUT42:FUT46 GEP42:GEP46 GOL42:GOL46 GYH42:GYH46 HID42:HID46 HRZ42:HRZ46 IBV42:IBV46 ILR42:ILR46 IVN42:IVN46 JFJ42:JFJ46 JPF42:JPF46 JZB42:JZB46 KIX42:KIX46 KST42:KST46 LCP42:LCP46 LML42:LML46 LWH42:LWH46 MGD42:MGD46 MPZ42:MPZ46 MZV42:MZV46 NJR42:NJR46 NTN42:NTN46 ODJ42:ODJ46 ONF42:ONF46 OXB42:OXB46 PGX42:PGX46 PQT42:PQT46 QAP42:QAP46 QKL42:QKL46 QUH42:QUH46 RED42:RED46 RNZ42:RNZ46 RXV42:RXV46 SHR42:SHR46 SRN42:SRN46 TBJ42:TBJ46 TLF42:TLF46 TVB42:TVB46 UEX42:UEX46 UOT42:UOT46 UYP42:UYP46 VIL42:VIL46 VSH42:VSH46 WCD42:WCD46 WLZ42:WLZ46 WVV42:WVV46 N65578:N65582 JJ65578:JJ65582 TF65578:TF65582 ADB65578:ADB65582 AMX65578:AMX65582 AWT65578:AWT65582 BGP65578:BGP65582 BQL65578:BQL65582 CAH65578:CAH65582 CKD65578:CKD65582 CTZ65578:CTZ65582 DDV65578:DDV65582 DNR65578:DNR65582 DXN65578:DXN65582 EHJ65578:EHJ65582 ERF65578:ERF65582 FBB65578:FBB65582 FKX65578:FKX65582 FUT65578:FUT65582 GEP65578:GEP65582 GOL65578:GOL65582 GYH65578:GYH65582 HID65578:HID65582 HRZ65578:HRZ65582 IBV65578:IBV65582 ILR65578:ILR65582 IVN65578:IVN65582 JFJ65578:JFJ65582 JPF65578:JPF65582 JZB65578:JZB65582 KIX65578:KIX65582 KST65578:KST65582 LCP65578:LCP65582 LML65578:LML65582 LWH65578:LWH65582 MGD65578:MGD65582 MPZ65578:MPZ65582 MZV65578:MZV65582 NJR65578:NJR65582 NTN65578:NTN65582 ODJ65578:ODJ65582 ONF65578:ONF65582 OXB65578:OXB65582 PGX65578:PGX65582 PQT65578:PQT65582 QAP65578:QAP65582 QKL65578:QKL65582 QUH65578:QUH65582 RED65578:RED65582 RNZ65578:RNZ65582 RXV65578:RXV65582 SHR65578:SHR65582 SRN65578:SRN65582 TBJ65578:TBJ65582 TLF65578:TLF65582 TVB65578:TVB65582 UEX65578:UEX65582 UOT65578:UOT65582 UYP65578:UYP65582 VIL65578:VIL65582 VSH65578:VSH65582 WCD65578:WCD65582 WLZ65578:WLZ65582 WVV65578:WVV65582 N131114:N131118 JJ131114:JJ131118 TF131114:TF131118 ADB131114:ADB131118 AMX131114:AMX131118 AWT131114:AWT131118 BGP131114:BGP131118 BQL131114:BQL131118 CAH131114:CAH131118 CKD131114:CKD131118 CTZ131114:CTZ131118 DDV131114:DDV131118 DNR131114:DNR131118 DXN131114:DXN131118 EHJ131114:EHJ131118 ERF131114:ERF131118 FBB131114:FBB131118 FKX131114:FKX131118 FUT131114:FUT131118 GEP131114:GEP131118 GOL131114:GOL131118 GYH131114:GYH131118 HID131114:HID131118 HRZ131114:HRZ131118 IBV131114:IBV131118 ILR131114:ILR131118 IVN131114:IVN131118 JFJ131114:JFJ131118 JPF131114:JPF131118 JZB131114:JZB131118 KIX131114:KIX131118 KST131114:KST131118 LCP131114:LCP131118 LML131114:LML131118 LWH131114:LWH131118 MGD131114:MGD131118 MPZ131114:MPZ131118 MZV131114:MZV131118 NJR131114:NJR131118 NTN131114:NTN131118 ODJ131114:ODJ131118 ONF131114:ONF131118 OXB131114:OXB131118 PGX131114:PGX131118 PQT131114:PQT131118 QAP131114:QAP131118 QKL131114:QKL131118 QUH131114:QUH131118 RED131114:RED131118 RNZ131114:RNZ131118 RXV131114:RXV131118 SHR131114:SHR131118 SRN131114:SRN131118 TBJ131114:TBJ131118 TLF131114:TLF131118 TVB131114:TVB131118 UEX131114:UEX131118 UOT131114:UOT131118 UYP131114:UYP131118 VIL131114:VIL131118 VSH131114:VSH131118 WCD131114:WCD131118 WLZ131114:WLZ131118 WVV131114:WVV131118 N196650:N196654 JJ196650:JJ196654 TF196650:TF196654 ADB196650:ADB196654 AMX196650:AMX196654 AWT196650:AWT196654 BGP196650:BGP196654 BQL196650:BQL196654 CAH196650:CAH196654 CKD196650:CKD196654 CTZ196650:CTZ196654 DDV196650:DDV196654 DNR196650:DNR196654 DXN196650:DXN196654 EHJ196650:EHJ196654 ERF196650:ERF196654 FBB196650:FBB196654 FKX196650:FKX196654 FUT196650:FUT196654 GEP196650:GEP196654 GOL196650:GOL196654 GYH196650:GYH196654 HID196650:HID196654 HRZ196650:HRZ196654 IBV196650:IBV196654 ILR196650:ILR196654 IVN196650:IVN196654 JFJ196650:JFJ196654 JPF196650:JPF196654 JZB196650:JZB196654 KIX196650:KIX196654 KST196650:KST196654 LCP196650:LCP196654 LML196650:LML196654 LWH196650:LWH196654 MGD196650:MGD196654 MPZ196650:MPZ196654 MZV196650:MZV196654 NJR196650:NJR196654 NTN196650:NTN196654 ODJ196650:ODJ196654 ONF196650:ONF196654 OXB196650:OXB196654 PGX196650:PGX196654 PQT196650:PQT196654 QAP196650:QAP196654 QKL196650:QKL196654 QUH196650:QUH196654 RED196650:RED196654 RNZ196650:RNZ196654 RXV196650:RXV196654 SHR196650:SHR196654 SRN196650:SRN196654 TBJ196650:TBJ196654 TLF196650:TLF196654 TVB196650:TVB196654 UEX196650:UEX196654 UOT196650:UOT196654 UYP196650:UYP196654 VIL196650:VIL196654 VSH196650:VSH196654 WCD196650:WCD196654 WLZ196650:WLZ196654 WVV196650:WVV196654 N262186:N262190 JJ262186:JJ262190 TF262186:TF262190 ADB262186:ADB262190 AMX262186:AMX262190 AWT262186:AWT262190 BGP262186:BGP262190 BQL262186:BQL262190 CAH262186:CAH262190 CKD262186:CKD262190 CTZ262186:CTZ262190 DDV262186:DDV262190 DNR262186:DNR262190 DXN262186:DXN262190 EHJ262186:EHJ262190 ERF262186:ERF262190 FBB262186:FBB262190 FKX262186:FKX262190 FUT262186:FUT262190 GEP262186:GEP262190 GOL262186:GOL262190 GYH262186:GYH262190 HID262186:HID262190 HRZ262186:HRZ262190 IBV262186:IBV262190 ILR262186:ILR262190 IVN262186:IVN262190 JFJ262186:JFJ262190 JPF262186:JPF262190 JZB262186:JZB262190 KIX262186:KIX262190 KST262186:KST262190 LCP262186:LCP262190 LML262186:LML262190 LWH262186:LWH262190 MGD262186:MGD262190 MPZ262186:MPZ262190 MZV262186:MZV262190 NJR262186:NJR262190 NTN262186:NTN262190 ODJ262186:ODJ262190 ONF262186:ONF262190 OXB262186:OXB262190 PGX262186:PGX262190 PQT262186:PQT262190 QAP262186:QAP262190 QKL262186:QKL262190 QUH262186:QUH262190 RED262186:RED262190 RNZ262186:RNZ262190 RXV262186:RXV262190 SHR262186:SHR262190 SRN262186:SRN262190 TBJ262186:TBJ262190 TLF262186:TLF262190 TVB262186:TVB262190 UEX262186:UEX262190 UOT262186:UOT262190 UYP262186:UYP262190 VIL262186:VIL262190 VSH262186:VSH262190 WCD262186:WCD262190 WLZ262186:WLZ262190 WVV262186:WVV262190 N327722:N327726 JJ327722:JJ327726 TF327722:TF327726 ADB327722:ADB327726 AMX327722:AMX327726 AWT327722:AWT327726 BGP327722:BGP327726 BQL327722:BQL327726 CAH327722:CAH327726 CKD327722:CKD327726 CTZ327722:CTZ327726 DDV327722:DDV327726 DNR327722:DNR327726 DXN327722:DXN327726 EHJ327722:EHJ327726 ERF327722:ERF327726 FBB327722:FBB327726 FKX327722:FKX327726 FUT327722:FUT327726 GEP327722:GEP327726 GOL327722:GOL327726 GYH327722:GYH327726 HID327722:HID327726 HRZ327722:HRZ327726 IBV327722:IBV327726 ILR327722:ILR327726 IVN327722:IVN327726 JFJ327722:JFJ327726 JPF327722:JPF327726 JZB327722:JZB327726 KIX327722:KIX327726 KST327722:KST327726 LCP327722:LCP327726 LML327722:LML327726 LWH327722:LWH327726 MGD327722:MGD327726 MPZ327722:MPZ327726 MZV327722:MZV327726 NJR327722:NJR327726 NTN327722:NTN327726 ODJ327722:ODJ327726 ONF327722:ONF327726 OXB327722:OXB327726 PGX327722:PGX327726 PQT327722:PQT327726 QAP327722:QAP327726 QKL327722:QKL327726 QUH327722:QUH327726 RED327722:RED327726 RNZ327722:RNZ327726 RXV327722:RXV327726 SHR327722:SHR327726 SRN327722:SRN327726 TBJ327722:TBJ327726 TLF327722:TLF327726 TVB327722:TVB327726 UEX327722:UEX327726 UOT327722:UOT327726 UYP327722:UYP327726 VIL327722:VIL327726 VSH327722:VSH327726 WCD327722:WCD327726 WLZ327722:WLZ327726 WVV327722:WVV327726 N393258:N393262 JJ393258:JJ393262 TF393258:TF393262 ADB393258:ADB393262 AMX393258:AMX393262 AWT393258:AWT393262 BGP393258:BGP393262 BQL393258:BQL393262 CAH393258:CAH393262 CKD393258:CKD393262 CTZ393258:CTZ393262 DDV393258:DDV393262 DNR393258:DNR393262 DXN393258:DXN393262 EHJ393258:EHJ393262 ERF393258:ERF393262 FBB393258:FBB393262 FKX393258:FKX393262 FUT393258:FUT393262 GEP393258:GEP393262 GOL393258:GOL393262 GYH393258:GYH393262 HID393258:HID393262 HRZ393258:HRZ393262 IBV393258:IBV393262 ILR393258:ILR393262 IVN393258:IVN393262 JFJ393258:JFJ393262 JPF393258:JPF393262 JZB393258:JZB393262 KIX393258:KIX393262 KST393258:KST393262 LCP393258:LCP393262 LML393258:LML393262 LWH393258:LWH393262 MGD393258:MGD393262 MPZ393258:MPZ393262 MZV393258:MZV393262 NJR393258:NJR393262 NTN393258:NTN393262 ODJ393258:ODJ393262 ONF393258:ONF393262 OXB393258:OXB393262 PGX393258:PGX393262 PQT393258:PQT393262 QAP393258:QAP393262 QKL393258:QKL393262 QUH393258:QUH393262 RED393258:RED393262 RNZ393258:RNZ393262 RXV393258:RXV393262 SHR393258:SHR393262 SRN393258:SRN393262 TBJ393258:TBJ393262 TLF393258:TLF393262 TVB393258:TVB393262 UEX393258:UEX393262 UOT393258:UOT393262 UYP393258:UYP393262 VIL393258:VIL393262 VSH393258:VSH393262 WCD393258:WCD393262 WLZ393258:WLZ393262 WVV393258:WVV393262 N458794:N458798 JJ458794:JJ458798 TF458794:TF458798 ADB458794:ADB458798 AMX458794:AMX458798 AWT458794:AWT458798 BGP458794:BGP458798 BQL458794:BQL458798 CAH458794:CAH458798 CKD458794:CKD458798 CTZ458794:CTZ458798 DDV458794:DDV458798 DNR458794:DNR458798 DXN458794:DXN458798 EHJ458794:EHJ458798 ERF458794:ERF458798 FBB458794:FBB458798 FKX458794:FKX458798 FUT458794:FUT458798 GEP458794:GEP458798 GOL458794:GOL458798 GYH458794:GYH458798 HID458794:HID458798 HRZ458794:HRZ458798 IBV458794:IBV458798 ILR458794:ILR458798 IVN458794:IVN458798 JFJ458794:JFJ458798 JPF458794:JPF458798 JZB458794:JZB458798 KIX458794:KIX458798 KST458794:KST458798 LCP458794:LCP458798 LML458794:LML458798 LWH458794:LWH458798 MGD458794:MGD458798 MPZ458794:MPZ458798 MZV458794:MZV458798 NJR458794:NJR458798 NTN458794:NTN458798 ODJ458794:ODJ458798 ONF458794:ONF458798 OXB458794:OXB458798 PGX458794:PGX458798 PQT458794:PQT458798 QAP458794:QAP458798 QKL458794:QKL458798 QUH458794:QUH458798 RED458794:RED458798 RNZ458794:RNZ458798 RXV458794:RXV458798 SHR458794:SHR458798 SRN458794:SRN458798 TBJ458794:TBJ458798 TLF458794:TLF458798 TVB458794:TVB458798 UEX458794:UEX458798 UOT458794:UOT458798 UYP458794:UYP458798 VIL458794:VIL458798 VSH458794:VSH458798 WCD458794:WCD458798 WLZ458794:WLZ458798 WVV458794:WVV458798 N524330:N524334 JJ524330:JJ524334 TF524330:TF524334 ADB524330:ADB524334 AMX524330:AMX524334 AWT524330:AWT524334 BGP524330:BGP524334 BQL524330:BQL524334 CAH524330:CAH524334 CKD524330:CKD524334 CTZ524330:CTZ524334 DDV524330:DDV524334 DNR524330:DNR524334 DXN524330:DXN524334 EHJ524330:EHJ524334 ERF524330:ERF524334 FBB524330:FBB524334 FKX524330:FKX524334 FUT524330:FUT524334 GEP524330:GEP524334 GOL524330:GOL524334 GYH524330:GYH524334 HID524330:HID524334 HRZ524330:HRZ524334 IBV524330:IBV524334 ILR524330:ILR524334 IVN524330:IVN524334 JFJ524330:JFJ524334 JPF524330:JPF524334 JZB524330:JZB524334 KIX524330:KIX524334 KST524330:KST524334 LCP524330:LCP524334 LML524330:LML524334 LWH524330:LWH524334 MGD524330:MGD524334 MPZ524330:MPZ524334 MZV524330:MZV524334 NJR524330:NJR524334 NTN524330:NTN524334 ODJ524330:ODJ524334 ONF524330:ONF524334 OXB524330:OXB524334 PGX524330:PGX524334 PQT524330:PQT524334 QAP524330:QAP524334 QKL524330:QKL524334 QUH524330:QUH524334 RED524330:RED524334 RNZ524330:RNZ524334 RXV524330:RXV524334 SHR524330:SHR524334 SRN524330:SRN524334 TBJ524330:TBJ524334 TLF524330:TLF524334 TVB524330:TVB524334 UEX524330:UEX524334 UOT524330:UOT524334 UYP524330:UYP524334 VIL524330:VIL524334 VSH524330:VSH524334 WCD524330:WCD524334 WLZ524330:WLZ524334 WVV524330:WVV524334 N589866:N589870 JJ589866:JJ589870 TF589866:TF589870 ADB589866:ADB589870 AMX589866:AMX589870 AWT589866:AWT589870 BGP589866:BGP589870 BQL589866:BQL589870 CAH589866:CAH589870 CKD589866:CKD589870 CTZ589866:CTZ589870 DDV589866:DDV589870 DNR589866:DNR589870 DXN589866:DXN589870 EHJ589866:EHJ589870 ERF589866:ERF589870 FBB589866:FBB589870 FKX589866:FKX589870 FUT589866:FUT589870 GEP589866:GEP589870 GOL589866:GOL589870 GYH589866:GYH589870 HID589866:HID589870 HRZ589866:HRZ589870 IBV589866:IBV589870 ILR589866:ILR589870 IVN589866:IVN589870 JFJ589866:JFJ589870 JPF589866:JPF589870 JZB589866:JZB589870 KIX589866:KIX589870 KST589866:KST589870 LCP589866:LCP589870 LML589866:LML589870 LWH589866:LWH589870 MGD589866:MGD589870 MPZ589866:MPZ589870 MZV589866:MZV589870 NJR589866:NJR589870 NTN589866:NTN589870 ODJ589866:ODJ589870 ONF589866:ONF589870 OXB589866:OXB589870 PGX589866:PGX589870 PQT589866:PQT589870 QAP589866:QAP589870 QKL589866:QKL589870 QUH589866:QUH589870 RED589866:RED589870 RNZ589866:RNZ589870 RXV589866:RXV589870 SHR589866:SHR589870 SRN589866:SRN589870 TBJ589866:TBJ589870 TLF589866:TLF589870 TVB589866:TVB589870 UEX589866:UEX589870 UOT589866:UOT589870 UYP589866:UYP589870 VIL589866:VIL589870 VSH589866:VSH589870 WCD589866:WCD589870 WLZ589866:WLZ589870 WVV589866:WVV589870 N655402:N655406 JJ655402:JJ655406 TF655402:TF655406 ADB655402:ADB655406 AMX655402:AMX655406 AWT655402:AWT655406 BGP655402:BGP655406 BQL655402:BQL655406 CAH655402:CAH655406 CKD655402:CKD655406 CTZ655402:CTZ655406 DDV655402:DDV655406 DNR655402:DNR655406 DXN655402:DXN655406 EHJ655402:EHJ655406 ERF655402:ERF655406 FBB655402:FBB655406 FKX655402:FKX655406 FUT655402:FUT655406 GEP655402:GEP655406 GOL655402:GOL655406 GYH655402:GYH655406 HID655402:HID655406 HRZ655402:HRZ655406 IBV655402:IBV655406 ILR655402:ILR655406 IVN655402:IVN655406 JFJ655402:JFJ655406 JPF655402:JPF655406 JZB655402:JZB655406 KIX655402:KIX655406 KST655402:KST655406 LCP655402:LCP655406 LML655402:LML655406 LWH655402:LWH655406 MGD655402:MGD655406 MPZ655402:MPZ655406 MZV655402:MZV655406 NJR655402:NJR655406 NTN655402:NTN655406 ODJ655402:ODJ655406 ONF655402:ONF655406 OXB655402:OXB655406 PGX655402:PGX655406 PQT655402:PQT655406 QAP655402:QAP655406 QKL655402:QKL655406 QUH655402:QUH655406 RED655402:RED655406 RNZ655402:RNZ655406 RXV655402:RXV655406 SHR655402:SHR655406 SRN655402:SRN655406 TBJ655402:TBJ655406 TLF655402:TLF655406 TVB655402:TVB655406 UEX655402:UEX655406 UOT655402:UOT655406 UYP655402:UYP655406 VIL655402:VIL655406 VSH655402:VSH655406 WCD655402:WCD655406 WLZ655402:WLZ655406 WVV655402:WVV655406 N720938:N720942 JJ720938:JJ720942 TF720938:TF720942 ADB720938:ADB720942 AMX720938:AMX720942 AWT720938:AWT720942 BGP720938:BGP720942 BQL720938:BQL720942 CAH720938:CAH720942 CKD720938:CKD720942 CTZ720938:CTZ720942 DDV720938:DDV720942 DNR720938:DNR720942 DXN720938:DXN720942 EHJ720938:EHJ720942 ERF720938:ERF720942 FBB720938:FBB720942 FKX720938:FKX720942 FUT720938:FUT720942 GEP720938:GEP720942 GOL720938:GOL720942 GYH720938:GYH720942 HID720938:HID720942 HRZ720938:HRZ720942 IBV720938:IBV720942 ILR720938:ILR720942 IVN720938:IVN720942 JFJ720938:JFJ720942 JPF720938:JPF720942 JZB720938:JZB720942 KIX720938:KIX720942 KST720938:KST720942 LCP720938:LCP720942 LML720938:LML720942 LWH720938:LWH720942 MGD720938:MGD720942 MPZ720938:MPZ720942 MZV720938:MZV720942 NJR720938:NJR720942 NTN720938:NTN720942 ODJ720938:ODJ720942 ONF720938:ONF720942 OXB720938:OXB720942 PGX720938:PGX720942 PQT720938:PQT720942 QAP720938:QAP720942 QKL720938:QKL720942 QUH720938:QUH720942 RED720938:RED720942 RNZ720938:RNZ720942 RXV720938:RXV720942 SHR720938:SHR720942 SRN720938:SRN720942 TBJ720938:TBJ720942 TLF720938:TLF720942 TVB720938:TVB720942 UEX720938:UEX720942 UOT720938:UOT720942 UYP720938:UYP720942 VIL720938:VIL720942 VSH720938:VSH720942 WCD720938:WCD720942 WLZ720938:WLZ720942 WVV720938:WVV720942 N786474:N786478 JJ786474:JJ786478 TF786474:TF786478 ADB786474:ADB786478 AMX786474:AMX786478 AWT786474:AWT786478 BGP786474:BGP786478 BQL786474:BQL786478 CAH786474:CAH786478 CKD786474:CKD786478 CTZ786474:CTZ786478 DDV786474:DDV786478 DNR786474:DNR786478 DXN786474:DXN786478 EHJ786474:EHJ786478 ERF786474:ERF786478 FBB786474:FBB786478 FKX786474:FKX786478 FUT786474:FUT786478 GEP786474:GEP786478 GOL786474:GOL786478 GYH786474:GYH786478 HID786474:HID786478 HRZ786474:HRZ786478 IBV786474:IBV786478 ILR786474:ILR786478 IVN786474:IVN786478 JFJ786474:JFJ786478 JPF786474:JPF786478 JZB786474:JZB786478 KIX786474:KIX786478 KST786474:KST786478 LCP786474:LCP786478 LML786474:LML786478 LWH786474:LWH786478 MGD786474:MGD786478 MPZ786474:MPZ786478 MZV786474:MZV786478 NJR786474:NJR786478 NTN786474:NTN786478 ODJ786474:ODJ786478 ONF786474:ONF786478 OXB786474:OXB786478 PGX786474:PGX786478 PQT786474:PQT786478 QAP786474:QAP786478 QKL786474:QKL786478 QUH786474:QUH786478 RED786474:RED786478 RNZ786474:RNZ786478 RXV786474:RXV786478 SHR786474:SHR786478 SRN786474:SRN786478 TBJ786474:TBJ786478 TLF786474:TLF786478 TVB786474:TVB786478 UEX786474:UEX786478 UOT786474:UOT786478 UYP786474:UYP786478 VIL786474:VIL786478 VSH786474:VSH786478 WCD786474:WCD786478 WLZ786474:WLZ786478 WVV786474:WVV786478 N852010:N852014 JJ852010:JJ852014 TF852010:TF852014 ADB852010:ADB852014 AMX852010:AMX852014 AWT852010:AWT852014 BGP852010:BGP852014 BQL852010:BQL852014 CAH852010:CAH852014 CKD852010:CKD852014 CTZ852010:CTZ852014 DDV852010:DDV852014 DNR852010:DNR852014 DXN852010:DXN852014 EHJ852010:EHJ852014 ERF852010:ERF852014 FBB852010:FBB852014 FKX852010:FKX852014 FUT852010:FUT852014 GEP852010:GEP852014 GOL852010:GOL852014 GYH852010:GYH852014 HID852010:HID852014 HRZ852010:HRZ852014 IBV852010:IBV852014 ILR852010:ILR852014 IVN852010:IVN852014 JFJ852010:JFJ852014 JPF852010:JPF852014 JZB852010:JZB852014 KIX852010:KIX852014 KST852010:KST852014 LCP852010:LCP852014 LML852010:LML852014 LWH852010:LWH852014 MGD852010:MGD852014 MPZ852010:MPZ852014 MZV852010:MZV852014 NJR852010:NJR852014 NTN852010:NTN852014 ODJ852010:ODJ852014 ONF852010:ONF852014 OXB852010:OXB852014 PGX852010:PGX852014 PQT852010:PQT852014 QAP852010:QAP852014 QKL852010:QKL852014 QUH852010:QUH852014 RED852010:RED852014 RNZ852010:RNZ852014 RXV852010:RXV852014 SHR852010:SHR852014 SRN852010:SRN852014 TBJ852010:TBJ852014 TLF852010:TLF852014 TVB852010:TVB852014 UEX852010:UEX852014 UOT852010:UOT852014 UYP852010:UYP852014 VIL852010:VIL852014 VSH852010:VSH852014 WCD852010:WCD852014 WLZ852010:WLZ852014 WVV852010:WVV852014 N917546:N917550 JJ917546:JJ917550 TF917546:TF917550 ADB917546:ADB917550 AMX917546:AMX917550 AWT917546:AWT917550 BGP917546:BGP917550 BQL917546:BQL917550 CAH917546:CAH917550 CKD917546:CKD917550 CTZ917546:CTZ917550 DDV917546:DDV917550 DNR917546:DNR917550 DXN917546:DXN917550 EHJ917546:EHJ917550 ERF917546:ERF917550 FBB917546:FBB917550 FKX917546:FKX917550 FUT917546:FUT917550 GEP917546:GEP917550 GOL917546:GOL917550 GYH917546:GYH917550 HID917546:HID917550 HRZ917546:HRZ917550 IBV917546:IBV917550 ILR917546:ILR917550 IVN917546:IVN917550 JFJ917546:JFJ917550 JPF917546:JPF917550 JZB917546:JZB917550 KIX917546:KIX917550 KST917546:KST917550 LCP917546:LCP917550 LML917546:LML917550 LWH917546:LWH917550 MGD917546:MGD917550 MPZ917546:MPZ917550 MZV917546:MZV917550 NJR917546:NJR917550 NTN917546:NTN917550 ODJ917546:ODJ917550 ONF917546:ONF917550 OXB917546:OXB917550 PGX917546:PGX917550 PQT917546:PQT917550 QAP917546:QAP917550 QKL917546:QKL917550 QUH917546:QUH917550 RED917546:RED917550 RNZ917546:RNZ917550 RXV917546:RXV917550 SHR917546:SHR917550 SRN917546:SRN917550 TBJ917546:TBJ917550 TLF917546:TLF917550 TVB917546:TVB917550 UEX917546:UEX917550 UOT917546:UOT917550 UYP917546:UYP917550 VIL917546:VIL917550 VSH917546:VSH917550 WCD917546:WCD917550 WLZ917546:WLZ917550 WVV917546:WVV917550 N983082:N983086 JJ983082:JJ983086 TF983082:TF983086 ADB983082:ADB983086 AMX983082:AMX983086 AWT983082:AWT983086 BGP983082:BGP983086 BQL983082:BQL983086 CAH983082:CAH983086 CKD983082:CKD983086 CTZ983082:CTZ983086 DDV983082:DDV983086 DNR983082:DNR983086 DXN983082:DXN983086 EHJ983082:EHJ983086 ERF983082:ERF983086 FBB983082:FBB983086 FKX983082:FKX983086 FUT983082:FUT983086 GEP983082:GEP983086 GOL983082:GOL983086 GYH983082:GYH983086 HID983082:HID983086 HRZ983082:HRZ983086 IBV983082:IBV983086 ILR983082:ILR983086 IVN983082:IVN983086 JFJ983082:JFJ983086 JPF983082:JPF983086 JZB983082:JZB983086 KIX983082:KIX983086 KST983082:KST983086 LCP983082:LCP983086 LML983082:LML983086 LWH983082:LWH983086 MGD983082:MGD983086 MPZ983082:MPZ983086 MZV983082:MZV983086 NJR983082:NJR983086 NTN983082:NTN983086 ODJ983082:ODJ983086 ONF983082:ONF983086 OXB983082:OXB983086 PGX983082:PGX983086 PQT983082:PQT983086 QAP983082:QAP983086 QKL983082:QKL983086 QUH983082:QUH983086 RED983082:RED983086 RNZ983082:RNZ983086 RXV983082:RXV983086 SHR983082:SHR983086 SRN983082:SRN983086 TBJ983082:TBJ983086 TLF983082:TLF983086 TVB983082:TVB983086 UEX983082:UEX983086 UOT983082:UOT983086 UYP983082:UYP983086 VIL983082:VIL983086 VSH983082:VSH983086 WCD983082:WCD983086 WLZ983082:WLZ983086 WVV983082:WVV983086">
      <formula1>$T$50:$T$53</formula1>
    </dataValidation>
  </dataValidations>
  <hyperlinks>
    <hyperlink ref="A1" location="'Table Of Contents'!A1" display="TOC"/>
  </hyperlinks>
  <pageMargins left="0.75" right="0.75" top="1" bottom="1" header="0.5" footer="0.5"/>
  <pageSetup scale="43" fitToHeight="0" orientation="portrait" r:id="rId1"/>
  <headerFooter alignWithMargins="0">
    <oddFooter>Page &amp;P of &amp;N</oddFooter>
  </headerFooter>
  <rowBreaks count="1" manualBreakCount="1">
    <brk id="25" min="1" max="15"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00FF00"/>
    <pageSetUpPr fitToPage="1"/>
  </sheetPr>
  <dimension ref="A1:BO179"/>
  <sheetViews>
    <sheetView showGridLines="0" view="pageBreakPreview" zoomScale="90" zoomScaleNormal="75" zoomScaleSheetLayoutView="90" workbookViewId="0">
      <selection activeCell="B1" sqref="B1"/>
    </sheetView>
  </sheetViews>
  <sheetFormatPr defaultRowHeight="12.75"/>
  <cols>
    <col min="1" max="1" width="9.140625" style="1324"/>
    <col min="2" max="2" width="20" style="1324" customWidth="1"/>
    <col min="3" max="3" width="14.5703125" style="1324" customWidth="1"/>
    <col min="4" max="4" width="23.42578125" style="1324" customWidth="1"/>
    <col min="5" max="7" width="12.7109375" style="1324" customWidth="1"/>
    <col min="8" max="8" width="10.7109375" style="1324" customWidth="1"/>
    <col min="9" max="9" width="11" style="1324" customWidth="1"/>
    <col min="10" max="10" width="14.5703125" style="1324" customWidth="1"/>
    <col min="11" max="12" width="9.140625" style="1324"/>
    <col min="13" max="13" width="12.7109375" style="1324" customWidth="1"/>
    <col min="14" max="14" width="18.28515625" style="1324" customWidth="1"/>
    <col min="15" max="16" width="9.140625" style="1324"/>
    <col min="17" max="17" width="9.140625" style="1324" hidden="1" customWidth="1"/>
    <col min="18" max="16384" width="9.140625" style="1324"/>
  </cols>
  <sheetData>
    <row r="1" spans="1:67" ht="26.25" customHeight="1">
      <c r="A1" s="1534" t="s">
        <v>1408</v>
      </c>
      <c r="B1" s="1138"/>
      <c r="C1" s="1137"/>
      <c r="D1" s="1138"/>
      <c r="E1" s="1138"/>
      <c r="F1" s="1140"/>
      <c r="G1" s="1138"/>
      <c r="H1" s="1138"/>
      <c r="I1" s="1138"/>
      <c r="J1" s="1138"/>
    </row>
    <row r="2" spans="1:67" ht="26.25" customHeight="1">
      <c r="B2" s="1138"/>
      <c r="C2" s="1137" t="str">
        <f>'1.1 - APPLIANCES'!C2</f>
        <v>MULTIFAMILY PERFORMANCE PROGRAM</v>
      </c>
      <c r="D2" s="1138"/>
      <c r="E2" s="1138"/>
      <c r="F2" s="1140"/>
      <c r="G2" s="1138"/>
      <c r="H2" s="1138"/>
      <c r="I2" s="1138"/>
      <c r="J2" s="1138"/>
    </row>
    <row r="3" spans="1:67" ht="26.25" customHeight="1">
      <c r="B3" s="1138"/>
      <c r="C3" s="1139" t="s">
        <v>368</v>
      </c>
      <c r="D3" s="1139">
        <f>'Project Info'!C3</f>
        <v>0</v>
      </c>
      <c r="E3" s="1138"/>
      <c r="F3" s="1140"/>
      <c r="G3" s="1138"/>
      <c r="H3" s="1138"/>
      <c r="I3" s="1138"/>
      <c r="J3" s="1138"/>
    </row>
    <row r="4" spans="1:67" ht="26.25" customHeight="1">
      <c r="A4" s="1551"/>
      <c r="B4" s="1138"/>
      <c r="C4" s="1138"/>
      <c r="D4" s="1138"/>
      <c r="E4" s="1138"/>
      <c r="F4" s="1138"/>
      <c r="G4" s="1138"/>
      <c r="H4" s="1138"/>
      <c r="I4" s="1138"/>
      <c r="J4" s="1157"/>
      <c r="K4" s="795"/>
      <c r="L4" s="1529"/>
      <c r="M4" s="1529"/>
      <c r="N4" s="1529"/>
    </row>
    <row r="5" spans="1:67" s="1629" customFormat="1" ht="15.75">
      <c r="A5" s="1533"/>
      <c r="B5" s="1141" t="s">
        <v>1582</v>
      </c>
      <c r="C5" s="1142"/>
      <c r="D5" s="1142"/>
      <c r="E5" s="1203"/>
      <c r="F5" s="1203"/>
      <c r="G5" s="1204"/>
      <c r="H5" s="1189"/>
      <c r="I5" s="1189"/>
      <c r="J5" s="1395"/>
      <c r="K5" s="1395"/>
      <c r="L5" s="1395"/>
      <c r="M5" s="1352" t="s">
        <v>1411</v>
      </c>
      <c r="N5" s="1352" t="s">
        <v>1412</v>
      </c>
      <c r="O5" s="1540"/>
      <c r="P5" s="1540"/>
      <c r="Q5" s="1540"/>
      <c r="R5" s="1540"/>
      <c r="S5" s="1540"/>
      <c r="T5" s="1540"/>
      <c r="U5" s="1540"/>
      <c r="V5" s="1540"/>
      <c r="W5" s="1540"/>
      <c r="X5" s="1540"/>
      <c r="Y5" s="1540"/>
      <c r="Z5" s="1540"/>
      <c r="AA5" s="1540"/>
      <c r="AB5" s="1540"/>
      <c r="AC5" s="1540"/>
      <c r="AD5" s="1540"/>
      <c r="AE5" s="1540"/>
      <c r="AF5" s="1540"/>
      <c r="AG5" s="1540"/>
      <c r="AH5" s="1540"/>
      <c r="AI5" s="1540"/>
      <c r="AJ5" s="1540"/>
      <c r="AK5" s="1540"/>
      <c r="AL5" s="1540"/>
      <c r="AM5" s="1540"/>
      <c r="AN5" s="1540"/>
      <c r="AO5" s="1540"/>
      <c r="AP5" s="1540"/>
      <c r="AQ5" s="1540"/>
      <c r="AR5" s="1540"/>
      <c r="AS5" s="1540"/>
      <c r="AT5" s="1540"/>
      <c r="AU5" s="1540"/>
      <c r="AV5" s="1540"/>
      <c r="AW5" s="1540"/>
      <c r="AX5" s="1540"/>
      <c r="AY5" s="1540"/>
      <c r="AZ5" s="1540"/>
      <c r="BA5" s="1540"/>
      <c r="BB5" s="1540"/>
      <c r="BC5" s="1540"/>
      <c r="BD5" s="1540"/>
      <c r="BE5" s="1540"/>
      <c r="BF5" s="1540"/>
      <c r="BG5" s="1540"/>
      <c r="BH5" s="1540"/>
      <c r="BI5" s="1540"/>
      <c r="BJ5" s="1540"/>
      <c r="BK5" s="1540"/>
      <c r="BL5" s="1540"/>
      <c r="BM5" s="1540"/>
      <c r="BN5" s="1540"/>
      <c r="BO5" s="1540"/>
    </row>
    <row r="6" spans="1:67" s="1561" customFormat="1">
      <c r="B6" s="1145"/>
      <c r="C6" s="1145"/>
      <c r="D6" s="1145"/>
      <c r="E6" s="1145"/>
      <c r="F6" s="1145"/>
      <c r="G6" s="1145"/>
      <c r="H6" s="1145"/>
      <c r="I6" s="1145"/>
      <c r="J6" s="1348"/>
      <c r="K6" s="1529"/>
      <c r="L6" s="1531"/>
      <c r="M6" s="1363" t="s">
        <v>1413</v>
      </c>
      <c r="N6" s="1385"/>
    </row>
    <row r="7" spans="1:67" s="1561" customFormat="1">
      <c r="B7" s="1191" t="s">
        <v>1414</v>
      </c>
      <c r="C7" s="1191"/>
      <c r="D7" s="1191"/>
      <c r="E7" s="1191"/>
      <c r="F7" s="1191"/>
      <c r="G7" s="1191"/>
      <c r="H7" s="1145"/>
      <c r="I7" s="1145"/>
      <c r="J7" s="1348"/>
      <c r="K7" s="1529"/>
      <c r="L7" s="1531"/>
      <c r="M7" s="1349"/>
      <c r="N7" s="1350"/>
    </row>
    <row r="8" spans="1:67" s="1561" customFormat="1">
      <c r="B8" s="1190" t="s">
        <v>1583</v>
      </c>
      <c r="C8" s="1145"/>
      <c r="D8" s="1145"/>
      <c r="E8" s="1145"/>
      <c r="F8" s="1145"/>
      <c r="G8" s="1145"/>
      <c r="H8" s="1145"/>
      <c r="I8" s="1145"/>
      <c r="J8" s="1348"/>
      <c r="K8" s="1529"/>
      <c r="L8" s="1531"/>
      <c r="M8" s="1349"/>
      <c r="N8" s="1350"/>
    </row>
    <row r="9" spans="1:67" ht="25.5" customHeight="1">
      <c r="B9" s="2794"/>
      <c r="C9" s="2794"/>
      <c r="D9" s="2794"/>
      <c r="E9" s="2794"/>
      <c r="F9" s="1144"/>
      <c r="G9" s="1138"/>
      <c r="H9" s="1138"/>
      <c r="I9" s="1138"/>
      <c r="J9" s="1138"/>
      <c r="K9" s="795"/>
      <c r="L9" s="1451"/>
      <c r="M9" s="1451"/>
      <c r="N9" s="1451"/>
    </row>
    <row r="10" spans="1:67">
      <c r="A10" s="1528"/>
      <c r="B10" s="1144"/>
      <c r="C10" s="1144"/>
      <c r="D10" s="1144"/>
      <c r="E10" s="1144"/>
      <c r="F10" s="1144"/>
      <c r="G10" s="1138"/>
      <c r="H10" s="1138"/>
      <c r="I10" s="790"/>
      <c r="J10" s="790"/>
      <c r="N10" s="1451"/>
    </row>
    <row r="11" spans="1:67">
      <c r="A11" s="1528"/>
      <c r="B11" s="1200" t="s">
        <v>1416</v>
      </c>
      <c r="C11" s="1144"/>
      <c r="D11" s="1144"/>
      <c r="E11" s="1144"/>
      <c r="F11" s="1144"/>
      <c r="G11" s="1138"/>
      <c r="H11" s="1138"/>
      <c r="I11" s="790"/>
      <c r="J11" s="790"/>
      <c r="N11" s="1451"/>
    </row>
    <row r="12" spans="1:67">
      <c r="A12" s="1528"/>
      <c r="B12" s="1144" t="s">
        <v>1417</v>
      </c>
      <c r="C12" s="1144"/>
      <c r="D12" s="1144"/>
      <c r="E12" s="1144"/>
      <c r="F12" s="1205"/>
      <c r="G12" s="1138"/>
      <c r="H12" s="1138"/>
      <c r="I12" s="790"/>
      <c r="J12" s="790"/>
      <c r="N12" s="1529"/>
    </row>
    <row r="13" spans="1:67">
      <c r="A13" s="1528"/>
      <c r="B13" s="1149" t="s">
        <v>1466</v>
      </c>
      <c r="C13" s="1144"/>
      <c r="D13" s="1144"/>
      <c r="E13" s="1144"/>
      <c r="F13" s="1144"/>
      <c r="G13" s="1138"/>
      <c r="H13" s="1138"/>
      <c r="I13" s="790"/>
      <c r="J13" s="790"/>
      <c r="N13" s="1529"/>
    </row>
    <row r="14" spans="1:67">
      <c r="A14" s="1528"/>
      <c r="B14" s="1144" t="s">
        <v>1419</v>
      </c>
      <c r="C14" s="1144"/>
      <c r="D14" s="1144"/>
      <c r="E14" s="1144"/>
      <c r="F14" s="1206"/>
      <c r="G14" s="1138"/>
      <c r="H14" s="1138"/>
      <c r="I14" s="790"/>
      <c r="J14" s="790"/>
      <c r="N14" s="1529"/>
    </row>
    <row r="15" spans="1:67">
      <c r="A15" s="1528"/>
      <c r="B15" s="1144" t="s">
        <v>1584</v>
      </c>
      <c r="C15" s="1144"/>
      <c r="D15" s="1144"/>
      <c r="E15" s="1144"/>
      <c r="F15" s="1144"/>
      <c r="G15" s="1138"/>
      <c r="H15" s="1138"/>
      <c r="I15" s="790"/>
      <c r="J15" s="790"/>
      <c r="N15" s="1529"/>
    </row>
    <row r="16" spans="1:67">
      <c r="A16" s="1528"/>
      <c r="B16" s="1144" t="s">
        <v>1585</v>
      </c>
      <c r="C16" s="1144"/>
      <c r="D16" s="1144"/>
      <c r="E16" s="1144"/>
      <c r="F16" s="1144"/>
      <c r="G16" s="1138"/>
      <c r="H16" s="1138"/>
      <c r="I16" s="790"/>
      <c r="J16" s="790"/>
      <c r="N16" s="1529"/>
    </row>
    <row r="17" spans="1:17">
      <c r="A17" s="1528"/>
      <c r="B17" s="1144" t="s">
        <v>1586</v>
      </c>
      <c r="C17" s="1144"/>
      <c r="D17" s="1144"/>
      <c r="E17" s="1144"/>
      <c r="F17" s="1144"/>
      <c r="G17" s="1138"/>
      <c r="H17" s="1138"/>
      <c r="I17" s="790"/>
      <c r="J17" s="790"/>
      <c r="N17" s="1529"/>
    </row>
    <row r="18" spans="1:17">
      <c r="A18" s="1528"/>
      <c r="B18" s="1144"/>
      <c r="C18" s="1144"/>
      <c r="D18" s="1144"/>
      <c r="E18" s="1144"/>
      <c r="F18" s="1144"/>
      <c r="G18" s="1138"/>
      <c r="H18" s="1138"/>
      <c r="I18" s="790"/>
      <c r="J18" s="790"/>
      <c r="N18" s="1529"/>
    </row>
    <row r="19" spans="1:17">
      <c r="A19" s="1528"/>
      <c r="B19" s="1148" t="s">
        <v>1420</v>
      </c>
      <c r="C19" s="1144"/>
      <c r="D19" s="1144"/>
      <c r="E19" s="1144"/>
      <c r="F19" s="1144"/>
      <c r="G19" s="1144"/>
      <c r="H19" s="1144"/>
      <c r="I19" s="790"/>
      <c r="J19" s="790"/>
      <c r="N19" s="1529"/>
    </row>
    <row r="20" spans="1:17">
      <c r="A20" s="1528"/>
      <c r="B20" s="1149" t="s">
        <v>1587</v>
      </c>
      <c r="C20" s="1144"/>
      <c r="D20" s="1144"/>
      <c r="E20" s="1144"/>
      <c r="F20" s="1144"/>
      <c r="G20" s="1144"/>
      <c r="H20" s="1144"/>
      <c r="I20" s="1144"/>
      <c r="J20" s="1144"/>
      <c r="K20" s="1529"/>
      <c r="L20" s="1529"/>
      <c r="M20" s="1529"/>
      <c r="N20" s="1529"/>
    </row>
    <row r="21" spans="1:17" ht="39.75" customHeight="1">
      <c r="A21" s="1528"/>
      <c r="B21" s="2671" t="s">
        <v>1588</v>
      </c>
      <c r="C21" s="2671"/>
      <c r="D21" s="2671"/>
      <c r="E21" s="2671"/>
      <c r="F21" s="2671"/>
      <c r="G21" s="2671"/>
      <c r="H21" s="2671"/>
      <c r="I21" s="2671"/>
      <c r="J21" s="2671"/>
      <c r="K21" s="1529"/>
      <c r="L21" s="1529"/>
      <c r="M21" s="1529"/>
      <c r="N21" s="1529"/>
    </row>
    <row r="22" spans="1:17">
      <c r="A22" s="1528"/>
      <c r="B22" s="1200" t="s">
        <v>1423</v>
      </c>
      <c r="C22" s="1144"/>
      <c r="D22" s="1144"/>
      <c r="E22" s="1144"/>
      <c r="F22" s="1144"/>
      <c r="G22" s="1144"/>
      <c r="H22" s="1144"/>
      <c r="I22" s="1144"/>
      <c r="J22" s="1144"/>
      <c r="K22" s="1529"/>
      <c r="L22" s="1529"/>
      <c r="M22" s="1529"/>
      <c r="N22" s="1529"/>
      <c r="O22" s="1529"/>
      <c r="P22" s="1529"/>
      <c r="Q22" s="1528"/>
    </row>
    <row r="23" spans="1:17" ht="26.25" customHeight="1">
      <c r="A23" s="1528"/>
      <c r="B23" s="2787" t="s">
        <v>2174</v>
      </c>
      <c r="C23" s="2787"/>
      <c r="D23" s="2787"/>
      <c r="E23" s="2787"/>
      <c r="F23" s="2787"/>
      <c r="G23" s="2787"/>
      <c r="H23" s="2787"/>
      <c r="I23" s="2787"/>
      <c r="J23" s="2787"/>
      <c r="K23" s="1529"/>
      <c r="L23" s="1529"/>
      <c r="M23" s="1529"/>
      <c r="N23" s="1529"/>
      <c r="O23" s="1529"/>
      <c r="P23" s="1529"/>
      <c r="Q23" s="1528"/>
    </row>
    <row r="24" spans="1:17">
      <c r="A24" s="1528"/>
      <c r="B24" s="1648"/>
      <c r="C24" s="1529"/>
      <c r="D24" s="1529"/>
      <c r="E24" s="1529"/>
      <c r="F24" s="1529"/>
      <c r="G24" s="1529"/>
      <c r="H24" s="1529"/>
      <c r="I24" s="1529"/>
      <c r="J24" s="1529"/>
      <c r="K24" s="1529"/>
      <c r="L24" s="1529"/>
      <c r="M24" s="1529"/>
      <c r="N24" s="1529"/>
    </row>
    <row r="25" spans="1:17" ht="80.099999999999994" customHeight="1">
      <c r="B25" s="1207" t="s">
        <v>1425</v>
      </c>
      <c r="C25" s="1207"/>
      <c r="D25" s="1339"/>
      <c r="E25" s="1339"/>
      <c r="F25" s="1342"/>
      <c r="G25" s="2679" t="s">
        <v>1433</v>
      </c>
      <c r="H25" s="2679"/>
      <c r="I25" s="2679"/>
      <c r="J25" s="1339" t="s">
        <v>1493</v>
      </c>
      <c r="K25" s="1155" t="s">
        <v>1435</v>
      </c>
    </row>
    <row r="26" spans="1:17" ht="119.25" customHeight="1">
      <c r="A26" s="1426"/>
      <c r="B26" s="2680" t="s">
        <v>2173</v>
      </c>
      <c r="C26" s="2694"/>
      <c r="D26" s="2694"/>
      <c r="E26" s="2694"/>
      <c r="F26" s="2733"/>
      <c r="G26" s="2692"/>
      <c r="H26" s="2705"/>
      <c r="I26" s="2705"/>
      <c r="J26" s="1359"/>
      <c r="K26" s="927"/>
    </row>
    <row r="27" spans="1:17" ht="80.099999999999994" customHeight="1">
      <c r="B27" s="1162" t="s">
        <v>1453</v>
      </c>
      <c r="C27" s="1367" t="s">
        <v>1589</v>
      </c>
      <c r="D27" s="1367" t="s">
        <v>1570</v>
      </c>
      <c r="E27" s="1367" t="s">
        <v>1590</v>
      </c>
      <c r="F27" s="1162" t="s">
        <v>1591</v>
      </c>
      <c r="G27" s="1162" t="s">
        <v>2172</v>
      </c>
      <c r="H27" s="1162" t="s">
        <v>1592</v>
      </c>
      <c r="I27" s="1367" t="s">
        <v>1593</v>
      </c>
      <c r="J27" s="1339" t="s">
        <v>1493</v>
      </c>
      <c r="K27" s="1155" t="s">
        <v>1435</v>
      </c>
      <c r="L27" s="1155" t="s">
        <v>1436</v>
      </c>
      <c r="M27" s="2791" t="s">
        <v>1594</v>
      </c>
      <c r="N27" s="2791"/>
    </row>
    <row r="28" spans="1:17">
      <c r="B28" s="892"/>
      <c r="C28" s="892"/>
      <c r="D28" s="892"/>
      <c r="E28" s="892"/>
      <c r="F28" s="892"/>
      <c r="G28" s="892"/>
      <c r="H28" s="892"/>
      <c r="I28" s="892"/>
      <c r="J28" s="892"/>
      <c r="K28" s="1376"/>
      <c r="L28" s="1369"/>
      <c r="M28" s="2792"/>
      <c r="N28" s="2792"/>
    </row>
    <row r="29" spans="1:17">
      <c r="B29" s="892"/>
      <c r="C29" s="892"/>
      <c r="D29" s="892"/>
      <c r="E29" s="892"/>
      <c r="F29" s="892"/>
      <c r="G29" s="892"/>
      <c r="H29" s="892"/>
      <c r="I29" s="892"/>
      <c r="J29" s="892"/>
      <c r="K29" s="1376"/>
      <c r="L29" s="1369"/>
      <c r="M29" s="2792"/>
      <c r="N29" s="2792"/>
    </row>
    <row r="30" spans="1:17">
      <c r="B30" s="892"/>
      <c r="C30" s="892"/>
      <c r="D30" s="892"/>
      <c r="E30" s="892"/>
      <c r="F30" s="892"/>
      <c r="G30" s="892"/>
      <c r="H30" s="892"/>
      <c r="I30" s="892"/>
      <c r="J30" s="892"/>
      <c r="K30" s="1376"/>
      <c r="L30" s="1369"/>
      <c r="M30" s="2792"/>
      <c r="N30" s="2792"/>
    </row>
    <row r="31" spans="1:17">
      <c r="B31" s="892"/>
      <c r="C31" s="892"/>
      <c r="D31" s="892"/>
      <c r="E31" s="892"/>
      <c r="F31" s="892"/>
      <c r="G31" s="892"/>
      <c r="H31" s="892"/>
      <c r="I31" s="892"/>
      <c r="J31" s="892"/>
      <c r="K31" s="1376"/>
      <c r="L31" s="1369"/>
      <c r="M31" s="2792"/>
      <c r="N31" s="2792"/>
    </row>
    <row r="32" spans="1:17">
      <c r="B32" s="892"/>
      <c r="C32" s="892"/>
      <c r="D32" s="892"/>
      <c r="E32" s="892"/>
      <c r="F32" s="892"/>
      <c r="G32" s="892"/>
      <c r="H32" s="892"/>
      <c r="I32" s="892"/>
      <c r="J32" s="892"/>
      <c r="K32" s="1376"/>
      <c r="L32" s="1369"/>
      <c r="M32" s="2792"/>
      <c r="N32" s="2792"/>
    </row>
    <row r="33" spans="1:17">
      <c r="A33" s="1528"/>
      <c r="B33" s="1648"/>
      <c r="C33" s="1529"/>
      <c r="D33" s="1529"/>
      <c r="E33" s="1529"/>
      <c r="F33" s="1529"/>
      <c r="G33" s="1529"/>
      <c r="H33" s="1529"/>
      <c r="I33" s="1529"/>
      <c r="J33" s="1529"/>
      <c r="K33" s="1529"/>
      <c r="L33" s="1529"/>
      <c r="M33" s="1529"/>
      <c r="N33" s="1529"/>
    </row>
    <row r="34" spans="1:17">
      <c r="A34" s="1528"/>
      <c r="B34" s="1648"/>
      <c r="C34" s="1529"/>
      <c r="D34" s="1529"/>
      <c r="E34" s="1529"/>
      <c r="F34" s="1529"/>
      <c r="G34" s="1529"/>
      <c r="H34" s="1529"/>
      <c r="I34" s="1529"/>
      <c r="J34" s="1529"/>
      <c r="K34" s="1529"/>
      <c r="L34" s="1529"/>
      <c r="M34" s="1529"/>
      <c r="N34" s="1529"/>
    </row>
    <row r="35" spans="1:17">
      <c r="A35" s="1528"/>
      <c r="B35" s="1648"/>
      <c r="C35" s="1529"/>
      <c r="D35" s="1529"/>
      <c r="E35" s="1529"/>
      <c r="F35" s="1529"/>
      <c r="G35" s="1529"/>
      <c r="H35" s="1529"/>
      <c r="I35" s="1529"/>
      <c r="J35" s="1529"/>
      <c r="K35" s="1529"/>
      <c r="L35" s="1529"/>
      <c r="M35" s="1529"/>
      <c r="N35" s="1529"/>
    </row>
    <row r="36" spans="1:17" ht="80.099999999999994" customHeight="1">
      <c r="B36" s="2667" t="s">
        <v>1439</v>
      </c>
      <c r="C36" s="2667"/>
      <c r="D36" s="1342" t="s">
        <v>1426</v>
      </c>
      <c r="E36" s="2710" t="s">
        <v>2171</v>
      </c>
      <c r="F36" s="2710"/>
      <c r="G36" s="2679" t="s">
        <v>1433</v>
      </c>
      <c r="H36" s="2679"/>
      <c r="I36" s="2679"/>
      <c r="J36" s="1339" t="s">
        <v>1493</v>
      </c>
      <c r="K36" s="1155" t="s">
        <v>1435</v>
      </c>
      <c r="L36" s="1155" t="s">
        <v>1436</v>
      </c>
      <c r="M36" s="2793" t="s">
        <v>1594</v>
      </c>
      <c r="N36" s="2793"/>
    </row>
    <row r="37" spans="1:17" ht="192" customHeight="1">
      <c r="A37" s="1426"/>
      <c r="B37" s="2672" t="s">
        <v>2170</v>
      </c>
      <c r="C37" s="2782"/>
      <c r="D37" s="891" t="str">
        <f>IF('Project Info'!$C$4='Project Info'!$P$32,'Prescriptive Path Checklist'!C27,IF('Project Info'!C4='Project Info'!P33,#REF!,"&lt;Select compliance path on the 'Project Info' tab&gt;"))</f>
        <v>Assembly U-value determinations must follow ASHRAE 90.1-2010, Appendix A.
See Tables 2 and 3 for climate specific envelope requirements for the following components: roof insulation; above grade and below grade wall insulation; floor and slab insulation; exterior doors; and vertical glazing.</v>
      </c>
      <c r="E37" s="2706">
        <f>ERMs!B32</f>
        <v>0</v>
      </c>
      <c r="F37" s="2707"/>
      <c r="G37" s="2692"/>
      <c r="H37" s="2692"/>
      <c r="I37" s="2692"/>
      <c r="J37" s="928"/>
      <c r="K37" s="929"/>
      <c r="L37" s="1383"/>
      <c r="M37" s="2790"/>
      <c r="N37" s="2790"/>
      <c r="Q37" s="795"/>
    </row>
    <row r="38" spans="1:17" ht="53.25" customHeight="1">
      <c r="B38" s="2703" t="s">
        <v>1595</v>
      </c>
      <c r="C38" s="2761"/>
      <c r="D38" s="2700" t="str">
        <f>IF('Project Info'!C4='Project Info'!P32,'Prescriptive Path Checklist'!C50,IF('Project Info'!C4='Project Info'!P33,#REF!,"&lt;Select compliance path on the 'Project Info' tab&gt;"))</f>
        <v>When required by local building code, entranceways shall be designed with vestibules with weather-stripping hard-fastened to the door or frame.</v>
      </c>
      <c r="E38" s="2795"/>
      <c r="F38" s="2702"/>
      <c r="G38" s="2692"/>
      <c r="H38" s="2692"/>
      <c r="I38" s="2692"/>
      <c r="J38" s="928"/>
      <c r="K38" s="929"/>
      <c r="L38" s="1383"/>
      <c r="M38" s="2790"/>
      <c r="N38" s="2790"/>
    </row>
    <row r="39" spans="1:17" ht="28.5" customHeight="1">
      <c r="B39" s="2773" t="s">
        <v>1596</v>
      </c>
      <c r="C39" s="2774"/>
      <c r="D39" s="2774"/>
      <c r="E39" s="2774"/>
      <c r="F39" s="2774"/>
      <c r="G39" s="2774"/>
      <c r="H39" s="2774"/>
      <c r="I39" s="2774"/>
      <c r="J39" s="2774"/>
      <c r="K39" s="2774"/>
      <c r="L39" s="1383"/>
      <c r="M39" s="2790"/>
      <c r="N39" s="2790"/>
    </row>
    <row r="40" spans="1:17" ht="79.5" customHeight="1">
      <c r="A40" s="1426"/>
      <c r="B40" s="2773" t="s">
        <v>2169</v>
      </c>
      <c r="C40" s="2774"/>
      <c r="D40" s="2774"/>
      <c r="E40" s="2774"/>
      <c r="F40" s="2774"/>
      <c r="G40" s="2774"/>
      <c r="H40" s="2774"/>
      <c r="I40" s="2774"/>
      <c r="J40" s="2774"/>
      <c r="K40" s="2774"/>
      <c r="L40" s="1383"/>
      <c r="M40" s="2790"/>
      <c r="N40" s="2790"/>
    </row>
    <row r="41" spans="1:17" ht="25.5" customHeight="1">
      <c r="B41" s="2773" t="s">
        <v>1597</v>
      </c>
      <c r="C41" s="2774"/>
      <c r="D41" s="2774"/>
      <c r="E41" s="2774"/>
      <c r="F41" s="2774"/>
      <c r="G41" s="2774"/>
      <c r="H41" s="2774"/>
      <c r="I41" s="2774"/>
      <c r="J41" s="2774"/>
      <c r="K41" s="2774"/>
      <c r="L41" s="1383"/>
      <c r="M41" s="2790"/>
      <c r="N41" s="2790"/>
    </row>
    <row r="42" spans="1:17" ht="54" customHeight="1">
      <c r="B42" s="2773" t="s">
        <v>1581</v>
      </c>
      <c r="C42" s="2774"/>
      <c r="D42" s="2774"/>
      <c r="E42" s="2774"/>
      <c r="F42" s="2774"/>
      <c r="G42" s="2774"/>
      <c r="H42" s="2774"/>
      <c r="I42" s="2774"/>
      <c r="J42" s="2774"/>
      <c r="K42" s="2774"/>
      <c r="L42" s="1383"/>
      <c r="M42" s="2790"/>
      <c r="N42" s="2790"/>
    </row>
    <row r="43" spans="1:17">
      <c r="B43" s="795"/>
      <c r="C43" s="795"/>
      <c r="D43" s="795"/>
      <c r="E43" s="795"/>
      <c r="F43" s="795"/>
      <c r="G43" s="795"/>
      <c r="H43" s="795"/>
      <c r="I43" s="795"/>
      <c r="J43" s="795"/>
      <c r="K43" s="795"/>
      <c r="L43" s="795"/>
      <c r="M43" s="795"/>
      <c r="N43" s="795"/>
    </row>
    <row r="44" spans="1:17">
      <c r="B44" s="1651"/>
      <c r="C44" s="795"/>
      <c r="D44" s="795"/>
      <c r="E44" s="795"/>
      <c r="F44" s="795"/>
      <c r="G44" s="795"/>
      <c r="H44" s="795"/>
      <c r="I44" s="795"/>
      <c r="J44" s="795"/>
      <c r="K44" s="795"/>
      <c r="L44" s="795"/>
      <c r="M44" s="795"/>
      <c r="N44" s="795"/>
    </row>
    <row r="46" spans="1:17" ht="25.5">
      <c r="C46" s="1524"/>
    </row>
    <row r="47" spans="1:17" ht="25.5">
      <c r="C47" s="1524"/>
      <c r="Q47" s="1426" t="s">
        <v>362</v>
      </c>
    </row>
    <row r="48" spans="1:17" ht="25.5">
      <c r="C48" s="1524"/>
      <c r="Q48" s="1426" t="s">
        <v>364</v>
      </c>
    </row>
    <row r="49" spans="17:17">
      <c r="Q49" s="1426" t="s">
        <v>363</v>
      </c>
    </row>
    <row r="179" spans="2:2" ht="18">
      <c r="B179" s="794"/>
    </row>
  </sheetData>
  <sheetProtection formatCells="0" formatColumns="0" formatRows="0" insertColumns="0" insertRows="0"/>
  <mergeCells count="32">
    <mergeCell ref="B9:E9"/>
    <mergeCell ref="M39:N39"/>
    <mergeCell ref="B37:C37"/>
    <mergeCell ref="B26:F26"/>
    <mergeCell ref="G26:I26"/>
    <mergeCell ref="B21:J21"/>
    <mergeCell ref="M38:N38"/>
    <mergeCell ref="B23:J23"/>
    <mergeCell ref="M32:N32"/>
    <mergeCell ref="M31:N31"/>
    <mergeCell ref="G38:I38"/>
    <mergeCell ref="B38:C38"/>
    <mergeCell ref="D38:F38"/>
    <mergeCell ref="B36:C36"/>
    <mergeCell ref="M30:N30"/>
    <mergeCell ref="M29:N29"/>
    <mergeCell ref="M27:N27"/>
    <mergeCell ref="M28:N28"/>
    <mergeCell ref="G25:I25"/>
    <mergeCell ref="B39:K39"/>
    <mergeCell ref="M41:N41"/>
    <mergeCell ref="M36:N36"/>
    <mergeCell ref="G36:I36"/>
    <mergeCell ref="E36:F36"/>
    <mergeCell ref="E37:F37"/>
    <mergeCell ref="M37:N37"/>
    <mergeCell ref="G37:I37"/>
    <mergeCell ref="M42:N42"/>
    <mergeCell ref="B40:K40"/>
    <mergeCell ref="B41:K41"/>
    <mergeCell ref="B42:K42"/>
    <mergeCell ref="M40:N40"/>
  </mergeCells>
  <dataValidations count="2">
    <dataValidation type="list" allowBlank="1" showInputMessage="1" showErrorMessage="1" sqref="K26 JG26 TC26 ACY26 AMU26 AWQ26 BGM26 BQI26 CAE26 CKA26 CTW26 DDS26 DNO26 DXK26 EHG26 ERC26 FAY26 FKU26 FUQ26 GEM26 GOI26 GYE26 HIA26 HRW26 IBS26 ILO26 IVK26 JFG26 JPC26 JYY26 KIU26 KSQ26 LCM26 LMI26 LWE26 MGA26 MPW26 MZS26 NJO26 NTK26 ODG26 ONC26 OWY26 PGU26 PQQ26 QAM26 QKI26 QUE26 REA26 RNW26 RXS26 SHO26 SRK26 TBG26 TLC26 TUY26 UEU26 UOQ26 UYM26 VII26 VSE26 WCA26 WLW26 WVS26 K65562 JG65562 TC65562 ACY65562 AMU65562 AWQ65562 BGM65562 BQI65562 CAE65562 CKA65562 CTW65562 DDS65562 DNO65562 DXK65562 EHG65562 ERC65562 FAY65562 FKU65562 FUQ65562 GEM65562 GOI65562 GYE65562 HIA65562 HRW65562 IBS65562 ILO65562 IVK65562 JFG65562 JPC65562 JYY65562 KIU65562 KSQ65562 LCM65562 LMI65562 LWE65562 MGA65562 MPW65562 MZS65562 NJO65562 NTK65562 ODG65562 ONC65562 OWY65562 PGU65562 PQQ65562 QAM65562 QKI65562 QUE65562 REA65562 RNW65562 RXS65562 SHO65562 SRK65562 TBG65562 TLC65562 TUY65562 UEU65562 UOQ65562 UYM65562 VII65562 VSE65562 WCA65562 WLW65562 WVS65562 K131098 JG131098 TC131098 ACY131098 AMU131098 AWQ131098 BGM131098 BQI131098 CAE131098 CKA131098 CTW131098 DDS131098 DNO131098 DXK131098 EHG131098 ERC131098 FAY131098 FKU131098 FUQ131098 GEM131098 GOI131098 GYE131098 HIA131098 HRW131098 IBS131098 ILO131098 IVK131098 JFG131098 JPC131098 JYY131098 KIU131098 KSQ131098 LCM131098 LMI131098 LWE131098 MGA131098 MPW131098 MZS131098 NJO131098 NTK131098 ODG131098 ONC131098 OWY131098 PGU131098 PQQ131098 QAM131098 QKI131098 QUE131098 REA131098 RNW131098 RXS131098 SHO131098 SRK131098 TBG131098 TLC131098 TUY131098 UEU131098 UOQ131098 UYM131098 VII131098 VSE131098 WCA131098 WLW131098 WVS131098 K196634 JG196634 TC196634 ACY196634 AMU196634 AWQ196634 BGM196634 BQI196634 CAE196634 CKA196634 CTW196634 DDS196634 DNO196634 DXK196634 EHG196634 ERC196634 FAY196634 FKU196634 FUQ196634 GEM196634 GOI196634 GYE196634 HIA196634 HRW196634 IBS196634 ILO196634 IVK196634 JFG196634 JPC196634 JYY196634 KIU196634 KSQ196634 LCM196634 LMI196634 LWE196634 MGA196634 MPW196634 MZS196634 NJO196634 NTK196634 ODG196634 ONC196634 OWY196634 PGU196634 PQQ196634 QAM196634 QKI196634 QUE196634 REA196634 RNW196634 RXS196634 SHO196634 SRK196634 TBG196634 TLC196634 TUY196634 UEU196634 UOQ196634 UYM196634 VII196634 VSE196634 WCA196634 WLW196634 WVS196634 K262170 JG262170 TC262170 ACY262170 AMU262170 AWQ262170 BGM262170 BQI262170 CAE262170 CKA262170 CTW262170 DDS262170 DNO262170 DXK262170 EHG262170 ERC262170 FAY262170 FKU262170 FUQ262170 GEM262170 GOI262170 GYE262170 HIA262170 HRW262170 IBS262170 ILO262170 IVK262170 JFG262170 JPC262170 JYY262170 KIU262170 KSQ262170 LCM262170 LMI262170 LWE262170 MGA262170 MPW262170 MZS262170 NJO262170 NTK262170 ODG262170 ONC262170 OWY262170 PGU262170 PQQ262170 QAM262170 QKI262170 QUE262170 REA262170 RNW262170 RXS262170 SHO262170 SRK262170 TBG262170 TLC262170 TUY262170 UEU262170 UOQ262170 UYM262170 VII262170 VSE262170 WCA262170 WLW262170 WVS262170 K327706 JG327706 TC327706 ACY327706 AMU327706 AWQ327706 BGM327706 BQI327706 CAE327706 CKA327706 CTW327706 DDS327706 DNO327706 DXK327706 EHG327706 ERC327706 FAY327706 FKU327706 FUQ327706 GEM327706 GOI327706 GYE327706 HIA327706 HRW327706 IBS327706 ILO327706 IVK327706 JFG327706 JPC327706 JYY327706 KIU327706 KSQ327706 LCM327706 LMI327706 LWE327706 MGA327706 MPW327706 MZS327706 NJO327706 NTK327706 ODG327706 ONC327706 OWY327706 PGU327706 PQQ327706 QAM327706 QKI327706 QUE327706 REA327706 RNW327706 RXS327706 SHO327706 SRK327706 TBG327706 TLC327706 TUY327706 UEU327706 UOQ327706 UYM327706 VII327706 VSE327706 WCA327706 WLW327706 WVS327706 K393242 JG393242 TC393242 ACY393242 AMU393242 AWQ393242 BGM393242 BQI393242 CAE393242 CKA393242 CTW393242 DDS393242 DNO393242 DXK393242 EHG393242 ERC393242 FAY393242 FKU393242 FUQ393242 GEM393242 GOI393242 GYE393242 HIA393242 HRW393242 IBS393242 ILO393242 IVK393242 JFG393242 JPC393242 JYY393242 KIU393242 KSQ393242 LCM393242 LMI393242 LWE393242 MGA393242 MPW393242 MZS393242 NJO393242 NTK393242 ODG393242 ONC393242 OWY393242 PGU393242 PQQ393242 QAM393242 QKI393242 QUE393242 REA393242 RNW393242 RXS393242 SHO393242 SRK393242 TBG393242 TLC393242 TUY393242 UEU393242 UOQ393242 UYM393242 VII393242 VSE393242 WCA393242 WLW393242 WVS393242 K458778 JG458778 TC458778 ACY458778 AMU458778 AWQ458778 BGM458778 BQI458778 CAE458778 CKA458778 CTW458778 DDS458778 DNO458778 DXK458778 EHG458778 ERC458778 FAY458778 FKU458778 FUQ458778 GEM458778 GOI458778 GYE458778 HIA458778 HRW458778 IBS458778 ILO458778 IVK458778 JFG458778 JPC458778 JYY458778 KIU458778 KSQ458778 LCM458778 LMI458778 LWE458778 MGA458778 MPW458778 MZS458778 NJO458778 NTK458778 ODG458778 ONC458778 OWY458778 PGU458778 PQQ458778 QAM458778 QKI458778 QUE458778 REA458778 RNW458778 RXS458778 SHO458778 SRK458778 TBG458778 TLC458778 TUY458778 UEU458778 UOQ458778 UYM458778 VII458778 VSE458778 WCA458778 WLW458778 WVS458778 K524314 JG524314 TC524314 ACY524314 AMU524314 AWQ524314 BGM524314 BQI524314 CAE524314 CKA524314 CTW524314 DDS524314 DNO524314 DXK524314 EHG524314 ERC524314 FAY524314 FKU524314 FUQ524314 GEM524314 GOI524314 GYE524314 HIA524314 HRW524314 IBS524314 ILO524314 IVK524314 JFG524314 JPC524314 JYY524314 KIU524314 KSQ524314 LCM524314 LMI524314 LWE524314 MGA524314 MPW524314 MZS524314 NJO524314 NTK524314 ODG524314 ONC524314 OWY524314 PGU524314 PQQ524314 QAM524314 QKI524314 QUE524314 REA524314 RNW524314 RXS524314 SHO524314 SRK524314 TBG524314 TLC524314 TUY524314 UEU524314 UOQ524314 UYM524314 VII524314 VSE524314 WCA524314 WLW524314 WVS524314 K589850 JG589850 TC589850 ACY589850 AMU589850 AWQ589850 BGM589850 BQI589850 CAE589850 CKA589850 CTW589850 DDS589850 DNO589850 DXK589850 EHG589850 ERC589850 FAY589850 FKU589850 FUQ589850 GEM589850 GOI589850 GYE589850 HIA589850 HRW589850 IBS589850 ILO589850 IVK589850 JFG589850 JPC589850 JYY589850 KIU589850 KSQ589850 LCM589850 LMI589850 LWE589850 MGA589850 MPW589850 MZS589850 NJO589850 NTK589850 ODG589850 ONC589850 OWY589850 PGU589850 PQQ589850 QAM589850 QKI589850 QUE589850 REA589850 RNW589850 RXS589850 SHO589850 SRK589850 TBG589850 TLC589850 TUY589850 UEU589850 UOQ589850 UYM589850 VII589850 VSE589850 WCA589850 WLW589850 WVS589850 K655386 JG655386 TC655386 ACY655386 AMU655386 AWQ655386 BGM655386 BQI655386 CAE655386 CKA655386 CTW655386 DDS655386 DNO655386 DXK655386 EHG655386 ERC655386 FAY655386 FKU655386 FUQ655386 GEM655386 GOI655386 GYE655386 HIA655386 HRW655386 IBS655386 ILO655386 IVK655386 JFG655386 JPC655386 JYY655386 KIU655386 KSQ655386 LCM655386 LMI655386 LWE655386 MGA655386 MPW655386 MZS655386 NJO655386 NTK655386 ODG655386 ONC655386 OWY655386 PGU655386 PQQ655386 QAM655386 QKI655386 QUE655386 REA655386 RNW655386 RXS655386 SHO655386 SRK655386 TBG655386 TLC655386 TUY655386 UEU655386 UOQ655386 UYM655386 VII655386 VSE655386 WCA655386 WLW655386 WVS655386 K720922 JG720922 TC720922 ACY720922 AMU720922 AWQ720922 BGM720922 BQI720922 CAE720922 CKA720922 CTW720922 DDS720922 DNO720922 DXK720922 EHG720922 ERC720922 FAY720922 FKU720922 FUQ720922 GEM720922 GOI720922 GYE720922 HIA720922 HRW720922 IBS720922 ILO720922 IVK720922 JFG720922 JPC720922 JYY720922 KIU720922 KSQ720922 LCM720922 LMI720922 LWE720922 MGA720922 MPW720922 MZS720922 NJO720922 NTK720922 ODG720922 ONC720922 OWY720922 PGU720922 PQQ720922 QAM720922 QKI720922 QUE720922 REA720922 RNW720922 RXS720922 SHO720922 SRK720922 TBG720922 TLC720922 TUY720922 UEU720922 UOQ720922 UYM720922 VII720922 VSE720922 WCA720922 WLW720922 WVS720922 K786458 JG786458 TC786458 ACY786458 AMU786458 AWQ786458 BGM786458 BQI786458 CAE786458 CKA786458 CTW786458 DDS786458 DNO786458 DXK786458 EHG786458 ERC786458 FAY786458 FKU786458 FUQ786458 GEM786458 GOI786458 GYE786458 HIA786458 HRW786458 IBS786458 ILO786458 IVK786458 JFG786458 JPC786458 JYY786458 KIU786458 KSQ786458 LCM786458 LMI786458 LWE786458 MGA786458 MPW786458 MZS786458 NJO786458 NTK786458 ODG786458 ONC786458 OWY786458 PGU786458 PQQ786458 QAM786458 QKI786458 QUE786458 REA786458 RNW786458 RXS786458 SHO786458 SRK786458 TBG786458 TLC786458 TUY786458 UEU786458 UOQ786458 UYM786458 VII786458 VSE786458 WCA786458 WLW786458 WVS786458 K851994 JG851994 TC851994 ACY851994 AMU851994 AWQ851994 BGM851994 BQI851994 CAE851994 CKA851994 CTW851994 DDS851994 DNO851994 DXK851994 EHG851994 ERC851994 FAY851994 FKU851994 FUQ851994 GEM851994 GOI851994 GYE851994 HIA851994 HRW851994 IBS851994 ILO851994 IVK851994 JFG851994 JPC851994 JYY851994 KIU851994 KSQ851994 LCM851994 LMI851994 LWE851994 MGA851994 MPW851994 MZS851994 NJO851994 NTK851994 ODG851994 ONC851994 OWY851994 PGU851994 PQQ851994 QAM851994 QKI851994 QUE851994 REA851994 RNW851994 RXS851994 SHO851994 SRK851994 TBG851994 TLC851994 TUY851994 UEU851994 UOQ851994 UYM851994 VII851994 VSE851994 WCA851994 WLW851994 WVS851994 K917530 JG917530 TC917530 ACY917530 AMU917530 AWQ917530 BGM917530 BQI917530 CAE917530 CKA917530 CTW917530 DDS917530 DNO917530 DXK917530 EHG917530 ERC917530 FAY917530 FKU917530 FUQ917530 GEM917530 GOI917530 GYE917530 HIA917530 HRW917530 IBS917530 ILO917530 IVK917530 JFG917530 JPC917530 JYY917530 KIU917530 KSQ917530 LCM917530 LMI917530 LWE917530 MGA917530 MPW917530 MZS917530 NJO917530 NTK917530 ODG917530 ONC917530 OWY917530 PGU917530 PQQ917530 QAM917530 QKI917530 QUE917530 REA917530 RNW917530 RXS917530 SHO917530 SRK917530 TBG917530 TLC917530 TUY917530 UEU917530 UOQ917530 UYM917530 VII917530 VSE917530 WCA917530 WLW917530 WVS917530 K983066 JG983066 TC983066 ACY983066 AMU983066 AWQ983066 BGM983066 BQI983066 CAE983066 CKA983066 CTW983066 DDS983066 DNO983066 DXK983066 EHG983066 ERC983066 FAY983066 FKU983066 FUQ983066 GEM983066 GOI983066 GYE983066 HIA983066 HRW983066 IBS983066 ILO983066 IVK983066 JFG983066 JPC983066 JYY983066 KIU983066 KSQ983066 LCM983066 LMI983066 LWE983066 MGA983066 MPW983066 MZS983066 NJO983066 NTK983066 ODG983066 ONC983066 OWY983066 PGU983066 PQQ983066 QAM983066 QKI983066 QUE983066 REA983066 RNW983066 RXS983066 SHO983066 SRK983066 TBG983066 TLC983066 TUY983066 UEU983066 UOQ983066 UYM983066 VII983066 VSE983066 WCA983066 WLW983066 WVS983066 K28:L32 JG28:JH32 TC28:TD32 ACY28:ACZ32 AMU28:AMV32 AWQ28:AWR32 BGM28:BGN32 BQI28:BQJ32 CAE28:CAF32 CKA28:CKB32 CTW28:CTX32 DDS28:DDT32 DNO28:DNP32 DXK28:DXL32 EHG28:EHH32 ERC28:ERD32 FAY28:FAZ32 FKU28:FKV32 FUQ28:FUR32 GEM28:GEN32 GOI28:GOJ32 GYE28:GYF32 HIA28:HIB32 HRW28:HRX32 IBS28:IBT32 ILO28:ILP32 IVK28:IVL32 JFG28:JFH32 JPC28:JPD32 JYY28:JYZ32 KIU28:KIV32 KSQ28:KSR32 LCM28:LCN32 LMI28:LMJ32 LWE28:LWF32 MGA28:MGB32 MPW28:MPX32 MZS28:MZT32 NJO28:NJP32 NTK28:NTL32 ODG28:ODH32 ONC28:OND32 OWY28:OWZ32 PGU28:PGV32 PQQ28:PQR32 QAM28:QAN32 QKI28:QKJ32 QUE28:QUF32 REA28:REB32 RNW28:RNX32 RXS28:RXT32 SHO28:SHP32 SRK28:SRL32 TBG28:TBH32 TLC28:TLD32 TUY28:TUZ32 UEU28:UEV32 UOQ28:UOR32 UYM28:UYN32 VII28:VIJ32 VSE28:VSF32 WCA28:WCB32 WLW28:WLX32 WVS28:WVT32 K65564:L65568 JG65564:JH65568 TC65564:TD65568 ACY65564:ACZ65568 AMU65564:AMV65568 AWQ65564:AWR65568 BGM65564:BGN65568 BQI65564:BQJ65568 CAE65564:CAF65568 CKA65564:CKB65568 CTW65564:CTX65568 DDS65564:DDT65568 DNO65564:DNP65568 DXK65564:DXL65568 EHG65564:EHH65568 ERC65564:ERD65568 FAY65564:FAZ65568 FKU65564:FKV65568 FUQ65564:FUR65568 GEM65564:GEN65568 GOI65564:GOJ65568 GYE65564:GYF65568 HIA65564:HIB65568 HRW65564:HRX65568 IBS65564:IBT65568 ILO65564:ILP65568 IVK65564:IVL65568 JFG65564:JFH65568 JPC65564:JPD65568 JYY65564:JYZ65568 KIU65564:KIV65568 KSQ65564:KSR65568 LCM65564:LCN65568 LMI65564:LMJ65568 LWE65564:LWF65568 MGA65564:MGB65568 MPW65564:MPX65568 MZS65564:MZT65568 NJO65564:NJP65568 NTK65564:NTL65568 ODG65564:ODH65568 ONC65564:OND65568 OWY65564:OWZ65568 PGU65564:PGV65568 PQQ65564:PQR65568 QAM65564:QAN65568 QKI65564:QKJ65568 QUE65564:QUF65568 REA65564:REB65568 RNW65564:RNX65568 RXS65564:RXT65568 SHO65564:SHP65568 SRK65564:SRL65568 TBG65564:TBH65568 TLC65564:TLD65568 TUY65564:TUZ65568 UEU65564:UEV65568 UOQ65564:UOR65568 UYM65564:UYN65568 VII65564:VIJ65568 VSE65564:VSF65568 WCA65564:WCB65568 WLW65564:WLX65568 WVS65564:WVT65568 K131100:L131104 JG131100:JH131104 TC131100:TD131104 ACY131100:ACZ131104 AMU131100:AMV131104 AWQ131100:AWR131104 BGM131100:BGN131104 BQI131100:BQJ131104 CAE131100:CAF131104 CKA131100:CKB131104 CTW131100:CTX131104 DDS131100:DDT131104 DNO131100:DNP131104 DXK131100:DXL131104 EHG131100:EHH131104 ERC131100:ERD131104 FAY131100:FAZ131104 FKU131100:FKV131104 FUQ131100:FUR131104 GEM131100:GEN131104 GOI131100:GOJ131104 GYE131100:GYF131104 HIA131100:HIB131104 HRW131100:HRX131104 IBS131100:IBT131104 ILO131100:ILP131104 IVK131100:IVL131104 JFG131100:JFH131104 JPC131100:JPD131104 JYY131100:JYZ131104 KIU131100:KIV131104 KSQ131100:KSR131104 LCM131100:LCN131104 LMI131100:LMJ131104 LWE131100:LWF131104 MGA131100:MGB131104 MPW131100:MPX131104 MZS131100:MZT131104 NJO131100:NJP131104 NTK131100:NTL131104 ODG131100:ODH131104 ONC131100:OND131104 OWY131100:OWZ131104 PGU131100:PGV131104 PQQ131100:PQR131104 QAM131100:QAN131104 QKI131100:QKJ131104 QUE131100:QUF131104 REA131100:REB131104 RNW131100:RNX131104 RXS131100:RXT131104 SHO131100:SHP131104 SRK131100:SRL131104 TBG131100:TBH131104 TLC131100:TLD131104 TUY131100:TUZ131104 UEU131100:UEV131104 UOQ131100:UOR131104 UYM131100:UYN131104 VII131100:VIJ131104 VSE131100:VSF131104 WCA131100:WCB131104 WLW131100:WLX131104 WVS131100:WVT131104 K196636:L196640 JG196636:JH196640 TC196636:TD196640 ACY196636:ACZ196640 AMU196636:AMV196640 AWQ196636:AWR196640 BGM196636:BGN196640 BQI196636:BQJ196640 CAE196636:CAF196640 CKA196636:CKB196640 CTW196636:CTX196640 DDS196636:DDT196640 DNO196636:DNP196640 DXK196636:DXL196640 EHG196636:EHH196640 ERC196636:ERD196640 FAY196636:FAZ196640 FKU196636:FKV196640 FUQ196636:FUR196640 GEM196636:GEN196640 GOI196636:GOJ196640 GYE196636:GYF196640 HIA196636:HIB196640 HRW196636:HRX196640 IBS196636:IBT196640 ILO196636:ILP196640 IVK196636:IVL196640 JFG196636:JFH196640 JPC196636:JPD196640 JYY196636:JYZ196640 KIU196636:KIV196640 KSQ196636:KSR196640 LCM196636:LCN196640 LMI196636:LMJ196640 LWE196636:LWF196640 MGA196636:MGB196640 MPW196636:MPX196640 MZS196636:MZT196640 NJO196636:NJP196640 NTK196636:NTL196640 ODG196636:ODH196640 ONC196636:OND196640 OWY196636:OWZ196640 PGU196636:PGV196640 PQQ196636:PQR196640 QAM196636:QAN196640 QKI196636:QKJ196640 QUE196636:QUF196640 REA196636:REB196640 RNW196636:RNX196640 RXS196636:RXT196640 SHO196636:SHP196640 SRK196636:SRL196640 TBG196636:TBH196640 TLC196636:TLD196640 TUY196636:TUZ196640 UEU196636:UEV196640 UOQ196636:UOR196640 UYM196636:UYN196640 VII196636:VIJ196640 VSE196636:VSF196640 WCA196636:WCB196640 WLW196636:WLX196640 WVS196636:WVT196640 K262172:L262176 JG262172:JH262176 TC262172:TD262176 ACY262172:ACZ262176 AMU262172:AMV262176 AWQ262172:AWR262176 BGM262172:BGN262176 BQI262172:BQJ262176 CAE262172:CAF262176 CKA262172:CKB262176 CTW262172:CTX262176 DDS262172:DDT262176 DNO262172:DNP262176 DXK262172:DXL262176 EHG262172:EHH262176 ERC262172:ERD262176 FAY262172:FAZ262176 FKU262172:FKV262176 FUQ262172:FUR262176 GEM262172:GEN262176 GOI262172:GOJ262176 GYE262172:GYF262176 HIA262172:HIB262176 HRW262172:HRX262176 IBS262172:IBT262176 ILO262172:ILP262176 IVK262172:IVL262176 JFG262172:JFH262176 JPC262172:JPD262176 JYY262172:JYZ262176 KIU262172:KIV262176 KSQ262172:KSR262176 LCM262172:LCN262176 LMI262172:LMJ262176 LWE262172:LWF262176 MGA262172:MGB262176 MPW262172:MPX262176 MZS262172:MZT262176 NJO262172:NJP262176 NTK262172:NTL262176 ODG262172:ODH262176 ONC262172:OND262176 OWY262172:OWZ262176 PGU262172:PGV262176 PQQ262172:PQR262176 QAM262172:QAN262176 QKI262172:QKJ262176 QUE262172:QUF262176 REA262172:REB262176 RNW262172:RNX262176 RXS262172:RXT262176 SHO262172:SHP262176 SRK262172:SRL262176 TBG262172:TBH262176 TLC262172:TLD262176 TUY262172:TUZ262176 UEU262172:UEV262176 UOQ262172:UOR262176 UYM262172:UYN262176 VII262172:VIJ262176 VSE262172:VSF262176 WCA262172:WCB262176 WLW262172:WLX262176 WVS262172:WVT262176 K327708:L327712 JG327708:JH327712 TC327708:TD327712 ACY327708:ACZ327712 AMU327708:AMV327712 AWQ327708:AWR327712 BGM327708:BGN327712 BQI327708:BQJ327712 CAE327708:CAF327712 CKA327708:CKB327712 CTW327708:CTX327712 DDS327708:DDT327712 DNO327708:DNP327712 DXK327708:DXL327712 EHG327708:EHH327712 ERC327708:ERD327712 FAY327708:FAZ327712 FKU327708:FKV327712 FUQ327708:FUR327712 GEM327708:GEN327712 GOI327708:GOJ327712 GYE327708:GYF327712 HIA327708:HIB327712 HRW327708:HRX327712 IBS327708:IBT327712 ILO327708:ILP327712 IVK327708:IVL327712 JFG327708:JFH327712 JPC327708:JPD327712 JYY327708:JYZ327712 KIU327708:KIV327712 KSQ327708:KSR327712 LCM327708:LCN327712 LMI327708:LMJ327712 LWE327708:LWF327712 MGA327708:MGB327712 MPW327708:MPX327712 MZS327708:MZT327712 NJO327708:NJP327712 NTK327708:NTL327712 ODG327708:ODH327712 ONC327708:OND327712 OWY327708:OWZ327712 PGU327708:PGV327712 PQQ327708:PQR327712 QAM327708:QAN327712 QKI327708:QKJ327712 QUE327708:QUF327712 REA327708:REB327712 RNW327708:RNX327712 RXS327708:RXT327712 SHO327708:SHP327712 SRK327708:SRL327712 TBG327708:TBH327712 TLC327708:TLD327712 TUY327708:TUZ327712 UEU327708:UEV327712 UOQ327708:UOR327712 UYM327708:UYN327712 VII327708:VIJ327712 VSE327708:VSF327712 WCA327708:WCB327712 WLW327708:WLX327712 WVS327708:WVT327712 K393244:L393248 JG393244:JH393248 TC393244:TD393248 ACY393244:ACZ393248 AMU393244:AMV393248 AWQ393244:AWR393248 BGM393244:BGN393248 BQI393244:BQJ393248 CAE393244:CAF393248 CKA393244:CKB393248 CTW393244:CTX393248 DDS393244:DDT393248 DNO393244:DNP393248 DXK393244:DXL393248 EHG393244:EHH393248 ERC393244:ERD393248 FAY393244:FAZ393248 FKU393244:FKV393248 FUQ393244:FUR393248 GEM393244:GEN393248 GOI393244:GOJ393248 GYE393244:GYF393248 HIA393244:HIB393248 HRW393244:HRX393248 IBS393244:IBT393248 ILO393244:ILP393248 IVK393244:IVL393248 JFG393244:JFH393248 JPC393244:JPD393248 JYY393244:JYZ393248 KIU393244:KIV393248 KSQ393244:KSR393248 LCM393244:LCN393248 LMI393244:LMJ393248 LWE393244:LWF393248 MGA393244:MGB393248 MPW393244:MPX393248 MZS393244:MZT393248 NJO393244:NJP393248 NTK393244:NTL393248 ODG393244:ODH393248 ONC393244:OND393248 OWY393244:OWZ393248 PGU393244:PGV393248 PQQ393244:PQR393248 QAM393244:QAN393248 QKI393244:QKJ393248 QUE393244:QUF393248 REA393244:REB393248 RNW393244:RNX393248 RXS393244:RXT393248 SHO393244:SHP393248 SRK393244:SRL393248 TBG393244:TBH393248 TLC393244:TLD393248 TUY393244:TUZ393248 UEU393244:UEV393248 UOQ393244:UOR393248 UYM393244:UYN393248 VII393244:VIJ393248 VSE393244:VSF393248 WCA393244:WCB393248 WLW393244:WLX393248 WVS393244:WVT393248 K458780:L458784 JG458780:JH458784 TC458780:TD458784 ACY458780:ACZ458784 AMU458780:AMV458784 AWQ458780:AWR458784 BGM458780:BGN458784 BQI458780:BQJ458784 CAE458780:CAF458784 CKA458780:CKB458784 CTW458780:CTX458784 DDS458780:DDT458784 DNO458780:DNP458784 DXK458780:DXL458784 EHG458780:EHH458784 ERC458780:ERD458784 FAY458780:FAZ458784 FKU458780:FKV458784 FUQ458780:FUR458784 GEM458780:GEN458784 GOI458780:GOJ458784 GYE458780:GYF458784 HIA458780:HIB458784 HRW458780:HRX458784 IBS458780:IBT458784 ILO458780:ILP458784 IVK458780:IVL458784 JFG458780:JFH458784 JPC458780:JPD458784 JYY458780:JYZ458784 KIU458780:KIV458784 KSQ458780:KSR458784 LCM458780:LCN458784 LMI458780:LMJ458784 LWE458780:LWF458784 MGA458780:MGB458784 MPW458780:MPX458784 MZS458780:MZT458784 NJO458780:NJP458784 NTK458780:NTL458784 ODG458780:ODH458784 ONC458780:OND458784 OWY458780:OWZ458784 PGU458780:PGV458784 PQQ458780:PQR458784 QAM458780:QAN458784 QKI458780:QKJ458784 QUE458780:QUF458784 REA458780:REB458784 RNW458780:RNX458784 RXS458780:RXT458784 SHO458780:SHP458784 SRK458780:SRL458784 TBG458780:TBH458784 TLC458780:TLD458784 TUY458780:TUZ458784 UEU458780:UEV458784 UOQ458780:UOR458784 UYM458780:UYN458784 VII458780:VIJ458784 VSE458780:VSF458784 WCA458780:WCB458784 WLW458780:WLX458784 WVS458780:WVT458784 K524316:L524320 JG524316:JH524320 TC524316:TD524320 ACY524316:ACZ524320 AMU524316:AMV524320 AWQ524316:AWR524320 BGM524316:BGN524320 BQI524316:BQJ524320 CAE524316:CAF524320 CKA524316:CKB524320 CTW524316:CTX524320 DDS524316:DDT524320 DNO524316:DNP524320 DXK524316:DXL524320 EHG524316:EHH524320 ERC524316:ERD524320 FAY524316:FAZ524320 FKU524316:FKV524320 FUQ524316:FUR524320 GEM524316:GEN524320 GOI524316:GOJ524320 GYE524316:GYF524320 HIA524316:HIB524320 HRW524316:HRX524320 IBS524316:IBT524320 ILO524316:ILP524320 IVK524316:IVL524320 JFG524316:JFH524320 JPC524316:JPD524320 JYY524316:JYZ524320 KIU524316:KIV524320 KSQ524316:KSR524320 LCM524316:LCN524320 LMI524316:LMJ524320 LWE524316:LWF524320 MGA524316:MGB524320 MPW524316:MPX524320 MZS524316:MZT524320 NJO524316:NJP524320 NTK524316:NTL524320 ODG524316:ODH524320 ONC524316:OND524320 OWY524316:OWZ524320 PGU524316:PGV524320 PQQ524316:PQR524320 QAM524316:QAN524320 QKI524316:QKJ524320 QUE524316:QUF524320 REA524316:REB524320 RNW524316:RNX524320 RXS524316:RXT524320 SHO524316:SHP524320 SRK524316:SRL524320 TBG524316:TBH524320 TLC524316:TLD524320 TUY524316:TUZ524320 UEU524316:UEV524320 UOQ524316:UOR524320 UYM524316:UYN524320 VII524316:VIJ524320 VSE524316:VSF524320 WCA524316:WCB524320 WLW524316:WLX524320 WVS524316:WVT524320 K589852:L589856 JG589852:JH589856 TC589852:TD589856 ACY589852:ACZ589856 AMU589852:AMV589856 AWQ589852:AWR589856 BGM589852:BGN589856 BQI589852:BQJ589856 CAE589852:CAF589856 CKA589852:CKB589856 CTW589852:CTX589856 DDS589852:DDT589856 DNO589852:DNP589856 DXK589852:DXL589856 EHG589852:EHH589856 ERC589852:ERD589856 FAY589852:FAZ589856 FKU589852:FKV589856 FUQ589852:FUR589856 GEM589852:GEN589856 GOI589852:GOJ589856 GYE589852:GYF589856 HIA589852:HIB589856 HRW589852:HRX589856 IBS589852:IBT589856 ILO589852:ILP589856 IVK589852:IVL589856 JFG589852:JFH589856 JPC589852:JPD589856 JYY589852:JYZ589856 KIU589852:KIV589856 KSQ589852:KSR589856 LCM589852:LCN589856 LMI589852:LMJ589856 LWE589852:LWF589856 MGA589852:MGB589856 MPW589852:MPX589856 MZS589852:MZT589856 NJO589852:NJP589856 NTK589852:NTL589856 ODG589852:ODH589856 ONC589852:OND589856 OWY589852:OWZ589856 PGU589852:PGV589856 PQQ589852:PQR589856 QAM589852:QAN589856 QKI589852:QKJ589856 QUE589852:QUF589856 REA589852:REB589856 RNW589852:RNX589856 RXS589852:RXT589856 SHO589852:SHP589856 SRK589852:SRL589856 TBG589852:TBH589856 TLC589852:TLD589856 TUY589852:TUZ589856 UEU589852:UEV589856 UOQ589852:UOR589856 UYM589852:UYN589856 VII589852:VIJ589856 VSE589852:VSF589856 WCA589852:WCB589856 WLW589852:WLX589856 WVS589852:WVT589856 K655388:L655392 JG655388:JH655392 TC655388:TD655392 ACY655388:ACZ655392 AMU655388:AMV655392 AWQ655388:AWR655392 BGM655388:BGN655392 BQI655388:BQJ655392 CAE655388:CAF655392 CKA655388:CKB655392 CTW655388:CTX655392 DDS655388:DDT655392 DNO655388:DNP655392 DXK655388:DXL655392 EHG655388:EHH655392 ERC655388:ERD655392 FAY655388:FAZ655392 FKU655388:FKV655392 FUQ655388:FUR655392 GEM655388:GEN655392 GOI655388:GOJ655392 GYE655388:GYF655392 HIA655388:HIB655392 HRW655388:HRX655392 IBS655388:IBT655392 ILO655388:ILP655392 IVK655388:IVL655392 JFG655388:JFH655392 JPC655388:JPD655392 JYY655388:JYZ655392 KIU655388:KIV655392 KSQ655388:KSR655392 LCM655388:LCN655392 LMI655388:LMJ655392 LWE655388:LWF655392 MGA655388:MGB655392 MPW655388:MPX655392 MZS655388:MZT655392 NJO655388:NJP655392 NTK655388:NTL655392 ODG655388:ODH655392 ONC655388:OND655392 OWY655388:OWZ655392 PGU655388:PGV655392 PQQ655388:PQR655392 QAM655388:QAN655392 QKI655388:QKJ655392 QUE655388:QUF655392 REA655388:REB655392 RNW655388:RNX655392 RXS655388:RXT655392 SHO655388:SHP655392 SRK655388:SRL655392 TBG655388:TBH655392 TLC655388:TLD655392 TUY655388:TUZ655392 UEU655388:UEV655392 UOQ655388:UOR655392 UYM655388:UYN655392 VII655388:VIJ655392 VSE655388:VSF655392 WCA655388:WCB655392 WLW655388:WLX655392 WVS655388:WVT655392 K720924:L720928 JG720924:JH720928 TC720924:TD720928 ACY720924:ACZ720928 AMU720924:AMV720928 AWQ720924:AWR720928 BGM720924:BGN720928 BQI720924:BQJ720928 CAE720924:CAF720928 CKA720924:CKB720928 CTW720924:CTX720928 DDS720924:DDT720928 DNO720924:DNP720928 DXK720924:DXL720928 EHG720924:EHH720928 ERC720924:ERD720928 FAY720924:FAZ720928 FKU720924:FKV720928 FUQ720924:FUR720928 GEM720924:GEN720928 GOI720924:GOJ720928 GYE720924:GYF720928 HIA720924:HIB720928 HRW720924:HRX720928 IBS720924:IBT720928 ILO720924:ILP720928 IVK720924:IVL720928 JFG720924:JFH720928 JPC720924:JPD720928 JYY720924:JYZ720928 KIU720924:KIV720928 KSQ720924:KSR720928 LCM720924:LCN720928 LMI720924:LMJ720928 LWE720924:LWF720928 MGA720924:MGB720928 MPW720924:MPX720928 MZS720924:MZT720928 NJO720924:NJP720928 NTK720924:NTL720928 ODG720924:ODH720928 ONC720924:OND720928 OWY720924:OWZ720928 PGU720924:PGV720928 PQQ720924:PQR720928 QAM720924:QAN720928 QKI720924:QKJ720928 QUE720924:QUF720928 REA720924:REB720928 RNW720924:RNX720928 RXS720924:RXT720928 SHO720924:SHP720928 SRK720924:SRL720928 TBG720924:TBH720928 TLC720924:TLD720928 TUY720924:TUZ720928 UEU720924:UEV720928 UOQ720924:UOR720928 UYM720924:UYN720928 VII720924:VIJ720928 VSE720924:VSF720928 WCA720924:WCB720928 WLW720924:WLX720928 WVS720924:WVT720928 K786460:L786464 JG786460:JH786464 TC786460:TD786464 ACY786460:ACZ786464 AMU786460:AMV786464 AWQ786460:AWR786464 BGM786460:BGN786464 BQI786460:BQJ786464 CAE786460:CAF786464 CKA786460:CKB786464 CTW786460:CTX786464 DDS786460:DDT786464 DNO786460:DNP786464 DXK786460:DXL786464 EHG786460:EHH786464 ERC786460:ERD786464 FAY786460:FAZ786464 FKU786460:FKV786464 FUQ786460:FUR786464 GEM786460:GEN786464 GOI786460:GOJ786464 GYE786460:GYF786464 HIA786460:HIB786464 HRW786460:HRX786464 IBS786460:IBT786464 ILO786460:ILP786464 IVK786460:IVL786464 JFG786460:JFH786464 JPC786460:JPD786464 JYY786460:JYZ786464 KIU786460:KIV786464 KSQ786460:KSR786464 LCM786460:LCN786464 LMI786460:LMJ786464 LWE786460:LWF786464 MGA786460:MGB786464 MPW786460:MPX786464 MZS786460:MZT786464 NJO786460:NJP786464 NTK786460:NTL786464 ODG786460:ODH786464 ONC786460:OND786464 OWY786460:OWZ786464 PGU786460:PGV786464 PQQ786460:PQR786464 QAM786460:QAN786464 QKI786460:QKJ786464 QUE786460:QUF786464 REA786460:REB786464 RNW786460:RNX786464 RXS786460:RXT786464 SHO786460:SHP786464 SRK786460:SRL786464 TBG786460:TBH786464 TLC786460:TLD786464 TUY786460:TUZ786464 UEU786460:UEV786464 UOQ786460:UOR786464 UYM786460:UYN786464 VII786460:VIJ786464 VSE786460:VSF786464 WCA786460:WCB786464 WLW786460:WLX786464 WVS786460:WVT786464 K851996:L852000 JG851996:JH852000 TC851996:TD852000 ACY851996:ACZ852000 AMU851996:AMV852000 AWQ851996:AWR852000 BGM851996:BGN852000 BQI851996:BQJ852000 CAE851996:CAF852000 CKA851996:CKB852000 CTW851996:CTX852000 DDS851996:DDT852000 DNO851996:DNP852000 DXK851996:DXL852000 EHG851996:EHH852000 ERC851996:ERD852000 FAY851996:FAZ852000 FKU851996:FKV852000 FUQ851996:FUR852000 GEM851996:GEN852000 GOI851996:GOJ852000 GYE851996:GYF852000 HIA851996:HIB852000 HRW851996:HRX852000 IBS851996:IBT852000 ILO851996:ILP852000 IVK851996:IVL852000 JFG851996:JFH852000 JPC851996:JPD852000 JYY851996:JYZ852000 KIU851996:KIV852000 KSQ851996:KSR852000 LCM851996:LCN852000 LMI851996:LMJ852000 LWE851996:LWF852000 MGA851996:MGB852000 MPW851996:MPX852000 MZS851996:MZT852000 NJO851996:NJP852000 NTK851996:NTL852000 ODG851996:ODH852000 ONC851996:OND852000 OWY851996:OWZ852000 PGU851996:PGV852000 PQQ851996:PQR852000 QAM851996:QAN852000 QKI851996:QKJ852000 QUE851996:QUF852000 REA851996:REB852000 RNW851996:RNX852000 RXS851996:RXT852000 SHO851996:SHP852000 SRK851996:SRL852000 TBG851996:TBH852000 TLC851996:TLD852000 TUY851996:TUZ852000 UEU851996:UEV852000 UOQ851996:UOR852000 UYM851996:UYN852000 VII851996:VIJ852000 VSE851996:VSF852000 WCA851996:WCB852000 WLW851996:WLX852000 WVS851996:WVT852000 K917532:L917536 JG917532:JH917536 TC917532:TD917536 ACY917532:ACZ917536 AMU917532:AMV917536 AWQ917532:AWR917536 BGM917532:BGN917536 BQI917532:BQJ917536 CAE917532:CAF917536 CKA917532:CKB917536 CTW917532:CTX917536 DDS917532:DDT917536 DNO917532:DNP917536 DXK917532:DXL917536 EHG917532:EHH917536 ERC917532:ERD917536 FAY917532:FAZ917536 FKU917532:FKV917536 FUQ917532:FUR917536 GEM917532:GEN917536 GOI917532:GOJ917536 GYE917532:GYF917536 HIA917532:HIB917536 HRW917532:HRX917536 IBS917532:IBT917536 ILO917532:ILP917536 IVK917532:IVL917536 JFG917532:JFH917536 JPC917532:JPD917536 JYY917532:JYZ917536 KIU917532:KIV917536 KSQ917532:KSR917536 LCM917532:LCN917536 LMI917532:LMJ917536 LWE917532:LWF917536 MGA917532:MGB917536 MPW917532:MPX917536 MZS917532:MZT917536 NJO917532:NJP917536 NTK917532:NTL917536 ODG917532:ODH917536 ONC917532:OND917536 OWY917532:OWZ917536 PGU917532:PGV917536 PQQ917532:PQR917536 QAM917532:QAN917536 QKI917532:QKJ917536 QUE917532:QUF917536 REA917532:REB917536 RNW917532:RNX917536 RXS917532:RXT917536 SHO917532:SHP917536 SRK917532:SRL917536 TBG917532:TBH917536 TLC917532:TLD917536 TUY917532:TUZ917536 UEU917532:UEV917536 UOQ917532:UOR917536 UYM917532:UYN917536 VII917532:VIJ917536 VSE917532:VSF917536 WCA917532:WCB917536 WLW917532:WLX917536 WVS917532:WVT917536 K983068:L983072 JG983068:JH983072 TC983068:TD983072 ACY983068:ACZ983072 AMU983068:AMV983072 AWQ983068:AWR983072 BGM983068:BGN983072 BQI983068:BQJ983072 CAE983068:CAF983072 CKA983068:CKB983072 CTW983068:CTX983072 DDS983068:DDT983072 DNO983068:DNP983072 DXK983068:DXL983072 EHG983068:EHH983072 ERC983068:ERD983072 FAY983068:FAZ983072 FKU983068:FKV983072 FUQ983068:FUR983072 GEM983068:GEN983072 GOI983068:GOJ983072 GYE983068:GYF983072 HIA983068:HIB983072 HRW983068:HRX983072 IBS983068:IBT983072 ILO983068:ILP983072 IVK983068:IVL983072 JFG983068:JFH983072 JPC983068:JPD983072 JYY983068:JYZ983072 KIU983068:KIV983072 KSQ983068:KSR983072 LCM983068:LCN983072 LMI983068:LMJ983072 LWE983068:LWF983072 MGA983068:MGB983072 MPW983068:MPX983072 MZS983068:MZT983072 NJO983068:NJP983072 NTK983068:NTL983072 ODG983068:ODH983072 ONC983068:OND983072 OWY983068:OWZ983072 PGU983068:PGV983072 PQQ983068:PQR983072 QAM983068:QAN983072 QKI983068:QKJ983072 QUE983068:QUF983072 REA983068:REB983072 RNW983068:RNX983072 RXS983068:RXT983072 SHO983068:SHP983072 SRK983068:SRL983072 TBG983068:TBH983072 TLC983068:TLD983072 TUY983068:TUZ983072 UEU983068:UEV983072 UOQ983068:UOR983072 UYM983068:UYN983072 VII983068:VIJ983072 VSE983068:VSF983072 WCA983068:WCB983072 WLW983068:WLX983072 WVS983068:WVT983072 K37:L37 JG37:JH37 TC37:TD37 ACY37:ACZ37 AMU37:AMV37 AWQ37:AWR37 BGM37:BGN37 BQI37:BQJ37 CAE37:CAF37 CKA37:CKB37 CTW37:CTX37 DDS37:DDT37 DNO37:DNP37 DXK37:DXL37 EHG37:EHH37 ERC37:ERD37 FAY37:FAZ37 FKU37:FKV37 FUQ37:FUR37 GEM37:GEN37 GOI37:GOJ37 GYE37:GYF37 HIA37:HIB37 HRW37:HRX37 IBS37:IBT37 ILO37:ILP37 IVK37:IVL37 JFG37:JFH37 JPC37:JPD37 JYY37:JYZ37 KIU37:KIV37 KSQ37:KSR37 LCM37:LCN37 LMI37:LMJ37 LWE37:LWF37 MGA37:MGB37 MPW37:MPX37 MZS37:MZT37 NJO37:NJP37 NTK37:NTL37 ODG37:ODH37 ONC37:OND37 OWY37:OWZ37 PGU37:PGV37 PQQ37:PQR37 QAM37:QAN37 QKI37:QKJ37 QUE37:QUF37 REA37:REB37 RNW37:RNX37 RXS37:RXT37 SHO37:SHP37 SRK37:SRL37 TBG37:TBH37 TLC37:TLD37 TUY37:TUZ37 UEU37:UEV37 UOQ37:UOR37 UYM37:UYN37 VII37:VIJ37 VSE37:VSF37 WCA37:WCB37 WLW37:WLX37 WVS37:WVT37 K65573:L65573 JG65573:JH65573 TC65573:TD65573 ACY65573:ACZ65573 AMU65573:AMV65573 AWQ65573:AWR65573 BGM65573:BGN65573 BQI65573:BQJ65573 CAE65573:CAF65573 CKA65573:CKB65573 CTW65573:CTX65573 DDS65573:DDT65573 DNO65573:DNP65573 DXK65573:DXL65573 EHG65573:EHH65573 ERC65573:ERD65573 FAY65573:FAZ65573 FKU65573:FKV65573 FUQ65573:FUR65573 GEM65573:GEN65573 GOI65573:GOJ65573 GYE65573:GYF65573 HIA65573:HIB65573 HRW65573:HRX65573 IBS65573:IBT65573 ILO65573:ILP65573 IVK65573:IVL65573 JFG65573:JFH65573 JPC65573:JPD65573 JYY65573:JYZ65573 KIU65573:KIV65573 KSQ65573:KSR65573 LCM65573:LCN65573 LMI65573:LMJ65573 LWE65573:LWF65573 MGA65573:MGB65573 MPW65573:MPX65573 MZS65573:MZT65573 NJO65573:NJP65573 NTK65573:NTL65573 ODG65573:ODH65573 ONC65573:OND65573 OWY65573:OWZ65573 PGU65573:PGV65573 PQQ65573:PQR65573 QAM65573:QAN65573 QKI65573:QKJ65573 QUE65573:QUF65573 REA65573:REB65573 RNW65573:RNX65573 RXS65573:RXT65573 SHO65573:SHP65573 SRK65573:SRL65573 TBG65573:TBH65573 TLC65573:TLD65573 TUY65573:TUZ65573 UEU65573:UEV65573 UOQ65573:UOR65573 UYM65573:UYN65573 VII65573:VIJ65573 VSE65573:VSF65573 WCA65573:WCB65573 WLW65573:WLX65573 WVS65573:WVT65573 K131109:L131109 JG131109:JH131109 TC131109:TD131109 ACY131109:ACZ131109 AMU131109:AMV131109 AWQ131109:AWR131109 BGM131109:BGN131109 BQI131109:BQJ131109 CAE131109:CAF131109 CKA131109:CKB131109 CTW131109:CTX131109 DDS131109:DDT131109 DNO131109:DNP131109 DXK131109:DXL131109 EHG131109:EHH131109 ERC131109:ERD131109 FAY131109:FAZ131109 FKU131109:FKV131109 FUQ131109:FUR131109 GEM131109:GEN131109 GOI131109:GOJ131109 GYE131109:GYF131109 HIA131109:HIB131109 HRW131109:HRX131109 IBS131109:IBT131109 ILO131109:ILP131109 IVK131109:IVL131109 JFG131109:JFH131109 JPC131109:JPD131109 JYY131109:JYZ131109 KIU131109:KIV131109 KSQ131109:KSR131109 LCM131109:LCN131109 LMI131109:LMJ131109 LWE131109:LWF131109 MGA131109:MGB131109 MPW131109:MPX131109 MZS131109:MZT131109 NJO131109:NJP131109 NTK131109:NTL131109 ODG131109:ODH131109 ONC131109:OND131109 OWY131109:OWZ131109 PGU131109:PGV131109 PQQ131109:PQR131109 QAM131109:QAN131109 QKI131109:QKJ131109 QUE131109:QUF131109 REA131109:REB131109 RNW131109:RNX131109 RXS131109:RXT131109 SHO131109:SHP131109 SRK131109:SRL131109 TBG131109:TBH131109 TLC131109:TLD131109 TUY131109:TUZ131109 UEU131109:UEV131109 UOQ131109:UOR131109 UYM131109:UYN131109 VII131109:VIJ131109 VSE131109:VSF131109 WCA131109:WCB131109 WLW131109:WLX131109 WVS131109:WVT131109 K196645:L196645 JG196645:JH196645 TC196645:TD196645 ACY196645:ACZ196645 AMU196645:AMV196645 AWQ196645:AWR196645 BGM196645:BGN196645 BQI196645:BQJ196645 CAE196645:CAF196645 CKA196645:CKB196645 CTW196645:CTX196645 DDS196645:DDT196645 DNO196645:DNP196645 DXK196645:DXL196645 EHG196645:EHH196645 ERC196645:ERD196645 FAY196645:FAZ196645 FKU196645:FKV196645 FUQ196645:FUR196645 GEM196645:GEN196645 GOI196645:GOJ196645 GYE196645:GYF196645 HIA196645:HIB196645 HRW196645:HRX196645 IBS196645:IBT196645 ILO196645:ILP196645 IVK196645:IVL196645 JFG196645:JFH196645 JPC196645:JPD196645 JYY196645:JYZ196645 KIU196645:KIV196645 KSQ196645:KSR196645 LCM196645:LCN196645 LMI196645:LMJ196645 LWE196645:LWF196645 MGA196645:MGB196645 MPW196645:MPX196645 MZS196645:MZT196645 NJO196645:NJP196645 NTK196645:NTL196645 ODG196645:ODH196645 ONC196645:OND196645 OWY196645:OWZ196645 PGU196645:PGV196645 PQQ196645:PQR196645 QAM196645:QAN196645 QKI196645:QKJ196645 QUE196645:QUF196645 REA196645:REB196645 RNW196645:RNX196645 RXS196645:RXT196645 SHO196645:SHP196645 SRK196645:SRL196645 TBG196645:TBH196645 TLC196645:TLD196645 TUY196645:TUZ196645 UEU196645:UEV196645 UOQ196645:UOR196645 UYM196645:UYN196645 VII196645:VIJ196645 VSE196645:VSF196645 WCA196645:WCB196645 WLW196645:WLX196645 WVS196645:WVT196645 K262181:L262181 JG262181:JH262181 TC262181:TD262181 ACY262181:ACZ262181 AMU262181:AMV262181 AWQ262181:AWR262181 BGM262181:BGN262181 BQI262181:BQJ262181 CAE262181:CAF262181 CKA262181:CKB262181 CTW262181:CTX262181 DDS262181:DDT262181 DNO262181:DNP262181 DXK262181:DXL262181 EHG262181:EHH262181 ERC262181:ERD262181 FAY262181:FAZ262181 FKU262181:FKV262181 FUQ262181:FUR262181 GEM262181:GEN262181 GOI262181:GOJ262181 GYE262181:GYF262181 HIA262181:HIB262181 HRW262181:HRX262181 IBS262181:IBT262181 ILO262181:ILP262181 IVK262181:IVL262181 JFG262181:JFH262181 JPC262181:JPD262181 JYY262181:JYZ262181 KIU262181:KIV262181 KSQ262181:KSR262181 LCM262181:LCN262181 LMI262181:LMJ262181 LWE262181:LWF262181 MGA262181:MGB262181 MPW262181:MPX262181 MZS262181:MZT262181 NJO262181:NJP262181 NTK262181:NTL262181 ODG262181:ODH262181 ONC262181:OND262181 OWY262181:OWZ262181 PGU262181:PGV262181 PQQ262181:PQR262181 QAM262181:QAN262181 QKI262181:QKJ262181 QUE262181:QUF262181 REA262181:REB262181 RNW262181:RNX262181 RXS262181:RXT262181 SHO262181:SHP262181 SRK262181:SRL262181 TBG262181:TBH262181 TLC262181:TLD262181 TUY262181:TUZ262181 UEU262181:UEV262181 UOQ262181:UOR262181 UYM262181:UYN262181 VII262181:VIJ262181 VSE262181:VSF262181 WCA262181:WCB262181 WLW262181:WLX262181 WVS262181:WVT262181 K327717:L327717 JG327717:JH327717 TC327717:TD327717 ACY327717:ACZ327717 AMU327717:AMV327717 AWQ327717:AWR327717 BGM327717:BGN327717 BQI327717:BQJ327717 CAE327717:CAF327717 CKA327717:CKB327717 CTW327717:CTX327717 DDS327717:DDT327717 DNO327717:DNP327717 DXK327717:DXL327717 EHG327717:EHH327717 ERC327717:ERD327717 FAY327717:FAZ327717 FKU327717:FKV327717 FUQ327717:FUR327717 GEM327717:GEN327717 GOI327717:GOJ327717 GYE327717:GYF327717 HIA327717:HIB327717 HRW327717:HRX327717 IBS327717:IBT327717 ILO327717:ILP327717 IVK327717:IVL327717 JFG327717:JFH327717 JPC327717:JPD327717 JYY327717:JYZ327717 KIU327717:KIV327717 KSQ327717:KSR327717 LCM327717:LCN327717 LMI327717:LMJ327717 LWE327717:LWF327717 MGA327717:MGB327717 MPW327717:MPX327717 MZS327717:MZT327717 NJO327717:NJP327717 NTK327717:NTL327717 ODG327717:ODH327717 ONC327717:OND327717 OWY327717:OWZ327717 PGU327717:PGV327717 PQQ327717:PQR327717 QAM327717:QAN327717 QKI327717:QKJ327717 QUE327717:QUF327717 REA327717:REB327717 RNW327717:RNX327717 RXS327717:RXT327717 SHO327717:SHP327717 SRK327717:SRL327717 TBG327717:TBH327717 TLC327717:TLD327717 TUY327717:TUZ327717 UEU327717:UEV327717 UOQ327717:UOR327717 UYM327717:UYN327717 VII327717:VIJ327717 VSE327717:VSF327717 WCA327717:WCB327717 WLW327717:WLX327717 WVS327717:WVT327717 K393253:L393253 JG393253:JH393253 TC393253:TD393253 ACY393253:ACZ393253 AMU393253:AMV393253 AWQ393253:AWR393253 BGM393253:BGN393253 BQI393253:BQJ393253 CAE393253:CAF393253 CKA393253:CKB393253 CTW393253:CTX393253 DDS393253:DDT393253 DNO393253:DNP393253 DXK393253:DXL393253 EHG393253:EHH393253 ERC393253:ERD393253 FAY393253:FAZ393253 FKU393253:FKV393253 FUQ393253:FUR393253 GEM393253:GEN393253 GOI393253:GOJ393253 GYE393253:GYF393253 HIA393253:HIB393253 HRW393253:HRX393253 IBS393253:IBT393253 ILO393253:ILP393253 IVK393253:IVL393253 JFG393253:JFH393253 JPC393253:JPD393253 JYY393253:JYZ393253 KIU393253:KIV393253 KSQ393253:KSR393253 LCM393253:LCN393253 LMI393253:LMJ393253 LWE393253:LWF393253 MGA393253:MGB393253 MPW393253:MPX393253 MZS393253:MZT393253 NJO393253:NJP393253 NTK393253:NTL393253 ODG393253:ODH393253 ONC393253:OND393253 OWY393253:OWZ393253 PGU393253:PGV393253 PQQ393253:PQR393253 QAM393253:QAN393253 QKI393253:QKJ393253 QUE393253:QUF393253 REA393253:REB393253 RNW393253:RNX393253 RXS393253:RXT393253 SHO393253:SHP393253 SRK393253:SRL393253 TBG393253:TBH393253 TLC393253:TLD393253 TUY393253:TUZ393253 UEU393253:UEV393253 UOQ393253:UOR393253 UYM393253:UYN393253 VII393253:VIJ393253 VSE393253:VSF393253 WCA393253:WCB393253 WLW393253:WLX393253 WVS393253:WVT393253 K458789:L458789 JG458789:JH458789 TC458789:TD458789 ACY458789:ACZ458789 AMU458789:AMV458789 AWQ458789:AWR458789 BGM458789:BGN458789 BQI458789:BQJ458789 CAE458789:CAF458789 CKA458789:CKB458789 CTW458789:CTX458789 DDS458789:DDT458789 DNO458789:DNP458789 DXK458789:DXL458789 EHG458789:EHH458789 ERC458789:ERD458789 FAY458789:FAZ458789 FKU458789:FKV458789 FUQ458789:FUR458789 GEM458789:GEN458789 GOI458789:GOJ458789 GYE458789:GYF458789 HIA458789:HIB458789 HRW458789:HRX458789 IBS458789:IBT458789 ILO458789:ILP458789 IVK458789:IVL458789 JFG458789:JFH458789 JPC458789:JPD458789 JYY458789:JYZ458789 KIU458789:KIV458789 KSQ458789:KSR458789 LCM458789:LCN458789 LMI458789:LMJ458789 LWE458789:LWF458789 MGA458789:MGB458789 MPW458789:MPX458789 MZS458789:MZT458789 NJO458789:NJP458789 NTK458789:NTL458789 ODG458789:ODH458789 ONC458789:OND458789 OWY458789:OWZ458789 PGU458789:PGV458789 PQQ458789:PQR458789 QAM458789:QAN458789 QKI458789:QKJ458789 QUE458789:QUF458789 REA458789:REB458789 RNW458789:RNX458789 RXS458789:RXT458789 SHO458789:SHP458789 SRK458789:SRL458789 TBG458789:TBH458789 TLC458789:TLD458789 TUY458789:TUZ458789 UEU458789:UEV458789 UOQ458789:UOR458789 UYM458789:UYN458789 VII458789:VIJ458789 VSE458789:VSF458789 WCA458789:WCB458789 WLW458789:WLX458789 WVS458789:WVT458789 K524325:L524325 JG524325:JH524325 TC524325:TD524325 ACY524325:ACZ524325 AMU524325:AMV524325 AWQ524325:AWR524325 BGM524325:BGN524325 BQI524325:BQJ524325 CAE524325:CAF524325 CKA524325:CKB524325 CTW524325:CTX524325 DDS524325:DDT524325 DNO524325:DNP524325 DXK524325:DXL524325 EHG524325:EHH524325 ERC524325:ERD524325 FAY524325:FAZ524325 FKU524325:FKV524325 FUQ524325:FUR524325 GEM524325:GEN524325 GOI524325:GOJ524325 GYE524325:GYF524325 HIA524325:HIB524325 HRW524325:HRX524325 IBS524325:IBT524325 ILO524325:ILP524325 IVK524325:IVL524325 JFG524325:JFH524325 JPC524325:JPD524325 JYY524325:JYZ524325 KIU524325:KIV524325 KSQ524325:KSR524325 LCM524325:LCN524325 LMI524325:LMJ524325 LWE524325:LWF524325 MGA524325:MGB524325 MPW524325:MPX524325 MZS524325:MZT524325 NJO524325:NJP524325 NTK524325:NTL524325 ODG524325:ODH524325 ONC524325:OND524325 OWY524325:OWZ524325 PGU524325:PGV524325 PQQ524325:PQR524325 QAM524325:QAN524325 QKI524325:QKJ524325 QUE524325:QUF524325 REA524325:REB524325 RNW524325:RNX524325 RXS524325:RXT524325 SHO524325:SHP524325 SRK524325:SRL524325 TBG524325:TBH524325 TLC524325:TLD524325 TUY524325:TUZ524325 UEU524325:UEV524325 UOQ524325:UOR524325 UYM524325:UYN524325 VII524325:VIJ524325 VSE524325:VSF524325 WCA524325:WCB524325 WLW524325:WLX524325 WVS524325:WVT524325 K589861:L589861 JG589861:JH589861 TC589861:TD589861 ACY589861:ACZ589861 AMU589861:AMV589861 AWQ589861:AWR589861 BGM589861:BGN589861 BQI589861:BQJ589861 CAE589861:CAF589861 CKA589861:CKB589861 CTW589861:CTX589861 DDS589861:DDT589861 DNO589861:DNP589861 DXK589861:DXL589861 EHG589861:EHH589861 ERC589861:ERD589861 FAY589861:FAZ589861 FKU589861:FKV589861 FUQ589861:FUR589861 GEM589861:GEN589861 GOI589861:GOJ589861 GYE589861:GYF589861 HIA589861:HIB589861 HRW589861:HRX589861 IBS589861:IBT589861 ILO589861:ILP589861 IVK589861:IVL589861 JFG589861:JFH589861 JPC589861:JPD589861 JYY589861:JYZ589861 KIU589861:KIV589861 KSQ589861:KSR589861 LCM589861:LCN589861 LMI589861:LMJ589861 LWE589861:LWF589861 MGA589861:MGB589861 MPW589861:MPX589861 MZS589861:MZT589861 NJO589861:NJP589861 NTK589861:NTL589861 ODG589861:ODH589861 ONC589861:OND589861 OWY589861:OWZ589861 PGU589861:PGV589861 PQQ589861:PQR589861 QAM589861:QAN589861 QKI589861:QKJ589861 QUE589861:QUF589861 REA589861:REB589861 RNW589861:RNX589861 RXS589861:RXT589861 SHO589861:SHP589861 SRK589861:SRL589861 TBG589861:TBH589861 TLC589861:TLD589861 TUY589861:TUZ589861 UEU589861:UEV589861 UOQ589861:UOR589861 UYM589861:UYN589861 VII589861:VIJ589861 VSE589861:VSF589861 WCA589861:WCB589861 WLW589861:WLX589861 WVS589861:WVT589861 K655397:L655397 JG655397:JH655397 TC655397:TD655397 ACY655397:ACZ655397 AMU655397:AMV655397 AWQ655397:AWR655397 BGM655397:BGN655397 BQI655397:BQJ655397 CAE655397:CAF655397 CKA655397:CKB655397 CTW655397:CTX655397 DDS655397:DDT655397 DNO655397:DNP655397 DXK655397:DXL655397 EHG655397:EHH655397 ERC655397:ERD655397 FAY655397:FAZ655397 FKU655397:FKV655397 FUQ655397:FUR655397 GEM655397:GEN655397 GOI655397:GOJ655397 GYE655397:GYF655397 HIA655397:HIB655397 HRW655397:HRX655397 IBS655397:IBT655397 ILO655397:ILP655397 IVK655397:IVL655397 JFG655397:JFH655397 JPC655397:JPD655397 JYY655397:JYZ655397 KIU655397:KIV655397 KSQ655397:KSR655397 LCM655397:LCN655397 LMI655397:LMJ655397 LWE655397:LWF655397 MGA655397:MGB655397 MPW655397:MPX655397 MZS655397:MZT655397 NJO655397:NJP655397 NTK655397:NTL655397 ODG655397:ODH655397 ONC655397:OND655397 OWY655397:OWZ655397 PGU655397:PGV655397 PQQ655397:PQR655397 QAM655397:QAN655397 QKI655397:QKJ655397 QUE655397:QUF655397 REA655397:REB655397 RNW655397:RNX655397 RXS655397:RXT655397 SHO655397:SHP655397 SRK655397:SRL655397 TBG655397:TBH655397 TLC655397:TLD655397 TUY655397:TUZ655397 UEU655397:UEV655397 UOQ655397:UOR655397 UYM655397:UYN655397 VII655397:VIJ655397 VSE655397:VSF655397 WCA655397:WCB655397 WLW655397:WLX655397 WVS655397:WVT655397 K720933:L720933 JG720933:JH720933 TC720933:TD720933 ACY720933:ACZ720933 AMU720933:AMV720933 AWQ720933:AWR720933 BGM720933:BGN720933 BQI720933:BQJ720933 CAE720933:CAF720933 CKA720933:CKB720933 CTW720933:CTX720933 DDS720933:DDT720933 DNO720933:DNP720933 DXK720933:DXL720933 EHG720933:EHH720933 ERC720933:ERD720933 FAY720933:FAZ720933 FKU720933:FKV720933 FUQ720933:FUR720933 GEM720933:GEN720933 GOI720933:GOJ720933 GYE720933:GYF720933 HIA720933:HIB720933 HRW720933:HRX720933 IBS720933:IBT720933 ILO720933:ILP720933 IVK720933:IVL720933 JFG720933:JFH720933 JPC720933:JPD720933 JYY720933:JYZ720933 KIU720933:KIV720933 KSQ720933:KSR720933 LCM720933:LCN720933 LMI720933:LMJ720933 LWE720933:LWF720933 MGA720933:MGB720933 MPW720933:MPX720933 MZS720933:MZT720933 NJO720933:NJP720933 NTK720933:NTL720933 ODG720933:ODH720933 ONC720933:OND720933 OWY720933:OWZ720933 PGU720933:PGV720933 PQQ720933:PQR720933 QAM720933:QAN720933 QKI720933:QKJ720933 QUE720933:QUF720933 REA720933:REB720933 RNW720933:RNX720933 RXS720933:RXT720933 SHO720933:SHP720933 SRK720933:SRL720933 TBG720933:TBH720933 TLC720933:TLD720933 TUY720933:TUZ720933 UEU720933:UEV720933 UOQ720933:UOR720933 UYM720933:UYN720933 VII720933:VIJ720933 VSE720933:VSF720933 WCA720933:WCB720933 WLW720933:WLX720933 WVS720933:WVT720933 K786469:L786469 JG786469:JH786469 TC786469:TD786469 ACY786469:ACZ786469 AMU786469:AMV786469 AWQ786469:AWR786469 BGM786469:BGN786469 BQI786469:BQJ786469 CAE786469:CAF786469 CKA786469:CKB786469 CTW786469:CTX786469 DDS786469:DDT786469 DNO786469:DNP786469 DXK786469:DXL786469 EHG786469:EHH786469 ERC786469:ERD786469 FAY786469:FAZ786469 FKU786469:FKV786469 FUQ786469:FUR786469 GEM786469:GEN786469 GOI786469:GOJ786469 GYE786469:GYF786469 HIA786469:HIB786469 HRW786469:HRX786469 IBS786469:IBT786469 ILO786469:ILP786469 IVK786469:IVL786469 JFG786469:JFH786469 JPC786469:JPD786469 JYY786469:JYZ786469 KIU786469:KIV786469 KSQ786469:KSR786469 LCM786469:LCN786469 LMI786469:LMJ786469 LWE786469:LWF786469 MGA786469:MGB786469 MPW786469:MPX786469 MZS786469:MZT786469 NJO786469:NJP786469 NTK786469:NTL786469 ODG786469:ODH786469 ONC786469:OND786469 OWY786469:OWZ786469 PGU786469:PGV786469 PQQ786469:PQR786469 QAM786469:QAN786469 QKI786469:QKJ786469 QUE786469:QUF786469 REA786469:REB786469 RNW786469:RNX786469 RXS786469:RXT786469 SHO786469:SHP786469 SRK786469:SRL786469 TBG786469:TBH786469 TLC786469:TLD786469 TUY786469:TUZ786469 UEU786469:UEV786469 UOQ786469:UOR786469 UYM786469:UYN786469 VII786469:VIJ786469 VSE786469:VSF786469 WCA786469:WCB786469 WLW786469:WLX786469 WVS786469:WVT786469 K852005:L852005 JG852005:JH852005 TC852005:TD852005 ACY852005:ACZ852005 AMU852005:AMV852005 AWQ852005:AWR852005 BGM852005:BGN852005 BQI852005:BQJ852005 CAE852005:CAF852005 CKA852005:CKB852005 CTW852005:CTX852005 DDS852005:DDT852005 DNO852005:DNP852005 DXK852005:DXL852005 EHG852005:EHH852005 ERC852005:ERD852005 FAY852005:FAZ852005 FKU852005:FKV852005 FUQ852005:FUR852005 GEM852005:GEN852005 GOI852005:GOJ852005 GYE852005:GYF852005 HIA852005:HIB852005 HRW852005:HRX852005 IBS852005:IBT852005 ILO852005:ILP852005 IVK852005:IVL852005 JFG852005:JFH852005 JPC852005:JPD852005 JYY852005:JYZ852005 KIU852005:KIV852005 KSQ852005:KSR852005 LCM852005:LCN852005 LMI852005:LMJ852005 LWE852005:LWF852005 MGA852005:MGB852005 MPW852005:MPX852005 MZS852005:MZT852005 NJO852005:NJP852005 NTK852005:NTL852005 ODG852005:ODH852005 ONC852005:OND852005 OWY852005:OWZ852005 PGU852005:PGV852005 PQQ852005:PQR852005 QAM852005:QAN852005 QKI852005:QKJ852005 QUE852005:QUF852005 REA852005:REB852005 RNW852005:RNX852005 RXS852005:RXT852005 SHO852005:SHP852005 SRK852005:SRL852005 TBG852005:TBH852005 TLC852005:TLD852005 TUY852005:TUZ852005 UEU852005:UEV852005 UOQ852005:UOR852005 UYM852005:UYN852005 VII852005:VIJ852005 VSE852005:VSF852005 WCA852005:WCB852005 WLW852005:WLX852005 WVS852005:WVT852005 K917541:L917541 JG917541:JH917541 TC917541:TD917541 ACY917541:ACZ917541 AMU917541:AMV917541 AWQ917541:AWR917541 BGM917541:BGN917541 BQI917541:BQJ917541 CAE917541:CAF917541 CKA917541:CKB917541 CTW917541:CTX917541 DDS917541:DDT917541 DNO917541:DNP917541 DXK917541:DXL917541 EHG917541:EHH917541 ERC917541:ERD917541 FAY917541:FAZ917541 FKU917541:FKV917541 FUQ917541:FUR917541 GEM917541:GEN917541 GOI917541:GOJ917541 GYE917541:GYF917541 HIA917541:HIB917541 HRW917541:HRX917541 IBS917541:IBT917541 ILO917541:ILP917541 IVK917541:IVL917541 JFG917541:JFH917541 JPC917541:JPD917541 JYY917541:JYZ917541 KIU917541:KIV917541 KSQ917541:KSR917541 LCM917541:LCN917541 LMI917541:LMJ917541 LWE917541:LWF917541 MGA917541:MGB917541 MPW917541:MPX917541 MZS917541:MZT917541 NJO917541:NJP917541 NTK917541:NTL917541 ODG917541:ODH917541 ONC917541:OND917541 OWY917541:OWZ917541 PGU917541:PGV917541 PQQ917541:PQR917541 QAM917541:QAN917541 QKI917541:QKJ917541 QUE917541:QUF917541 REA917541:REB917541 RNW917541:RNX917541 RXS917541:RXT917541 SHO917541:SHP917541 SRK917541:SRL917541 TBG917541:TBH917541 TLC917541:TLD917541 TUY917541:TUZ917541 UEU917541:UEV917541 UOQ917541:UOR917541 UYM917541:UYN917541 VII917541:VIJ917541 VSE917541:VSF917541 WCA917541:WCB917541 WLW917541:WLX917541 WVS917541:WVT917541 K983077:L983077 JG983077:JH983077 TC983077:TD983077 ACY983077:ACZ983077 AMU983077:AMV983077 AWQ983077:AWR983077 BGM983077:BGN983077 BQI983077:BQJ983077 CAE983077:CAF983077 CKA983077:CKB983077 CTW983077:CTX983077 DDS983077:DDT983077 DNO983077:DNP983077 DXK983077:DXL983077 EHG983077:EHH983077 ERC983077:ERD983077 FAY983077:FAZ983077 FKU983077:FKV983077 FUQ983077:FUR983077 GEM983077:GEN983077 GOI983077:GOJ983077 GYE983077:GYF983077 HIA983077:HIB983077 HRW983077:HRX983077 IBS983077:IBT983077 ILO983077:ILP983077 IVK983077:IVL983077 JFG983077:JFH983077 JPC983077:JPD983077 JYY983077:JYZ983077 KIU983077:KIV983077 KSQ983077:KSR983077 LCM983077:LCN983077 LMI983077:LMJ983077 LWE983077:LWF983077 MGA983077:MGB983077 MPW983077:MPX983077 MZS983077:MZT983077 NJO983077:NJP983077 NTK983077:NTL983077 ODG983077:ODH983077 ONC983077:OND983077 OWY983077:OWZ983077 PGU983077:PGV983077 PQQ983077:PQR983077 QAM983077:QAN983077 QKI983077:QKJ983077 QUE983077:QUF983077 REA983077:REB983077 RNW983077:RNX983077 RXS983077:RXT983077 SHO983077:SHP983077 SRK983077:SRL983077 TBG983077:TBH983077 TLC983077:TLD983077 TUY983077:TUZ983077 UEU983077:UEV983077 UOQ983077:UOR983077 UYM983077:UYN983077 VII983077:VIJ983077 VSE983077:VSF983077 WCA983077:WCB983077 WLW983077:WLX983077 WVS983077:WVT983077 L38:L42 JH38:JH42 TD38:TD42 ACZ38:ACZ42 AMV38:AMV42 AWR38:AWR42 BGN38:BGN42 BQJ38:BQJ42 CAF38:CAF42 CKB38:CKB42 CTX38:CTX42 DDT38:DDT42 DNP38:DNP42 DXL38:DXL42 EHH38:EHH42 ERD38:ERD42 FAZ38:FAZ42 FKV38:FKV42 FUR38:FUR42 GEN38:GEN42 GOJ38:GOJ42 GYF38:GYF42 HIB38:HIB42 HRX38:HRX42 IBT38:IBT42 ILP38:ILP42 IVL38:IVL42 JFH38:JFH42 JPD38:JPD42 JYZ38:JYZ42 KIV38:KIV42 KSR38:KSR42 LCN38:LCN42 LMJ38:LMJ42 LWF38:LWF42 MGB38:MGB42 MPX38:MPX42 MZT38:MZT42 NJP38:NJP42 NTL38:NTL42 ODH38:ODH42 OND38:OND42 OWZ38:OWZ42 PGV38:PGV42 PQR38:PQR42 QAN38:QAN42 QKJ38:QKJ42 QUF38:QUF42 REB38:REB42 RNX38:RNX42 RXT38:RXT42 SHP38:SHP42 SRL38:SRL42 TBH38:TBH42 TLD38:TLD42 TUZ38:TUZ42 UEV38:UEV42 UOR38:UOR42 UYN38:UYN42 VIJ38:VIJ42 VSF38:VSF42 WCB38:WCB42 WLX38:WLX42 WVT38:WVT42 L65574:L65578 JH65574:JH65578 TD65574:TD65578 ACZ65574:ACZ65578 AMV65574:AMV65578 AWR65574:AWR65578 BGN65574:BGN65578 BQJ65574:BQJ65578 CAF65574:CAF65578 CKB65574:CKB65578 CTX65574:CTX65578 DDT65574:DDT65578 DNP65574:DNP65578 DXL65574:DXL65578 EHH65574:EHH65578 ERD65574:ERD65578 FAZ65574:FAZ65578 FKV65574:FKV65578 FUR65574:FUR65578 GEN65574:GEN65578 GOJ65574:GOJ65578 GYF65574:GYF65578 HIB65574:HIB65578 HRX65574:HRX65578 IBT65574:IBT65578 ILP65574:ILP65578 IVL65574:IVL65578 JFH65574:JFH65578 JPD65574:JPD65578 JYZ65574:JYZ65578 KIV65574:KIV65578 KSR65574:KSR65578 LCN65574:LCN65578 LMJ65574:LMJ65578 LWF65574:LWF65578 MGB65574:MGB65578 MPX65574:MPX65578 MZT65574:MZT65578 NJP65574:NJP65578 NTL65574:NTL65578 ODH65574:ODH65578 OND65574:OND65578 OWZ65574:OWZ65578 PGV65574:PGV65578 PQR65574:PQR65578 QAN65574:QAN65578 QKJ65574:QKJ65578 QUF65574:QUF65578 REB65574:REB65578 RNX65574:RNX65578 RXT65574:RXT65578 SHP65574:SHP65578 SRL65574:SRL65578 TBH65574:TBH65578 TLD65574:TLD65578 TUZ65574:TUZ65578 UEV65574:UEV65578 UOR65574:UOR65578 UYN65574:UYN65578 VIJ65574:VIJ65578 VSF65574:VSF65578 WCB65574:WCB65578 WLX65574:WLX65578 WVT65574:WVT65578 L131110:L131114 JH131110:JH131114 TD131110:TD131114 ACZ131110:ACZ131114 AMV131110:AMV131114 AWR131110:AWR131114 BGN131110:BGN131114 BQJ131110:BQJ131114 CAF131110:CAF131114 CKB131110:CKB131114 CTX131110:CTX131114 DDT131110:DDT131114 DNP131110:DNP131114 DXL131110:DXL131114 EHH131110:EHH131114 ERD131110:ERD131114 FAZ131110:FAZ131114 FKV131110:FKV131114 FUR131110:FUR131114 GEN131110:GEN131114 GOJ131110:GOJ131114 GYF131110:GYF131114 HIB131110:HIB131114 HRX131110:HRX131114 IBT131110:IBT131114 ILP131110:ILP131114 IVL131110:IVL131114 JFH131110:JFH131114 JPD131110:JPD131114 JYZ131110:JYZ131114 KIV131110:KIV131114 KSR131110:KSR131114 LCN131110:LCN131114 LMJ131110:LMJ131114 LWF131110:LWF131114 MGB131110:MGB131114 MPX131110:MPX131114 MZT131110:MZT131114 NJP131110:NJP131114 NTL131110:NTL131114 ODH131110:ODH131114 OND131110:OND131114 OWZ131110:OWZ131114 PGV131110:PGV131114 PQR131110:PQR131114 QAN131110:QAN131114 QKJ131110:QKJ131114 QUF131110:QUF131114 REB131110:REB131114 RNX131110:RNX131114 RXT131110:RXT131114 SHP131110:SHP131114 SRL131110:SRL131114 TBH131110:TBH131114 TLD131110:TLD131114 TUZ131110:TUZ131114 UEV131110:UEV131114 UOR131110:UOR131114 UYN131110:UYN131114 VIJ131110:VIJ131114 VSF131110:VSF131114 WCB131110:WCB131114 WLX131110:WLX131114 WVT131110:WVT131114 L196646:L196650 JH196646:JH196650 TD196646:TD196650 ACZ196646:ACZ196650 AMV196646:AMV196650 AWR196646:AWR196650 BGN196646:BGN196650 BQJ196646:BQJ196650 CAF196646:CAF196650 CKB196646:CKB196650 CTX196646:CTX196650 DDT196646:DDT196650 DNP196646:DNP196650 DXL196646:DXL196650 EHH196646:EHH196650 ERD196646:ERD196650 FAZ196646:FAZ196650 FKV196646:FKV196650 FUR196646:FUR196650 GEN196646:GEN196650 GOJ196646:GOJ196650 GYF196646:GYF196650 HIB196646:HIB196650 HRX196646:HRX196650 IBT196646:IBT196650 ILP196646:ILP196650 IVL196646:IVL196650 JFH196646:JFH196650 JPD196646:JPD196650 JYZ196646:JYZ196650 KIV196646:KIV196650 KSR196646:KSR196650 LCN196646:LCN196650 LMJ196646:LMJ196650 LWF196646:LWF196650 MGB196646:MGB196650 MPX196646:MPX196650 MZT196646:MZT196650 NJP196646:NJP196650 NTL196646:NTL196650 ODH196646:ODH196650 OND196646:OND196650 OWZ196646:OWZ196650 PGV196646:PGV196650 PQR196646:PQR196650 QAN196646:QAN196650 QKJ196646:QKJ196650 QUF196646:QUF196650 REB196646:REB196650 RNX196646:RNX196650 RXT196646:RXT196650 SHP196646:SHP196650 SRL196646:SRL196650 TBH196646:TBH196650 TLD196646:TLD196650 TUZ196646:TUZ196650 UEV196646:UEV196650 UOR196646:UOR196650 UYN196646:UYN196650 VIJ196646:VIJ196650 VSF196646:VSF196650 WCB196646:WCB196650 WLX196646:WLX196650 WVT196646:WVT196650 L262182:L262186 JH262182:JH262186 TD262182:TD262186 ACZ262182:ACZ262186 AMV262182:AMV262186 AWR262182:AWR262186 BGN262182:BGN262186 BQJ262182:BQJ262186 CAF262182:CAF262186 CKB262182:CKB262186 CTX262182:CTX262186 DDT262182:DDT262186 DNP262182:DNP262186 DXL262182:DXL262186 EHH262182:EHH262186 ERD262182:ERD262186 FAZ262182:FAZ262186 FKV262182:FKV262186 FUR262182:FUR262186 GEN262182:GEN262186 GOJ262182:GOJ262186 GYF262182:GYF262186 HIB262182:HIB262186 HRX262182:HRX262186 IBT262182:IBT262186 ILP262182:ILP262186 IVL262182:IVL262186 JFH262182:JFH262186 JPD262182:JPD262186 JYZ262182:JYZ262186 KIV262182:KIV262186 KSR262182:KSR262186 LCN262182:LCN262186 LMJ262182:LMJ262186 LWF262182:LWF262186 MGB262182:MGB262186 MPX262182:MPX262186 MZT262182:MZT262186 NJP262182:NJP262186 NTL262182:NTL262186 ODH262182:ODH262186 OND262182:OND262186 OWZ262182:OWZ262186 PGV262182:PGV262186 PQR262182:PQR262186 QAN262182:QAN262186 QKJ262182:QKJ262186 QUF262182:QUF262186 REB262182:REB262186 RNX262182:RNX262186 RXT262182:RXT262186 SHP262182:SHP262186 SRL262182:SRL262186 TBH262182:TBH262186 TLD262182:TLD262186 TUZ262182:TUZ262186 UEV262182:UEV262186 UOR262182:UOR262186 UYN262182:UYN262186 VIJ262182:VIJ262186 VSF262182:VSF262186 WCB262182:WCB262186 WLX262182:WLX262186 WVT262182:WVT262186 L327718:L327722 JH327718:JH327722 TD327718:TD327722 ACZ327718:ACZ327722 AMV327718:AMV327722 AWR327718:AWR327722 BGN327718:BGN327722 BQJ327718:BQJ327722 CAF327718:CAF327722 CKB327718:CKB327722 CTX327718:CTX327722 DDT327718:DDT327722 DNP327718:DNP327722 DXL327718:DXL327722 EHH327718:EHH327722 ERD327718:ERD327722 FAZ327718:FAZ327722 FKV327718:FKV327722 FUR327718:FUR327722 GEN327718:GEN327722 GOJ327718:GOJ327722 GYF327718:GYF327722 HIB327718:HIB327722 HRX327718:HRX327722 IBT327718:IBT327722 ILP327718:ILP327722 IVL327718:IVL327722 JFH327718:JFH327722 JPD327718:JPD327722 JYZ327718:JYZ327722 KIV327718:KIV327722 KSR327718:KSR327722 LCN327718:LCN327722 LMJ327718:LMJ327722 LWF327718:LWF327722 MGB327718:MGB327722 MPX327718:MPX327722 MZT327718:MZT327722 NJP327718:NJP327722 NTL327718:NTL327722 ODH327718:ODH327722 OND327718:OND327722 OWZ327718:OWZ327722 PGV327718:PGV327722 PQR327718:PQR327722 QAN327718:QAN327722 QKJ327718:QKJ327722 QUF327718:QUF327722 REB327718:REB327722 RNX327718:RNX327722 RXT327718:RXT327722 SHP327718:SHP327722 SRL327718:SRL327722 TBH327718:TBH327722 TLD327718:TLD327722 TUZ327718:TUZ327722 UEV327718:UEV327722 UOR327718:UOR327722 UYN327718:UYN327722 VIJ327718:VIJ327722 VSF327718:VSF327722 WCB327718:WCB327722 WLX327718:WLX327722 WVT327718:WVT327722 L393254:L393258 JH393254:JH393258 TD393254:TD393258 ACZ393254:ACZ393258 AMV393254:AMV393258 AWR393254:AWR393258 BGN393254:BGN393258 BQJ393254:BQJ393258 CAF393254:CAF393258 CKB393254:CKB393258 CTX393254:CTX393258 DDT393254:DDT393258 DNP393254:DNP393258 DXL393254:DXL393258 EHH393254:EHH393258 ERD393254:ERD393258 FAZ393254:FAZ393258 FKV393254:FKV393258 FUR393254:FUR393258 GEN393254:GEN393258 GOJ393254:GOJ393258 GYF393254:GYF393258 HIB393254:HIB393258 HRX393254:HRX393258 IBT393254:IBT393258 ILP393254:ILP393258 IVL393254:IVL393258 JFH393254:JFH393258 JPD393254:JPD393258 JYZ393254:JYZ393258 KIV393254:KIV393258 KSR393254:KSR393258 LCN393254:LCN393258 LMJ393254:LMJ393258 LWF393254:LWF393258 MGB393254:MGB393258 MPX393254:MPX393258 MZT393254:MZT393258 NJP393254:NJP393258 NTL393254:NTL393258 ODH393254:ODH393258 OND393254:OND393258 OWZ393254:OWZ393258 PGV393254:PGV393258 PQR393254:PQR393258 QAN393254:QAN393258 QKJ393254:QKJ393258 QUF393254:QUF393258 REB393254:REB393258 RNX393254:RNX393258 RXT393254:RXT393258 SHP393254:SHP393258 SRL393254:SRL393258 TBH393254:TBH393258 TLD393254:TLD393258 TUZ393254:TUZ393258 UEV393254:UEV393258 UOR393254:UOR393258 UYN393254:UYN393258 VIJ393254:VIJ393258 VSF393254:VSF393258 WCB393254:WCB393258 WLX393254:WLX393258 WVT393254:WVT393258 L458790:L458794 JH458790:JH458794 TD458790:TD458794 ACZ458790:ACZ458794 AMV458790:AMV458794 AWR458790:AWR458794 BGN458790:BGN458794 BQJ458790:BQJ458794 CAF458790:CAF458794 CKB458790:CKB458794 CTX458790:CTX458794 DDT458790:DDT458794 DNP458790:DNP458794 DXL458790:DXL458794 EHH458790:EHH458794 ERD458790:ERD458794 FAZ458790:FAZ458794 FKV458790:FKV458794 FUR458790:FUR458794 GEN458790:GEN458794 GOJ458790:GOJ458794 GYF458790:GYF458794 HIB458790:HIB458794 HRX458790:HRX458794 IBT458790:IBT458794 ILP458790:ILP458794 IVL458790:IVL458794 JFH458790:JFH458794 JPD458790:JPD458794 JYZ458790:JYZ458794 KIV458790:KIV458794 KSR458790:KSR458794 LCN458790:LCN458794 LMJ458790:LMJ458794 LWF458790:LWF458794 MGB458790:MGB458794 MPX458790:MPX458794 MZT458790:MZT458794 NJP458790:NJP458794 NTL458790:NTL458794 ODH458790:ODH458794 OND458790:OND458794 OWZ458790:OWZ458794 PGV458790:PGV458794 PQR458790:PQR458794 QAN458790:QAN458794 QKJ458790:QKJ458794 QUF458790:QUF458794 REB458790:REB458794 RNX458790:RNX458794 RXT458790:RXT458794 SHP458790:SHP458794 SRL458790:SRL458794 TBH458790:TBH458794 TLD458790:TLD458794 TUZ458790:TUZ458794 UEV458790:UEV458794 UOR458790:UOR458794 UYN458790:UYN458794 VIJ458790:VIJ458794 VSF458790:VSF458794 WCB458790:WCB458794 WLX458790:WLX458794 WVT458790:WVT458794 L524326:L524330 JH524326:JH524330 TD524326:TD524330 ACZ524326:ACZ524330 AMV524326:AMV524330 AWR524326:AWR524330 BGN524326:BGN524330 BQJ524326:BQJ524330 CAF524326:CAF524330 CKB524326:CKB524330 CTX524326:CTX524330 DDT524326:DDT524330 DNP524326:DNP524330 DXL524326:DXL524330 EHH524326:EHH524330 ERD524326:ERD524330 FAZ524326:FAZ524330 FKV524326:FKV524330 FUR524326:FUR524330 GEN524326:GEN524330 GOJ524326:GOJ524330 GYF524326:GYF524330 HIB524326:HIB524330 HRX524326:HRX524330 IBT524326:IBT524330 ILP524326:ILP524330 IVL524326:IVL524330 JFH524326:JFH524330 JPD524326:JPD524330 JYZ524326:JYZ524330 KIV524326:KIV524330 KSR524326:KSR524330 LCN524326:LCN524330 LMJ524326:LMJ524330 LWF524326:LWF524330 MGB524326:MGB524330 MPX524326:MPX524330 MZT524326:MZT524330 NJP524326:NJP524330 NTL524326:NTL524330 ODH524326:ODH524330 OND524326:OND524330 OWZ524326:OWZ524330 PGV524326:PGV524330 PQR524326:PQR524330 QAN524326:QAN524330 QKJ524326:QKJ524330 QUF524326:QUF524330 REB524326:REB524330 RNX524326:RNX524330 RXT524326:RXT524330 SHP524326:SHP524330 SRL524326:SRL524330 TBH524326:TBH524330 TLD524326:TLD524330 TUZ524326:TUZ524330 UEV524326:UEV524330 UOR524326:UOR524330 UYN524326:UYN524330 VIJ524326:VIJ524330 VSF524326:VSF524330 WCB524326:WCB524330 WLX524326:WLX524330 WVT524326:WVT524330 L589862:L589866 JH589862:JH589866 TD589862:TD589866 ACZ589862:ACZ589866 AMV589862:AMV589866 AWR589862:AWR589866 BGN589862:BGN589866 BQJ589862:BQJ589866 CAF589862:CAF589866 CKB589862:CKB589866 CTX589862:CTX589866 DDT589862:DDT589866 DNP589862:DNP589866 DXL589862:DXL589866 EHH589862:EHH589866 ERD589862:ERD589866 FAZ589862:FAZ589866 FKV589862:FKV589866 FUR589862:FUR589866 GEN589862:GEN589866 GOJ589862:GOJ589866 GYF589862:GYF589866 HIB589862:HIB589866 HRX589862:HRX589866 IBT589862:IBT589866 ILP589862:ILP589866 IVL589862:IVL589866 JFH589862:JFH589866 JPD589862:JPD589866 JYZ589862:JYZ589866 KIV589862:KIV589866 KSR589862:KSR589866 LCN589862:LCN589866 LMJ589862:LMJ589866 LWF589862:LWF589866 MGB589862:MGB589866 MPX589862:MPX589866 MZT589862:MZT589866 NJP589862:NJP589866 NTL589862:NTL589866 ODH589862:ODH589866 OND589862:OND589866 OWZ589862:OWZ589866 PGV589862:PGV589866 PQR589862:PQR589866 QAN589862:QAN589866 QKJ589862:QKJ589866 QUF589862:QUF589866 REB589862:REB589866 RNX589862:RNX589866 RXT589862:RXT589866 SHP589862:SHP589866 SRL589862:SRL589866 TBH589862:TBH589866 TLD589862:TLD589866 TUZ589862:TUZ589866 UEV589862:UEV589866 UOR589862:UOR589866 UYN589862:UYN589866 VIJ589862:VIJ589866 VSF589862:VSF589866 WCB589862:WCB589866 WLX589862:WLX589866 WVT589862:WVT589866 L655398:L655402 JH655398:JH655402 TD655398:TD655402 ACZ655398:ACZ655402 AMV655398:AMV655402 AWR655398:AWR655402 BGN655398:BGN655402 BQJ655398:BQJ655402 CAF655398:CAF655402 CKB655398:CKB655402 CTX655398:CTX655402 DDT655398:DDT655402 DNP655398:DNP655402 DXL655398:DXL655402 EHH655398:EHH655402 ERD655398:ERD655402 FAZ655398:FAZ655402 FKV655398:FKV655402 FUR655398:FUR655402 GEN655398:GEN655402 GOJ655398:GOJ655402 GYF655398:GYF655402 HIB655398:HIB655402 HRX655398:HRX655402 IBT655398:IBT655402 ILP655398:ILP655402 IVL655398:IVL655402 JFH655398:JFH655402 JPD655398:JPD655402 JYZ655398:JYZ655402 KIV655398:KIV655402 KSR655398:KSR655402 LCN655398:LCN655402 LMJ655398:LMJ655402 LWF655398:LWF655402 MGB655398:MGB655402 MPX655398:MPX655402 MZT655398:MZT655402 NJP655398:NJP655402 NTL655398:NTL655402 ODH655398:ODH655402 OND655398:OND655402 OWZ655398:OWZ655402 PGV655398:PGV655402 PQR655398:PQR655402 QAN655398:QAN655402 QKJ655398:QKJ655402 QUF655398:QUF655402 REB655398:REB655402 RNX655398:RNX655402 RXT655398:RXT655402 SHP655398:SHP655402 SRL655398:SRL655402 TBH655398:TBH655402 TLD655398:TLD655402 TUZ655398:TUZ655402 UEV655398:UEV655402 UOR655398:UOR655402 UYN655398:UYN655402 VIJ655398:VIJ655402 VSF655398:VSF655402 WCB655398:WCB655402 WLX655398:WLX655402 WVT655398:WVT655402 L720934:L720938 JH720934:JH720938 TD720934:TD720938 ACZ720934:ACZ720938 AMV720934:AMV720938 AWR720934:AWR720938 BGN720934:BGN720938 BQJ720934:BQJ720938 CAF720934:CAF720938 CKB720934:CKB720938 CTX720934:CTX720938 DDT720934:DDT720938 DNP720934:DNP720938 DXL720934:DXL720938 EHH720934:EHH720938 ERD720934:ERD720938 FAZ720934:FAZ720938 FKV720934:FKV720938 FUR720934:FUR720938 GEN720934:GEN720938 GOJ720934:GOJ720938 GYF720934:GYF720938 HIB720934:HIB720938 HRX720934:HRX720938 IBT720934:IBT720938 ILP720934:ILP720938 IVL720934:IVL720938 JFH720934:JFH720938 JPD720934:JPD720938 JYZ720934:JYZ720938 KIV720934:KIV720938 KSR720934:KSR720938 LCN720934:LCN720938 LMJ720934:LMJ720938 LWF720934:LWF720938 MGB720934:MGB720938 MPX720934:MPX720938 MZT720934:MZT720938 NJP720934:NJP720938 NTL720934:NTL720938 ODH720934:ODH720938 OND720934:OND720938 OWZ720934:OWZ720938 PGV720934:PGV720938 PQR720934:PQR720938 QAN720934:QAN720938 QKJ720934:QKJ720938 QUF720934:QUF720938 REB720934:REB720938 RNX720934:RNX720938 RXT720934:RXT720938 SHP720934:SHP720938 SRL720934:SRL720938 TBH720934:TBH720938 TLD720934:TLD720938 TUZ720934:TUZ720938 UEV720934:UEV720938 UOR720934:UOR720938 UYN720934:UYN720938 VIJ720934:VIJ720938 VSF720934:VSF720938 WCB720934:WCB720938 WLX720934:WLX720938 WVT720934:WVT720938 L786470:L786474 JH786470:JH786474 TD786470:TD786474 ACZ786470:ACZ786474 AMV786470:AMV786474 AWR786470:AWR786474 BGN786470:BGN786474 BQJ786470:BQJ786474 CAF786470:CAF786474 CKB786470:CKB786474 CTX786470:CTX786474 DDT786470:DDT786474 DNP786470:DNP786474 DXL786470:DXL786474 EHH786470:EHH786474 ERD786470:ERD786474 FAZ786470:FAZ786474 FKV786470:FKV786474 FUR786470:FUR786474 GEN786470:GEN786474 GOJ786470:GOJ786474 GYF786470:GYF786474 HIB786470:HIB786474 HRX786470:HRX786474 IBT786470:IBT786474 ILP786470:ILP786474 IVL786470:IVL786474 JFH786470:JFH786474 JPD786470:JPD786474 JYZ786470:JYZ786474 KIV786470:KIV786474 KSR786470:KSR786474 LCN786470:LCN786474 LMJ786470:LMJ786474 LWF786470:LWF786474 MGB786470:MGB786474 MPX786470:MPX786474 MZT786470:MZT786474 NJP786470:NJP786474 NTL786470:NTL786474 ODH786470:ODH786474 OND786470:OND786474 OWZ786470:OWZ786474 PGV786470:PGV786474 PQR786470:PQR786474 QAN786470:QAN786474 QKJ786470:QKJ786474 QUF786470:QUF786474 REB786470:REB786474 RNX786470:RNX786474 RXT786470:RXT786474 SHP786470:SHP786474 SRL786470:SRL786474 TBH786470:TBH786474 TLD786470:TLD786474 TUZ786470:TUZ786474 UEV786470:UEV786474 UOR786470:UOR786474 UYN786470:UYN786474 VIJ786470:VIJ786474 VSF786470:VSF786474 WCB786470:WCB786474 WLX786470:WLX786474 WVT786470:WVT786474 L852006:L852010 JH852006:JH852010 TD852006:TD852010 ACZ852006:ACZ852010 AMV852006:AMV852010 AWR852006:AWR852010 BGN852006:BGN852010 BQJ852006:BQJ852010 CAF852006:CAF852010 CKB852006:CKB852010 CTX852006:CTX852010 DDT852006:DDT852010 DNP852006:DNP852010 DXL852006:DXL852010 EHH852006:EHH852010 ERD852006:ERD852010 FAZ852006:FAZ852010 FKV852006:FKV852010 FUR852006:FUR852010 GEN852006:GEN852010 GOJ852006:GOJ852010 GYF852006:GYF852010 HIB852006:HIB852010 HRX852006:HRX852010 IBT852006:IBT852010 ILP852006:ILP852010 IVL852006:IVL852010 JFH852006:JFH852010 JPD852006:JPD852010 JYZ852006:JYZ852010 KIV852006:KIV852010 KSR852006:KSR852010 LCN852006:LCN852010 LMJ852006:LMJ852010 LWF852006:LWF852010 MGB852006:MGB852010 MPX852006:MPX852010 MZT852006:MZT852010 NJP852006:NJP852010 NTL852006:NTL852010 ODH852006:ODH852010 OND852006:OND852010 OWZ852006:OWZ852010 PGV852006:PGV852010 PQR852006:PQR852010 QAN852006:QAN852010 QKJ852006:QKJ852010 QUF852006:QUF852010 REB852006:REB852010 RNX852006:RNX852010 RXT852006:RXT852010 SHP852006:SHP852010 SRL852006:SRL852010 TBH852006:TBH852010 TLD852006:TLD852010 TUZ852006:TUZ852010 UEV852006:UEV852010 UOR852006:UOR852010 UYN852006:UYN852010 VIJ852006:VIJ852010 VSF852006:VSF852010 WCB852006:WCB852010 WLX852006:WLX852010 WVT852006:WVT852010 L917542:L917546 JH917542:JH917546 TD917542:TD917546 ACZ917542:ACZ917546 AMV917542:AMV917546 AWR917542:AWR917546 BGN917542:BGN917546 BQJ917542:BQJ917546 CAF917542:CAF917546 CKB917542:CKB917546 CTX917542:CTX917546 DDT917542:DDT917546 DNP917542:DNP917546 DXL917542:DXL917546 EHH917542:EHH917546 ERD917542:ERD917546 FAZ917542:FAZ917546 FKV917542:FKV917546 FUR917542:FUR917546 GEN917542:GEN917546 GOJ917542:GOJ917546 GYF917542:GYF917546 HIB917542:HIB917546 HRX917542:HRX917546 IBT917542:IBT917546 ILP917542:ILP917546 IVL917542:IVL917546 JFH917542:JFH917546 JPD917542:JPD917546 JYZ917542:JYZ917546 KIV917542:KIV917546 KSR917542:KSR917546 LCN917542:LCN917546 LMJ917542:LMJ917546 LWF917542:LWF917546 MGB917542:MGB917546 MPX917542:MPX917546 MZT917542:MZT917546 NJP917542:NJP917546 NTL917542:NTL917546 ODH917542:ODH917546 OND917542:OND917546 OWZ917542:OWZ917546 PGV917542:PGV917546 PQR917542:PQR917546 QAN917542:QAN917546 QKJ917542:QKJ917546 QUF917542:QUF917546 REB917542:REB917546 RNX917542:RNX917546 RXT917542:RXT917546 SHP917542:SHP917546 SRL917542:SRL917546 TBH917542:TBH917546 TLD917542:TLD917546 TUZ917542:TUZ917546 UEV917542:UEV917546 UOR917542:UOR917546 UYN917542:UYN917546 VIJ917542:VIJ917546 VSF917542:VSF917546 WCB917542:WCB917546 WLX917542:WLX917546 WVT917542:WVT917546 L983078:L983082 JH983078:JH983082 TD983078:TD983082 ACZ983078:ACZ983082 AMV983078:AMV983082 AWR983078:AWR983082 BGN983078:BGN983082 BQJ983078:BQJ983082 CAF983078:CAF983082 CKB983078:CKB983082 CTX983078:CTX983082 DDT983078:DDT983082 DNP983078:DNP983082 DXL983078:DXL983082 EHH983078:EHH983082 ERD983078:ERD983082 FAZ983078:FAZ983082 FKV983078:FKV983082 FUR983078:FUR983082 GEN983078:GEN983082 GOJ983078:GOJ983082 GYF983078:GYF983082 HIB983078:HIB983082 HRX983078:HRX983082 IBT983078:IBT983082 ILP983078:ILP983082 IVL983078:IVL983082 JFH983078:JFH983082 JPD983078:JPD983082 JYZ983078:JYZ983082 KIV983078:KIV983082 KSR983078:KSR983082 LCN983078:LCN983082 LMJ983078:LMJ983082 LWF983078:LWF983082 MGB983078:MGB983082 MPX983078:MPX983082 MZT983078:MZT983082 NJP983078:NJP983082 NTL983078:NTL983082 ODH983078:ODH983082 OND983078:OND983082 OWZ983078:OWZ983082 PGV983078:PGV983082 PQR983078:PQR983082 QAN983078:QAN983082 QKJ983078:QKJ983082 QUF983078:QUF983082 REB983078:REB983082 RNX983078:RNX983082 RXT983078:RXT983082 SHP983078:SHP983082 SRL983078:SRL983082 TBH983078:TBH983082 TLD983078:TLD983082 TUZ983078:TUZ983082 UEV983078:UEV983082 UOR983078:UOR983082 UYN983078:UYN983082 VIJ983078:VIJ983082 VSF983078:VSF983082 WCB983078:WCB983082 WLX983078:WLX983082 WVT983078:WVT983082 K38 JG38 TC38 ACY38 AMU38 AWQ38 BGM38 BQI38 CAE38 CKA38 CTW38 DDS38 DNO38 DXK38 EHG38 ERC38 FAY38 FKU38 FUQ38 GEM38 GOI38 GYE38 HIA38 HRW38 IBS38 ILO38 IVK38 JFG38 JPC38 JYY38 KIU38 KSQ38 LCM38 LMI38 LWE38 MGA38 MPW38 MZS38 NJO38 NTK38 ODG38 ONC38 OWY38 PGU38 PQQ38 QAM38 QKI38 QUE38 REA38 RNW38 RXS38 SHO38 SRK38 TBG38 TLC38 TUY38 UEU38 UOQ38 UYM38 VII38 VSE38 WCA38 WLW38 WVS38 K65574 JG65574 TC65574 ACY65574 AMU65574 AWQ65574 BGM65574 BQI65574 CAE65574 CKA65574 CTW65574 DDS65574 DNO65574 DXK65574 EHG65574 ERC65574 FAY65574 FKU65574 FUQ65574 GEM65574 GOI65574 GYE65574 HIA65574 HRW65574 IBS65574 ILO65574 IVK65574 JFG65574 JPC65574 JYY65574 KIU65574 KSQ65574 LCM65574 LMI65574 LWE65574 MGA65574 MPW65574 MZS65574 NJO65574 NTK65574 ODG65574 ONC65574 OWY65574 PGU65574 PQQ65574 QAM65574 QKI65574 QUE65574 REA65574 RNW65574 RXS65574 SHO65574 SRK65574 TBG65574 TLC65574 TUY65574 UEU65574 UOQ65574 UYM65574 VII65574 VSE65574 WCA65574 WLW65574 WVS65574 K131110 JG131110 TC131110 ACY131110 AMU131110 AWQ131110 BGM131110 BQI131110 CAE131110 CKA131110 CTW131110 DDS131110 DNO131110 DXK131110 EHG131110 ERC131110 FAY131110 FKU131110 FUQ131110 GEM131110 GOI131110 GYE131110 HIA131110 HRW131110 IBS131110 ILO131110 IVK131110 JFG131110 JPC131110 JYY131110 KIU131110 KSQ131110 LCM131110 LMI131110 LWE131110 MGA131110 MPW131110 MZS131110 NJO131110 NTK131110 ODG131110 ONC131110 OWY131110 PGU131110 PQQ131110 QAM131110 QKI131110 QUE131110 REA131110 RNW131110 RXS131110 SHO131110 SRK131110 TBG131110 TLC131110 TUY131110 UEU131110 UOQ131110 UYM131110 VII131110 VSE131110 WCA131110 WLW131110 WVS131110 K196646 JG196646 TC196646 ACY196646 AMU196646 AWQ196646 BGM196646 BQI196646 CAE196646 CKA196646 CTW196646 DDS196646 DNO196646 DXK196646 EHG196646 ERC196646 FAY196646 FKU196646 FUQ196646 GEM196646 GOI196646 GYE196646 HIA196646 HRW196646 IBS196646 ILO196646 IVK196646 JFG196646 JPC196646 JYY196646 KIU196646 KSQ196646 LCM196646 LMI196646 LWE196646 MGA196646 MPW196646 MZS196646 NJO196646 NTK196646 ODG196646 ONC196646 OWY196646 PGU196646 PQQ196646 QAM196646 QKI196646 QUE196646 REA196646 RNW196646 RXS196646 SHO196646 SRK196646 TBG196646 TLC196646 TUY196646 UEU196646 UOQ196646 UYM196646 VII196646 VSE196646 WCA196646 WLW196646 WVS196646 K262182 JG262182 TC262182 ACY262182 AMU262182 AWQ262182 BGM262182 BQI262182 CAE262182 CKA262182 CTW262182 DDS262182 DNO262182 DXK262182 EHG262182 ERC262182 FAY262182 FKU262182 FUQ262182 GEM262182 GOI262182 GYE262182 HIA262182 HRW262182 IBS262182 ILO262182 IVK262182 JFG262182 JPC262182 JYY262182 KIU262182 KSQ262182 LCM262182 LMI262182 LWE262182 MGA262182 MPW262182 MZS262182 NJO262182 NTK262182 ODG262182 ONC262182 OWY262182 PGU262182 PQQ262182 QAM262182 QKI262182 QUE262182 REA262182 RNW262182 RXS262182 SHO262182 SRK262182 TBG262182 TLC262182 TUY262182 UEU262182 UOQ262182 UYM262182 VII262182 VSE262182 WCA262182 WLW262182 WVS262182 K327718 JG327718 TC327718 ACY327718 AMU327718 AWQ327718 BGM327718 BQI327718 CAE327718 CKA327718 CTW327718 DDS327718 DNO327718 DXK327718 EHG327718 ERC327718 FAY327718 FKU327718 FUQ327718 GEM327718 GOI327718 GYE327718 HIA327718 HRW327718 IBS327718 ILO327718 IVK327718 JFG327718 JPC327718 JYY327718 KIU327718 KSQ327718 LCM327718 LMI327718 LWE327718 MGA327718 MPW327718 MZS327718 NJO327718 NTK327718 ODG327718 ONC327718 OWY327718 PGU327718 PQQ327718 QAM327718 QKI327718 QUE327718 REA327718 RNW327718 RXS327718 SHO327718 SRK327718 TBG327718 TLC327718 TUY327718 UEU327718 UOQ327718 UYM327718 VII327718 VSE327718 WCA327718 WLW327718 WVS327718 K393254 JG393254 TC393254 ACY393254 AMU393254 AWQ393254 BGM393254 BQI393254 CAE393254 CKA393254 CTW393254 DDS393254 DNO393254 DXK393254 EHG393254 ERC393254 FAY393254 FKU393254 FUQ393254 GEM393254 GOI393254 GYE393254 HIA393254 HRW393254 IBS393254 ILO393254 IVK393254 JFG393254 JPC393254 JYY393254 KIU393254 KSQ393254 LCM393254 LMI393254 LWE393254 MGA393254 MPW393254 MZS393254 NJO393254 NTK393254 ODG393254 ONC393254 OWY393254 PGU393254 PQQ393254 QAM393254 QKI393254 QUE393254 REA393254 RNW393254 RXS393254 SHO393254 SRK393254 TBG393254 TLC393254 TUY393254 UEU393254 UOQ393254 UYM393254 VII393254 VSE393254 WCA393254 WLW393254 WVS393254 K458790 JG458790 TC458790 ACY458790 AMU458790 AWQ458790 BGM458790 BQI458790 CAE458790 CKA458790 CTW458790 DDS458790 DNO458790 DXK458790 EHG458790 ERC458790 FAY458790 FKU458790 FUQ458790 GEM458790 GOI458790 GYE458790 HIA458790 HRW458790 IBS458790 ILO458790 IVK458790 JFG458790 JPC458790 JYY458790 KIU458790 KSQ458790 LCM458790 LMI458790 LWE458790 MGA458790 MPW458790 MZS458790 NJO458790 NTK458790 ODG458790 ONC458790 OWY458790 PGU458790 PQQ458790 QAM458790 QKI458790 QUE458790 REA458790 RNW458790 RXS458790 SHO458790 SRK458790 TBG458790 TLC458790 TUY458790 UEU458790 UOQ458790 UYM458790 VII458790 VSE458790 WCA458790 WLW458790 WVS458790 K524326 JG524326 TC524326 ACY524326 AMU524326 AWQ524326 BGM524326 BQI524326 CAE524326 CKA524326 CTW524326 DDS524326 DNO524326 DXK524326 EHG524326 ERC524326 FAY524326 FKU524326 FUQ524326 GEM524326 GOI524326 GYE524326 HIA524326 HRW524326 IBS524326 ILO524326 IVK524326 JFG524326 JPC524326 JYY524326 KIU524326 KSQ524326 LCM524326 LMI524326 LWE524326 MGA524326 MPW524326 MZS524326 NJO524326 NTK524326 ODG524326 ONC524326 OWY524326 PGU524326 PQQ524326 QAM524326 QKI524326 QUE524326 REA524326 RNW524326 RXS524326 SHO524326 SRK524326 TBG524326 TLC524326 TUY524326 UEU524326 UOQ524326 UYM524326 VII524326 VSE524326 WCA524326 WLW524326 WVS524326 K589862 JG589862 TC589862 ACY589862 AMU589862 AWQ589862 BGM589862 BQI589862 CAE589862 CKA589862 CTW589862 DDS589862 DNO589862 DXK589862 EHG589862 ERC589862 FAY589862 FKU589862 FUQ589862 GEM589862 GOI589862 GYE589862 HIA589862 HRW589862 IBS589862 ILO589862 IVK589862 JFG589862 JPC589862 JYY589862 KIU589862 KSQ589862 LCM589862 LMI589862 LWE589862 MGA589862 MPW589862 MZS589862 NJO589862 NTK589862 ODG589862 ONC589862 OWY589862 PGU589862 PQQ589862 QAM589862 QKI589862 QUE589862 REA589862 RNW589862 RXS589862 SHO589862 SRK589862 TBG589862 TLC589862 TUY589862 UEU589862 UOQ589862 UYM589862 VII589862 VSE589862 WCA589862 WLW589862 WVS589862 K655398 JG655398 TC655398 ACY655398 AMU655398 AWQ655398 BGM655398 BQI655398 CAE655398 CKA655398 CTW655398 DDS655398 DNO655398 DXK655398 EHG655398 ERC655398 FAY655398 FKU655398 FUQ655398 GEM655398 GOI655398 GYE655398 HIA655398 HRW655398 IBS655398 ILO655398 IVK655398 JFG655398 JPC655398 JYY655398 KIU655398 KSQ655398 LCM655398 LMI655398 LWE655398 MGA655398 MPW655398 MZS655398 NJO655398 NTK655398 ODG655398 ONC655398 OWY655398 PGU655398 PQQ655398 QAM655398 QKI655398 QUE655398 REA655398 RNW655398 RXS655398 SHO655398 SRK655398 TBG655398 TLC655398 TUY655398 UEU655398 UOQ655398 UYM655398 VII655398 VSE655398 WCA655398 WLW655398 WVS655398 K720934 JG720934 TC720934 ACY720934 AMU720934 AWQ720934 BGM720934 BQI720934 CAE720934 CKA720934 CTW720934 DDS720934 DNO720934 DXK720934 EHG720934 ERC720934 FAY720934 FKU720934 FUQ720934 GEM720934 GOI720934 GYE720934 HIA720934 HRW720934 IBS720934 ILO720934 IVK720934 JFG720934 JPC720934 JYY720934 KIU720934 KSQ720934 LCM720934 LMI720934 LWE720934 MGA720934 MPW720934 MZS720934 NJO720934 NTK720934 ODG720934 ONC720934 OWY720934 PGU720934 PQQ720934 QAM720934 QKI720934 QUE720934 REA720934 RNW720934 RXS720934 SHO720934 SRK720934 TBG720934 TLC720934 TUY720934 UEU720934 UOQ720934 UYM720934 VII720934 VSE720934 WCA720934 WLW720934 WVS720934 K786470 JG786470 TC786470 ACY786470 AMU786470 AWQ786470 BGM786470 BQI786470 CAE786470 CKA786470 CTW786470 DDS786470 DNO786470 DXK786470 EHG786470 ERC786470 FAY786470 FKU786470 FUQ786470 GEM786470 GOI786470 GYE786470 HIA786470 HRW786470 IBS786470 ILO786470 IVK786470 JFG786470 JPC786470 JYY786470 KIU786470 KSQ786470 LCM786470 LMI786470 LWE786470 MGA786470 MPW786470 MZS786470 NJO786470 NTK786470 ODG786470 ONC786470 OWY786470 PGU786470 PQQ786470 QAM786470 QKI786470 QUE786470 REA786470 RNW786470 RXS786470 SHO786470 SRK786470 TBG786470 TLC786470 TUY786470 UEU786470 UOQ786470 UYM786470 VII786470 VSE786470 WCA786470 WLW786470 WVS786470 K852006 JG852006 TC852006 ACY852006 AMU852006 AWQ852006 BGM852006 BQI852006 CAE852006 CKA852006 CTW852006 DDS852006 DNO852006 DXK852006 EHG852006 ERC852006 FAY852006 FKU852006 FUQ852006 GEM852006 GOI852006 GYE852006 HIA852006 HRW852006 IBS852006 ILO852006 IVK852006 JFG852006 JPC852006 JYY852006 KIU852006 KSQ852006 LCM852006 LMI852006 LWE852006 MGA852006 MPW852006 MZS852006 NJO852006 NTK852006 ODG852006 ONC852006 OWY852006 PGU852006 PQQ852006 QAM852006 QKI852006 QUE852006 REA852006 RNW852006 RXS852006 SHO852006 SRK852006 TBG852006 TLC852006 TUY852006 UEU852006 UOQ852006 UYM852006 VII852006 VSE852006 WCA852006 WLW852006 WVS852006 K917542 JG917542 TC917542 ACY917542 AMU917542 AWQ917542 BGM917542 BQI917542 CAE917542 CKA917542 CTW917542 DDS917542 DNO917542 DXK917542 EHG917542 ERC917542 FAY917542 FKU917542 FUQ917542 GEM917542 GOI917542 GYE917542 HIA917542 HRW917542 IBS917542 ILO917542 IVK917542 JFG917542 JPC917542 JYY917542 KIU917542 KSQ917542 LCM917542 LMI917542 LWE917542 MGA917542 MPW917542 MZS917542 NJO917542 NTK917542 ODG917542 ONC917542 OWY917542 PGU917542 PQQ917542 QAM917542 QKI917542 QUE917542 REA917542 RNW917542 RXS917542 SHO917542 SRK917542 TBG917542 TLC917542 TUY917542 UEU917542 UOQ917542 UYM917542 VII917542 VSE917542 WCA917542 WLW917542 WVS917542 K983078 JG983078 TC983078 ACY983078 AMU983078 AWQ983078 BGM983078 BQI983078 CAE983078 CKA983078 CTW983078 DDS983078 DNO983078 DXK983078 EHG983078 ERC983078 FAY983078 FKU983078 FUQ983078 GEM983078 GOI983078 GYE983078 HIA983078 HRW983078 IBS983078 ILO983078 IVK983078 JFG983078 JPC983078 JYY983078 KIU983078 KSQ983078 LCM983078 LMI983078 LWE983078 MGA983078 MPW983078 MZS983078 NJO983078 NTK983078 ODG983078 ONC983078 OWY983078 PGU983078 PQQ983078 QAM983078 QKI983078 QUE983078 REA983078 RNW983078 RXS983078 SHO983078 SRK983078 TBG983078 TLC983078 TUY983078 UEU983078 UOQ983078 UYM983078 VII983078 VSE983078 WCA983078 WLW983078 WVS983078">
      <formula1>"Yes,No,NA"</formula1>
    </dataValidation>
    <dataValidation type="list" allowBlank="1" showInputMessage="1" showErrorMessage="1" sqref="K39:K42 JG39:JG42 TC39:TC42 ACY39:ACY42 AMU39:AMU42 AWQ39:AWQ42 BGM39:BGM42 BQI39:BQI42 CAE39:CAE42 CKA39:CKA42 CTW39:CTW42 DDS39:DDS42 DNO39:DNO42 DXK39:DXK42 EHG39:EHG42 ERC39:ERC42 FAY39:FAY42 FKU39:FKU42 FUQ39:FUQ42 GEM39:GEM42 GOI39:GOI42 GYE39:GYE42 HIA39:HIA42 HRW39:HRW42 IBS39:IBS42 ILO39:ILO42 IVK39:IVK42 JFG39:JFG42 JPC39:JPC42 JYY39:JYY42 KIU39:KIU42 KSQ39:KSQ42 LCM39:LCM42 LMI39:LMI42 LWE39:LWE42 MGA39:MGA42 MPW39:MPW42 MZS39:MZS42 NJO39:NJO42 NTK39:NTK42 ODG39:ODG42 ONC39:ONC42 OWY39:OWY42 PGU39:PGU42 PQQ39:PQQ42 QAM39:QAM42 QKI39:QKI42 QUE39:QUE42 REA39:REA42 RNW39:RNW42 RXS39:RXS42 SHO39:SHO42 SRK39:SRK42 TBG39:TBG42 TLC39:TLC42 TUY39:TUY42 UEU39:UEU42 UOQ39:UOQ42 UYM39:UYM42 VII39:VII42 VSE39:VSE42 WCA39:WCA42 WLW39:WLW42 WVS39:WVS42 K65575:K65578 JG65575:JG65578 TC65575:TC65578 ACY65575:ACY65578 AMU65575:AMU65578 AWQ65575:AWQ65578 BGM65575:BGM65578 BQI65575:BQI65578 CAE65575:CAE65578 CKA65575:CKA65578 CTW65575:CTW65578 DDS65575:DDS65578 DNO65575:DNO65578 DXK65575:DXK65578 EHG65575:EHG65578 ERC65575:ERC65578 FAY65575:FAY65578 FKU65575:FKU65578 FUQ65575:FUQ65578 GEM65575:GEM65578 GOI65575:GOI65578 GYE65575:GYE65578 HIA65575:HIA65578 HRW65575:HRW65578 IBS65575:IBS65578 ILO65575:ILO65578 IVK65575:IVK65578 JFG65575:JFG65578 JPC65575:JPC65578 JYY65575:JYY65578 KIU65575:KIU65578 KSQ65575:KSQ65578 LCM65575:LCM65578 LMI65575:LMI65578 LWE65575:LWE65578 MGA65575:MGA65578 MPW65575:MPW65578 MZS65575:MZS65578 NJO65575:NJO65578 NTK65575:NTK65578 ODG65575:ODG65578 ONC65575:ONC65578 OWY65575:OWY65578 PGU65575:PGU65578 PQQ65575:PQQ65578 QAM65575:QAM65578 QKI65575:QKI65578 QUE65575:QUE65578 REA65575:REA65578 RNW65575:RNW65578 RXS65575:RXS65578 SHO65575:SHO65578 SRK65575:SRK65578 TBG65575:TBG65578 TLC65575:TLC65578 TUY65575:TUY65578 UEU65575:UEU65578 UOQ65575:UOQ65578 UYM65575:UYM65578 VII65575:VII65578 VSE65575:VSE65578 WCA65575:WCA65578 WLW65575:WLW65578 WVS65575:WVS65578 K131111:K131114 JG131111:JG131114 TC131111:TC131114 ACY131111:ACY131114 AMU131111:AMU131114 AWQ131111:AWQ131114 BGM131111:BGM131114 BQI131111:BQI131114 CAE131111:CAE131114 CKA131111:CKA131114 CTW131111:CTW131114 DDS131111:DDS131114 DNO131111:DNO131114 DXK131111:DXK131114 EHG131111:EHG131114 ERC131111:ERC131114 FAY131111:FAY131114 FKU131111:FKU131114 FUQ131111:FUQ131114 GEM131111:GEM131114 GOI131111:GOI131114 GYE131111:GYE131114 HIA131111:HIA131114 HRW131111:HRW131114 IBS131111:IBS131114 ILO131111:ILO131114 IVK131111:IVK131114 JFG131111:JFG131114 JPC131111:JPC131114 JYY131111:JYY131114 KIU131111:KIU131114 KSQ131111:KSQ131114 LCM131111:LCM131114 LMI131111:LMI131114 LWE131111:LWE131114 MGA131111:MGA131114 MPW131111:MPW131114 MZS131111:MZS131114 NJO131111:NJO131114 NTK131111:NTK131114 ODG131111:ODG131114 ONC131111:ONC131114 OWY131111:OWY131114 PGU131111:PGU131114 PQQ131111:PQQ131114 QAM131111:QAM131114 QKI131111:QKI131114 QUE131111:QUE131114 REA131111:REA131114 RNW131111:RNW131114 RXS131111:RXS131114 SHO131111:SHO131114 SRK131111:SRK131114 TBG131111:TBG131114 TLC131111:TLC131114 TUY131111:TUY131114 UEU131111:UEU131114 UOQ131111:UOQ131114 UYM131111:UYM131114 VII131111:VII131114 VSE131111:VSE131114 WCA131111:WCA131114 WLW131111:WLW131114 WVS131111:WVS131114 K196647:K196650 JG196647:JG196650 TC196647:TC196650 ACY196647:ACY196650 AMU196647:AMU196650 AWQ196647:AWQ196650 BGM196647:BGM196650 BQI196647:BQI196650 CAE196647:CAE196650 CKA196647:CKA196650 CTW196647:CTW196650 DDS196647:DDS196650 DNO196647:DNO196650 DXK196647:DXK196650 EHG196647:EHG196650 ERC196647:ERC196650 FAY196647:FAY196650 FKU196647:FKU196650 FUQ196647:FUQ196650 GEM196647:GEM196650 GOI196647:GOI196650 GYE196647:GYE196650 HIA196647:HIA196650 HRW196647:HRW196650 IBS196647:IBS196650 ILO196647:ILO196650 IVK196647:IVK196650 JFG196647:JFG196650 JPC196647:JPC196650 JYY196647:JYY196650 KIU196647:KIU196650 KSQ196647:KSQ196650 LCM196647:LCM196650 LMI196647:LMI196650 LWE196647:LWE196650 MGA196647:MGA196650 MPW196647:MPW196650 MZS196647:MZS196650 NJO196647:NJO196650 NTK196647:NTK196650 ODG196647:ODG196650 ONC196647:ONC196650 OWY196647:OWY196650 PGU196647:PGU196650 PQQ196647:PQQ196650 QAM196647:QAM196650 QKI196647:QKI196650 QUE196647:QUE196650 REA196647:REA196650 RNW196647:RNW196650 RXS196647:RXS196650 SHO196647:SHO196650 SRK196647:SRK196650 TBG196647:TBG196650 TLC196647:TLC196650 TUY196647:TUY196650 UEU196647:UEU196650 UOQ196647:UOQ196650 UYM196647:UYM196650 VII196647:VII196650 VSE196647:VSE196650 WCA196647:WCA196650 WLW196647:WLW196650 WVS196647:WVS196650 K262183:K262186 JG262183:JG262186 TC262183:TC262186 ACY262183:ACY262186 AMU262183:AMU262186 AWQ262183:AWQ262186 BGM262183:BGM262186 BQI262183:BQI262186 CAE262183:CAE262186 CKA262183:CKA262186 CTW262183:CTW262186 DDS262183:DDS262186 DNO262183:DNO262186 DXK262183:DXK262186 EHG262183:EHG262186 ERC262183:ERC262186 FAY262183:FAY262186 FKU262183:FKU262186 FUQ262183:FUQ262186 GEM262183:GEM262186 GOI262183:GOI262186 GYE262183:GYE262186 HIA262183:HIA262186 HRW262183:HRW262186 IBS262183:IBS262186 ILO262183:ILO262186 IVK262183:IVK262186 JFG262183:JFG262186 JPC262183:JPC262186 JYY262183:JYY262186 KIU262183:KIU262186 KSQ262183:KSQ262186 LCM262183:LCM262186 LMI262183:LMI262186 LWE262183:LWE262186 MGA262183:MGA262186 MPW262183:MPW262186 MZS262183:MZS262186 NJO262183:NJO262186 NTK262183:NTK262186 ODG262183:ODG262186 ONC262183:ONC262186 OWY262183:OWY262186 PGU262183:PGU262186 PQQ262183:PQQ262186 QAM262183:QAM262186 QKI262183:QKI262186 QUE262183:QUE262186 REA262183:REA262186 RNW262183:RNW262186 RXS262183:RXS262186 SHO262183:SHO262186 SRK262183:SRK262186 TBG262183:TBG262186 TLC262183:TLC262186 TUY262183:TUY262186 UEU262183:UEU262186 UOQ262183:UOQ262186 UYM262183:UYM262186 VII262183:VII262186 VSE262183:VSE262186 WCA262183:WCA262186 WLW262183:WLW262186 WVS262183:WVS262186 K327719:K327722 JG327719:JG327722 TC327719:TC327722 ACY327719:ACY327722 AMU327719:AMU327722 AWQ327719:AWQ327722 BGM327719:BGM327722 BQI327719:BQI327722 CAE327719:CAE327722 CKA327719:CKA327722 CTW327719:CTW327722 DDS327719:DDS327722 DNO327719:DNO327722 DXK327719:DXK327722 EHG327719:EHG327722 ERC327719:ERC327722 FAY327719:FAY327722 FKU327719:FKU327722 FUQ327719:FUQ327722 GEM327719:GEM327722 GOI327719:GOI327722 GYE327719:GYE327722 HIA327719:HIA327722 HRW327719:HRW327722 IBS327719:IBS327722 ILO327719:ILO327722 IVK327719:IVK327722 JFG327719:JFG327722 JPC327719:JPC327722 JYY327719:JYY327722 KIU327719:KIU327722 KSQ327719:KSQ327722 LCM327719:LCM327722 LMI327719:LMI327722 LWE327719:LWE327722 MGA327719:MGA327722 MPW327719:MPW327722 MZS327719:MZS327722 NJO327719:NJO327722 NTK327719:NTK327722 ODG327719:ODG327722 ONC327719:ONC327722 OWY327719:OWY327722 PGU327719:PGU327722 PQQ327719:PQQ327722 QAM327719:QAM327722 QKI327719:QKI327722 QUE327719:QUE327722 REA327719:REA327722 RNW327719:RNW327722 RXS327719:RXS327722 SHO327719:SHO327722 SRK327719:SRK327722 TBG327719:TBG327722 TLC327719:TLC327722 TUY327719:TUY327722 UEU327719:UEU327722 UOQ327719:UOQ327722 UYM327719:UYM327722 VII327719:VII327722 VSE327719:VSE327722 WCA327719:WCA327722 WLW327719:WLW327722 WVS327719:WVS327722 K393255:K393258 JG393255:JG393258 TC393255:TC393258 ACY393255:ACY393258 AMU393255:AMU393258 AWQ393255:AWQ393258 BGM393255:BGM393258 BQI393255:BQI393258 CAE393255:CAE393258 CKA393255:CKA393258 CTW393255:CTW393258 DDS393255:DDS393258 DNO393255:DNO393258 DXK393255:DXK393258 EHG393255:EHG393258 ERC393255:ERC393258 FAY393255:FAY393258 FKU393255:FKU393258 FUQ393255:FUQ393258 GEM393255:GEM393258 GOI393255:GOI393258 GYE393255:GYE393258 HIA393255:HIA393258 HRW393255:HRW393258 IBS393255:IBS393258 ILO393255:ILO393258 IVK393255:IVK393258 JFG393255:JFG393258 JPC393255:JPC393258 JYY393255:JYY393258 KIU393255:KIU393258 KSQ393255:KSQ393258 LCM393255:LCM393258 LMI393255:LMI393258 LWE393255:LWE393258 MGA393255:MGA393258 MPW393255:MPW393258 MZS393255:MZS393258 NJO393255:NJO393258 NTK393255:NTK393258 ODG393255:ODG393258 ONC393255:ONC393258 OWY393255:OWY393258 PGU393255:PGU393258 PQQ393255:PQQ393258 QAM393255:QAM393258 QKI393255:QKI393258 QUE393255:QUE393258 REA393255:REA393258 RNW393255:RNW393258 RXS393255:RXS393258 SHO393255:SHO393258 SRK393255:SRK393258 TBG393255:TBG393258 TLC393255:TLC393258 TUY393255:TUY393258 UEU393255:UEU393258 UOQ393255:UOQ393258 UYM393255:UYM393258 VII393255:VII393258 VSE393255:VSE393258 WCA393255:WCA393258 WLW393255:WLW393258 WVS393255:WVS393258 K458791:K458794 JG458791:JG458794 TC458791:TC458794 ACY458791:ACY458794 AMU458791:AMU458794 AWQ458791:AWQ458794 BGM458791:BGM458794 BQI458791:BQI458794 CAE458791:CAE458794 CKA458791:CKA458794 CTW458791:CTW458794 DDS458791:DDS458794 DNO458791:DNO458794 DXK458791:DXK458794 EHG458791:EHG458794 ERC458791:ERC458794 FAY458791:FAY458794 FKU458791:FKU458794 FUQ458791:FUQ458794 GEM458791:GEM458794 GOI458791:GOI458794 GYE458791:GYE458794 HIA458791:HIA458794 HRW458791:HRW458794 IBS458791:IBS458794 ILO458791:ILO458794 IVK458791:IVK458794 JFG458791:JFG458794 JPC458791:JPC458794 JYY458791:JYY458794 KIU458791:KIU458794 KSQ458791:KSQ458794 LCM458791:LCM458794 LMI458791:LMI458794 LWE458791:LWE458794 MGA458791:MGA458794 MPW458791:MPW458794 MZS458791:MZS458794 NJO458791:NJO458794 NTK458791:NTK458794 ODG458791:ODG458794 ONC458791:ONC458794 OWY458791:OWY458794 PGU458791:PGU458794 PQQ458791:PQQ458794 QAM458791:QAM458794 QKI458791:QKI458794 QUE458791:QUE458794 REA458791:REA458794 RNW458791:RNW458794 RXS458791:RXS458794 SHO458791:SHO458794 SRK458791:SRK458794 TBG458791:TBG458794 TLC458791:TLC458794 TUY458791:TUY458794 UEU458791:UEU458794 UOQ458791:UOQ458794 UYM458791:UYM458794 VII458791:VII458794 VSE458791:VSE458794 WCA458791:WCA458794 WLW458791:WLW458794 WVS458791:WVS458794 K524327:K524330 JG524327:JG524330 TC524327:TC524330 ACY524327:ACY524330 AMU524327:AMU524330 AWQ524327:AWQ524330 BGM524327:BGM524330 BQI524327:BQI524330 CAE524327:CAE524330 CKA524327:CKA524330 CTW524327:CTW524330 DDS524327:DDS524330 DNO524327:DNO524330 DXK524327:DXK524330 EHG524327:EHG524330 ERC524327:ERC524330 FAY524327:FAY524330 FKU524327:FKU524330 FUQ524327:FUQ524330 GEM524327:GEM524330 GOI524327:GOI524330 GYE524327:GYE524330 HIA524327:HIA524330 HRW524327:HRW524330 IBS524327:IBS524330 ILO524327:ILO524330 IVK524327:IVK524330 JFG524327:JFG524330 JPC524327:JPC524330 JYY524327:JYY524330 KIU524327:KIU524330 KSQ524327:KSQ524330 LCM524327:LCM524330 LMI524327:LMI524330 LWE524327:LWE524330 MGA524327:MGA524330 MPW524327:MPW524330 MZS524327:MZS524330 NJO524327:NJO524330 NTK524327:NTK524330 ODG524327:ODG524330 ONC524327:ONC524330 OWY524327:OWY524330 PGU524327:PGU524330 PQQ524327:PQQ524330 QAM524327:QAM524330 QKI524327:QKI524330 QUE524327:QUE524330 REA524327:REA524330 RNW524327:RNW524330 RXS524327:RXS524330 SHO524327:SHO524330 SRK524327:SRK524330 TBG524327:TBG524330 TLC524327:TLC524330 TUY524327:TUY524330 UEU524327:UEU524330 UOQ524327:UOQ524330 UYM524327:UYM524330 VII524327:VII524330 VSE524327:VSE524330 WCA524327:WCA524330 WLW524327:WLW524330 WVS524327:WVS524330 K589863:K589866 JG589863:JG589866 TC589863:TC589866 ACY589863:ACY589866 AMU589863:AMU589866 AWQ589863:AWQ589866 BGM589863:BGM589866 BQI589863:BQI589866 CAE589863:CAE589866 CKA589863:CKA589866 CTW589863:CTW589866 DDS589863:DDS589866 DNO589863:DNO589866 DXK589863:DXK589866 EHG589863:EHG589866 ERC589863:ERC589866 FAY589863:FAY589866 FKU589863:FKU589866 FUQ589863:FUQ589866 GEM589863:GEM589866 GOI589863:GOI589866 GYE589863:GYE589866 HIA589863:HIA589866 HRW589863:HRW589866 IBS589863:IBS589866 ILO589863:ILO589866 IVK589863:IVK589866 JFG589863:JFG589866 JPC589863:JPC589866 JYY589863:JYY589866 KIU589863:KIU589866 KSQ589863:KSQ589866 LCM589863:LCM589866 LMI589863:LMI589866 LWE589863:LWE589866 MGA589863:MGA589866 MPW589863:MPW589866 MZS589863:MZS589866 NJO589863:NJO589866 NTK589863:NTK589866 ODG589863:ODG589866 ONC589863:ONC589866 OWY589863:OWY589866 PGU589863:PGU589866 PQQ589863:PQQ589866 QAM589863:QAM589866 QKI589863:QKI589866 QUE589863:QUE589866 REA589863:REA589866 RNW589863:RNW589866 RXS589863:RXS589866 SHO589863:SHO589866 SRK589863:SRK589866 TBG589863:TBG589866 TLC589863:TLC589866 TUY589863:TUY589866 UEU589863:UEU589866 UOQ589863:UOQ589866 UYM589863:UYM589866 VII589863:VII589866 VSE589863:VSE589866 WCA589863:WCA589866 WLW589863:WLW589866 WVS589863:WVS589866 K655399:K655402 JG655399:JG655402 TC655399:TC655402 ACY655399:ACY655402 AMU655399:AMU655402 AWQ655399:AWQ655402 BGM655399:BGM655402 BQI655399:BQI655402 CAE655399:CAE655402 CKA655399:CKA655402 CTW655399:CTW655402 DDS655399:DDS655402 DNO655399:DNO655402 DXK655399:DXK655402 EHG655399:EHG655402 ERC655399:ERC655402 FAY655399:FAY655402 FKU655399:FKU655402 FUQ655399:FUQ655402 GEM655399:GEM655402 GOI655399:GOI655402 GYE655399:GYE655402 HIA655399:HIA655402 HRW655399:HRW655402 IBS655399:IBS655402 ILO655399:ILO655402 IVK655399:IVK655402 JFG655399:JFG655402 JPC655399:JPC655402 JYY655399:JYY655402 KIU655399:KIU655402 KSQ655399:KSQ655402 LCM655399:LCM655402 LMI655399:LMI655402 LWE655399:LWE655402 MGA655399:MGA655402 MPW655399:MPW655402 MZS655399:MZS655402 NJO655399:NJO655402 NTK655399:NTK655402 ODG655399:ODG655402 ONC655399:ONC655402 OWY655399:OWY655402 PGU655399:PGU655402 PQQ655399:PQQ655402 QAM655399:QAM655402 QKI655399:QKI655402 QUE655399:QUE655402 REA655399:REA655402 RNW655399:RNW655402 RXS655399:RXS655402 SHO655399:SHO655402 SRK655399:SRK655402 TBG655399:TBG655402 TLC655399:TLC655402 TUY655399:TUY655402 UEU655399:UEU655402 UOQ655399:UOQ655402 UYM655399:UYM655402 VII655399:VII655402 VSE655399:VSE655402 WCA655399:WCA655402 WLW655399:WLW655402 WVS655399:WVS655402 K720935:K720938 JG720935:JG720938 TC720935:TC720938 ACY720935:ACY720938 AMU720935:AMU720938 AWQ720935:AWQ720938 BGM720935:BGM720938 BQI720935:BQI720938 CAE720935:CAE720938 CKA720935:CKA720938 CTW720935:CTW720938 DDS720935:DDS720938 DNO720935:DNO720938 DXK720935:DXK720938 EHG720935:EHG720938 ERC720935:ERC720938 FAY720935:FAY720938 FKU720935:FKU720938 FUQ720935:FUQ720938 GEM720935:GEM720938 GOI720935:GOI720938 GYE720935:GYE720938 HIA720935:HIA720938 HRW720935:HRW720938 IBS720935:IBS720938 ILO720935:ILO720938 IVK720935:IVK720938 JFG720935:JFG720938 JPC720935:JPC720938 JYY720935:JYY720938 KIU720935:KIU720938 KSQ720935:KSQ720938 LCM720935:LCM720938 LMI720935:LMI720938 LWE720935:LWE720938 MGA720935:MGA720938 MPW720935:MPW720938 MZS720935:MZS720938 NJO720935:NJO720938 NTK720935:NTK720938 ODG720935:ODG720938 ONC720935:ONC720938 OWY720935:OWY720938 PGU720935:PGU720938 PQQ720935:PQQ720938 QAM720935:QAM720938 QKI720935:QKI720938 QUE720935:QUE720938 REA720935:REA720938 RNW720935:RNW720938 RXS720935:RXS720938 SHO720935:SHO720938 SRK720935:SRK720938 TBG720935:TBG720938 TLC720935:TLC720938 TUY720935:TUY720938 UEU720935:UEU720938 UOQ720935:UOQ720938 UYM720935:UYM720938 VII720935:VII720938 VSE720935:VSE720938 WCA720935:WCA720938 WLW720935:WLW720938 WVS720935:WVS720938 K786471:K786474 JG786471:JG786474 TC786471:TC786474 ACY786471:ACY786474 AMU786471:AMU786474 AWQ786471:AWQ786474 BGM786471:BGM786474 BQI786471:BQI786474 CAE786471:CAE786474 CKA786471:CKA786474 CTW786471:CTW786474 DDS786471:DDS786474 DNO786471:DNO786474 DXK786471:DXK786474 EHG786471:EHG786474 ERC786471:ERC786474 FAY786471:FAY786474 FKU786471:FKU786474 FUQ786471:FUQ786474 GEM786471:GEM786474 GOI786471:GOI786474 GYE786471:GYE786474 HIA786471:HIA786474 HRW786471:HRW786474 IBS786471:IBS786474 ILO786471:ILO786474 IVK786471:IVK786474 JFG786471:JFG786474 JPC786471:JPC786474 JYY786471:JYY786474 KIU786471:KIU786474 KSQ786471:KSQ786474 LCM786471:LCM786474 LMI786471:LMI786474 LWE786471:LWE786474 MGA786471:MGA786474 MPW786471:MPW786474 MZS786471:MZS786474 NJO786471:NJO786474 NTK786471:NTK786474 ODG786471:ODG786474 ONC786471:ONC786474 OWY786471:OWY786474 PGU786471:PGU786474 PQQ786471:PQQ786474 QAM786471:QAM786474 QKI786471:QKI786474 QUE786471:QUE786474 REA786471:REA786474 RNW786471:RNW786474 RXS786471:RXS786474 SHO786471:SHO786474 SRK786471:SRK786474 TBG786471:TBG786474 TLC786471:TLC786474 TUY786471:TUY786474 UEU786471:UEU786474 UOQ786471:UOQ786474 UYM786471:UYM786474 VII786471:VII786474 VSE786471:VSE786474 WCA786471:WCA786474 WLW786471:WLW786474 WVS786471:WVS786474 K852007:K852010 JG852007:JG852010 TC852007:TC852010 ACY852007:ACY852010 AMU852007:AMU852010 AWQ852007:AWQ852010 BGM852007:BGM852010 BQI852007:BQI852010 CAE852007:CAE852010 CKA852007:CKA852010 CTW852007:CTW852010 DDS852007:DDS852010 DNO852007:DNO852010 DXK852007:DXK852010 EHG852007:EHG852010 ERC852007:ERC852010 FAY852007:FAY852010 FKU852007:FKU852010 FUQ852007:FUQ852010 GEM852007:GEM852010 GOI852007:GOI852010 GYE852007:GYE852010 HIA852007:HIA852010 HRW852007:HRW852010 IBS852007:IBS852010 ILO852007:ILO852010 IVK852007:IVK852010 JFG852007:JFG852010 JPC852007:JPC852010 JYY852007:JYY852010 KIU852007:KIU852010 KSQ852007:KSQ852010 LCM852007:LCM852010 LMI852007:LMI852010 LWE852007:LWE852010 MGA852007:MGA852010 MPW852007:MPW852010 MZS852007:MZS852010 NJO852007:NJO852010 NTK852007:NTK852010 ODG852007:ODG852010 ONC852007:ONC852010 OWY852007:OWY852010 PGU852007:PGU852010 PQQ852007:PQQ852010 QAM852007:QAM852010 QKI852007:QKI852010 QUE852007:QUE852010 REA852007:REA852010 RNW852007:RNW852010 RXS852007:RXS852010 SHO852007:SHO852010 SRK852007:SRK852010 TBG852007:TBG852010 TLC852007:TLC852010 TUY852007:TUY852010 UEU852007:UEU852010 UOQ852007:UOQ852010 UYM852007:UYM852010 VII852007:VII852010 VSE852007:VSE852010 WCA852007:WCA852010 WLW852007:WLW852010 WVS852007:WVS852010 K917543:K917546 JG917543:JG917546 TC917543:TC917546 ACY917543:ACY917546 AMU917543:AMU917546 AWQ917543:AWQ917546 BGM917543:BGM917546 BQI917543:BQI917546 CAE917543:CAE917546 CKA917543:CKA917546 CTW917543:CTW917546 DDS917543:DDS917546 DNO917543:DNO917546 DXK917543:DXK917546 EHG917543:EHG917546 ERC917543:ERC917546 FAY917543:FAY917546 FKU917543:FKU917546 FUQ917543:FUQ917546 GEM917543:GEM917546 GOI917543:GOI917546 GYE917543:GYE917546 HIA917543:HIA917546 HRW917543:HRW917546 IBS917543:IBS917546 ILO917543:ILO917546 IVK917543:IVK917546 JFG917543:JFG917546 JPC917543:JPC917546 JYY917543:JYY917546 KIU917543:KIU917546 KSQ917543:KSQ917546 LCM917543:LCM917546 LMI917543:LMI917546 LWE917543:LWE917546 MGA917543:MGA917546 MPW917543:MPW917546 MZS917543:MZS917546 NJO917543:NJO917546 NTK917543:NTK917546 ODG917543:ODG917546 ONC917543:ONC917546 OWY917543:OWY917546 PGU917543:PGU917546 PQQ917543:PQQ917546 QAM917543:QAM917546 QKI917543:QKI917546 QUE917543:QUE917546 REA917543:REA917546 RNW917543:RNW917546 RXS917543:RXS917546 SHO917543:SHO917546 SRK917543:SRK917546 TBG917543:TBG917546 TLC917543:TLC917546 TUY917543:TUY917546 UEU917543:UEU917546 UOQ917543:UOQ917546 UYM917543:UYM917546 VII917543:VII917546 VSE917543:VSE917546 WCA917543:WCA917546 WLW917543:WLW917546 WVS917543:WVS917546 K983079:K983082 JG983079:JG983082 TC983079:TC983082 ACY983079:ACY983082 AMU983079:AMU983082 AWQ983079:AWQ983082 BGM983079:BGM983082 BQI983079:BQI983082 CAE983079:CAE983082 CKA983079:CKA983082 CTW983079:CTW983082 DDS983079:DDS983082 DNO983079:DNO983082 DXK983079:DXK983082 EHG983079:EHG983082 ERC983079:ERC983082 FAY983079:FAY983082 FKU983079:FKU983082 FUQ983079:FUQ983082 GEM983079:GEM983082 GOI983079:GOI983082 GYE983079:GYE983082 HIA983079:HIA983082 HRW983079:HRW983082 IBS983079:IBS983082 ILO983079:ILO983082 IVK983079:IVK983082 JFG983079:JFG983082 JPC983079:JPC983082 JYY983079:JYY983082 KIU983079:KIU983082 KSQ983079:KSQ983082 LCM983079:LCM983082 LMI983079:LMI983082 LWE983079:LWE983082 MGA983079:MGA983082 MPW983079:MPW983082 MZS983079:MZS983082 NJO983079:NJO983082 NTK983079:NTK983082 ODG983079:ODG983082 ONC983079:ONC983082 OWY983079:OWY983082 PGU983079:PGU983082 PQQ983079:PQQ983082 QAM983079:QAM983082 QKI983079:QKI983082 QUE983079:QUE983082 REA983079:REA983082 RNW983079:RNW983082 RXS983079:RXS983082 SHO983079:SHO983082 SRK983079:SRK983082 TBG983079:TBG983082 TLC983079:TLC983082 TUY983079:TUY983082 UEU983079:UEU983082 UOQ983079:UOQ983082 UYM983079:UYM983082 VII983079:VII983082 VSE983079:VSE983082 WCA983079:WCA983082 WLW983079:WLW983082 WVS983079:WVS983082">
      <formula1>$Q$46:$Q$49</formula1>
    </dataValidation>
  </dataValidations>
  <hyperlinks>
    <hyperlink ref="A1" location="'Table Of Contents'!A1" display="TOC"/>
  </hyperlinks>
  <pageMargins left="0.75" right="0.75" top="1" bottom="1" header="0.5" footer="0.5"/>
  <pageSetup scale="49" fitToHeight="0" orientation="portrait" r:id="rId1"/>
  <headerFooter alignWithMargins="0">
    <oddFooter>Page &amp;P of &amp;N</oddFoot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99FF99"/>
    <pageSetUpPr fitToPage="1"/>
  </sheetPr>
  <dimension ref="A1:BW179"/>
  <sheetViews>
    <sheetView showGridLines="0" view="pageBreakPreview" zoomScale="90" zoomScaleNormal="75" zoomScaleSheetLayoutView="90" workbookViewId="0">
      <selection activeCell="B1" sqref="B1"/>
    </sheetView>
  </sheetViews>
  <sheetFormatPr defaultRowHeight="12.75"/>
  <cols>
    <col min="1" max="1" width="9.140625" style="1430"/>
    <col min="2" max="2" width="20" style="1324" customWidth="1"/>
    <col min="3" max="3" width="17.28515625" style="1324" customWidth="1"/>
    <col min="4" max="5" width="22.7109375" style="1324" customWidth="1"/>
    <col min="6" max="6" width="30.7109375" style="1324" customWidth="1"/>
    <col min="7" max="7" width="10.7109375" style="1324" customWidth="1"/>
    <col min="8" max="8" width="5.7109375" style="1324" customWidth="1"/>
    <col min="9" max="9" width="11" style="1324" customWidth="1"/>
    <col min="10" max="10" width="33.85546875" style="1324" customWidth="1"/>
    <col min="11" max="13" width="9" style="795" customWidth="1"/>
    <col min="14" max="14" width="9" style="795" hidden="1" customWidth="1"/>
    <col min="15" max="15" width="9" style="795" customWidth="1"/>
    <col min="16" max="27" width="9.140625" style="795"/>
    <col min="28" max="16384" width="9.140625" style="1324"/>
  </cols>
  <sheetData>
    <row r="1" spans="1:75" ht="26.25" customHeight="1">
      <c r="A1" s="1534" t="s">
        <v>1408</v>
      </c>
      <c r="B1" s="1138"/>
      <c r="C1" s="1137"/>
      <c r="D1" s="1138"/>
      <c r="E1" s="1138"/>
      <c r="F1" s="1140"/>
      <c r="G1" s="795"/>
      <c r="H1" s="795"/>
      <c r="I1" s="795"/>
      <c r="J1" s="795"/>
      <c r="K1" s="1324"/>
      <c r="L1" s="1324"/>
      <c r="M1" s="1324"/>
      <c r="N1" s="1324"/>
      <c r="O1" s="1324"/>
      <c r="P1" s="1324"/>
      <c r="Q1" s="1324"/>
      <c r="R1" s="1324"/>
      <c r="S1" s="1324"/>
      <c r="T1" s="1324"/>
      <c r="U1" s="1324"/>
      <c r="V1" s="1324"/>
      <c r="W1" s="1324"/>
      <c r="X1" s="1324"/>
      <c r="Y1" s="1324"/>
      <c r="Z1" s="1324"/>
      <c r="AA1" s="1324"/>
    </row>
    <row r="2" spans="1:75" ht="26.25" customHeight="1">
      <c r="A2" s="1324"/>
      <c r="B2" s="1138"/>
      <c r="C2" s="1137" t="str">
        <f>'1.1 - APPLIANCES'!C2</f>
        <v>MULTIFAMILY PERFORMANCE PROGRAM</v>
      </c>
      <c r="D2" s="1138"/>
      <c r="E2" s="1138"/>
      <c r="F2" s="1140"/>
      <c r="G2" s="795"/>
      <c r="H2" s="795"/>
      <c r="I2" s="795"/>
      <c r="J2" s="795"/>
      <c r="K2" s="1324"/>
      <c r="L2" s="1324"/>
      <c r="M2" s="1324"/>
      <c r="N2" s="1324"/>
      <c r="O2" s="1324"/>
      <c r="P2" s="1324"/>
      <c r="Q2" s="1324"/>
      <c r="R2" s="1324"/>
      <c r="S2" s="1324"/>
      <c r="T2" s="1324"/>
      <c r="U2" s="1324"/>
      <c r="V2" s="1324"/>
      <c r="W2" s="1324"/>
      <c r="X2" s="1324"/>
      <c r="Y2" s="1324"/>
      <c r="Z2" s="1324"/>
      <c r="AA2" s="1324"/>
    </row>
    <row r="3" spans="1:75" ht="26.25" customHeight="1">
      <c r="A3" s="1324"/>
      <c r="B3" s="1138"/>
      <c r="C3" s="1139" t="s">
        <v>368</v>
      </c>
      <c r="D3" s="1139">
        <f>'Project Info'!C3</f>
        <v>0</v>
      </c>
      <c r="E3" s="1138"/>
      <c r="F3" s="1140"/>
      <c r="G3" s="795"/>
      <c r="H3" s="795"/>
      <c r="I3" s="795"/>
      <c r="J3" s="795"/>
      <c r="K3" s="1324"/>
      <c r="L3" s="1324"/>
      <c r="M3" s="1324"/>
      <c r="N3" s="1324"/>
      <c r="O3" s="1324"/>
      <c r="P3" s="1324"/>
      <c r="Q3" s="1324"/>
      <c r="R3" s="1324"/>
      <c r="S3" s="1324"/>
      <c r="T3" s="1324"/>
      <c r="U3" s="1324"/>
      <c r="V3" s="1324"/>
      <c r="W3" s="1324"/>
      <c r="X3" s="1324"/>
      <c r="Y3" s="1324"/>
      <c r="Z3" s="1324"/>
      <c r="AA3" s="1324"/>
    </row>
    <row r="4" spans="1:75" ht="26.25" customHeight="1">
      <c r="B4" s="1138"/>
      <c r="C4" s="1139"/>
      <c r="D4" s="1139"/>
      <c r="E4" s="1138"/>
      <c r="F4" s="1140"/>
      <c r="G4" s="795"/>
      <c r="H4" s="795"/>
      <c r="I4" s="795"/>
      <c r="J4" s="795"/>
    </row>
    <row r="5" spans="1:75" s="1532" customFormat="1" ht="15.75">
      <c r="A5" s="1533"/>
      <c r="B5" s="1158" t="s">
        <v>1598</v>
      </c>
      <c r="C5" s="1208"/>
      <c r="D5" s="1208"/>
      <c r="E5" s="1358"/>
      <c r="F5" s="1209"/>
      <c r="G5" s="1209"/>
      <c r="H5" s="2723" t="s">
        <v>1411</v>
      </c>
      <c r="I5" s="2723"/>
      <c r="J5" s="1352" t="s">
        <v>1412</v>
      </c>
      <c r="K5" s="1540"/>
      <c r="L5" s="1540"/>
      <c r="M5" s="1540"/>
      <c r="N5" s="1540"/>
      <c r="O5" s="1540"/>
      <c r="P5" s="1540"/>
      <c r="Q5" s="1540"/>
      <c r="R5" s="1540"/>
      <c r="S5" s="1540"/>
      <c r="T5" s="1540"/>
      <c r="U5" s="1540"/>
      <c r="V5" s="1540"/>
      <c r="W5" s="1540"/>
      <c r="X5" s="1540"/>
      <c r="Y5" s="1540"/>
      <c r="Z5" s="1540"/>
      <c r="AA5" s="1540"/>
      <c r="AB5" s="1540"/>
      <c r="AC5" s="1540"/>
      <c r="AD5" s="1540"/>
      <c r="AE5" s="1540"/>
      <c r="AF5" s="1540"/>
      <c r="AG5" s="1540"/>
      <c r="AH5" s="1540"/>
      <c r="AI5" s="1540"/>
      <c r="AJ5" s="1540"/>
      <c r="AK5" s="1540"/>
      <c r="AL5" s="1540"/>
      <c r="AM5" s="1540"/>
      <c r="AN5" s="1540"/>
      <c r="AO5" s="1540"/>
      <c r="AP5" s="1540"/>
      <c r="AQ5" s="1540"/>
      <c r="AR5" s="1540"/>
      <c r="AS5" s="1540"/>
      <c r="AT5" s="1540"/>
      <c r="AU5" s="1540"/>
      <c r="AV5" s="1540"/>
      <c r="AW5" s="1540"/>
      <c r="AX5" s="1540"/>
      <c r="AY5" s="1540"/>
      <c r="AZ5" s="1540"/>
      <c r="BA5" s="1540"/>
      <c r="BB5" s="1540"/>
      <c r="BC5" s="1540"/>
      <c r="BD5" s="1540"/>
      <c r="BE5" s="1540"/>
      <c r="BF5" s="1540"/>
      <c r="BG5" s="1540"/>
      <c r="BH5" s="1540"/>
      <c r="BI5" s="1540"/>
      <c r="BJ5" s="1540"/>
      <c r="BK5" s="1540"/>
      <c r="BL5" s="1540"/>
      <c r="BM5" s="1540"/>
      <c r="BN5" s="1540"/>
      <c r="BO5" s="1540"/>
      <c r="BP5" s="1540"/>
      <c r="BQ5" s="1540"/>
      <c r="BR5" s="1540"/>
      <c r="BS5" s="1540"/>
      <c r="BT5" s="1540"/>
      <c r="BU5" s="1540"/>
      <c r="BV5" s="1540"/>
      <c r="BW5" s="1540"/>
    </row>
    <row r="6" spans="1:75">
      <c r="B6" s="1144"/>
      <c r="C6" s="1144"/>
      <c r="D6" s="1144"/>
      <c r="E6" s="1144"/>
      <c r="F6" s="1144"/>
      <c r="G6" s="1529"/>
      <c r="H6" s="2731" t="s">
        <v>1413</v>
      </c>
      <c r="I6" s="2732"/>
      <c r="J6" s="890"/>
    </row>
    <row r="7" spans="1:75">
      <c r="B7" s="1146" t="s">
        <v>1414</v>
      </c>
      <c r="C7" s="1144"/>
      <c r="D7" s="1144"/>
      <c r="E7" s="1144"/>
      <c r="F7" s="1144"/>
      <c r="G7" s="1529"/>
      <c r="H7" s="2719"/>
      <c r="I7" s="2719"/>
      <c r="J7" s="890"/>
    </row>
    <row r="8" spans="1:75" ht="14.25" customHeight="1">
      <c r="B8" s="2673" t="s">
        <v>1599</v>
      </c>
      <c r="C8" s="2673"/>
      <c r="D8" s="2673"/>
      <c r="E8" s="2673"/>
      <c r="F8" s="2673"/>
      <c r="G8" s="1529"/>
      <c r="H8" s="2719"/>
      <c r="I8" s="2719"/>
      <c r="J8" s="890"/>
    </row>
    <row r="9" spans="1:75" ht="14.25" customHeight="1">
      <c r="B9" s="2673" t="s">
        <v>1600</v>
      </c>
      <c r="C9" s="2673"/>
      <c r="D9" s="2673"/>
      <c r="E9" s="2673"/>
      <c r="F9" s="2673"/>
      <c r="G9" s="1529"/>
      <c r="H9" s="2715"/>
      <c r="I9" s="2715"/>
      <c r="J9" s="1529"/>
    </row>
    <row r="10" spans="1:75" ht="14.25" customHeight="1">
      <c r="B10" s="2673" t="s">
        <v>1601</v>
      </c>
      <c r="C10" s="2673"/>
      <c r="D10" s="2673"/>
      <c r="E10" s="2673"/>
      <c r="F10" s="2673"/>
      <c r="G10" s="1529"/>
      <c r="H10" s="2715"/>
      <c r="I10" s="2715"/>
      <c r="J10" s="1529"/>
    </row>
    <row r="11" spans="1:75">
      <c r="B11" s="1144"/>
      <c r="C11" s="1144"/>
      <c r="D11" s="1144"/>
      <c r="E11" s="1144"/>
      <c r="F11" s="1144"/>
      <c r="G11" s="1529"/>
      <c r="H11" s="1529"/>
      <c r="I11" s="1529"/>
      <c r="J11" s="1530"/>
    </row>
    <row r="12" spans="1:75">
      <c r="A12" s="1552"/>
      <c r="B12" s="1146" t="s">
        <v>1416</v>
      </c>
      <c r="C12" s="1144"/>
      <c r="D12" s="1144"/>
      <c r="E12" s="1144"/>
      <c r="F12" s="1144"/>
      <c r="G12" s="1529"/>
      <c r="H12" s="1529"/>
      <c r="I12" s="1529"/>
      <c r="J12" s="1530"/>
    </row>
    <row r="13" spans="1:75">
      <c r="A13" s="1658"/>
      <c r="B13" s="1210" t="s">
        <v>1602</v>
      </c>
      <c r="C13" s="1152"/>
      <c r="D13" s="1152"/>
      <c r="E13" s="1152"/>
      <c r="F13" s="1152"/>
      <c r="G13" s="1529"/>
      <c r="H13" s="1529"/>
      <c r="I13" s="1529"/>
      <c r="J13" s="1529"/>
    </row>
    <row r="14" spans="1:75">
      <c r="A14" s="1552"/>
      <c r="B14" s="1149" t="s">
        <v>1448</v>
      </c>
      <c r="C14" s="1144"/>
      <c r="D14" s="1144"/>
      <c r="E14" s="1144"/>
      <c r="F14" s="1144"/>
      <c r="G14" s="1529"/>
      <c r="H14" s="1529"/>
      <c r="I14" s="1529"/>
      <c r="J14" s="1529"/>
    </row>
    <row r="15" spans="1:75">
      <c r="A15" s="1552"/>
      <c r="B15" s="1144"/>
      <c r="C15" s="1144"/>
      <c r="D15" s="1144"/>
      <c r="E15" s="1144"/>
      <c r="F15" s="1144"/>
      <c r="G15" s="1529"/>
      <c r="H15" s="1529"/>
      <c r="I15" s="1529"/>
      <c r="J15" s="1529"/>
    </row>
    <row r="16" spans="1:75">
      <c r="A16" s="1552"/>
      <c r="B16" s="1148" t="s">
        <v>1420</v>
      </c>
      <c r="C16" s="1144"/>
      <c r="D16" s="1144"/>
      <c r="E16" s="1144"/>
      <c r="F16" s="1144"/>
      <c r="G16" s="1529"/>
      <c r="H16" s="1529"/>
      <c r="I16" s="1529"/>
      <c r="J16" s="1529"/>
    </row>
    <row r="17" spans="1:27">
      <c r="A17" s="1552"/>
      <c r="B17" s="1364" t="s">
        <v>1603</v>
      </c>
      <c r="C17" s="1144"/>
      <c r="D17" s="1144"/>
      <c r="E17" s="1144"/>
      <c r="F17" s="1144"/>
      <c r="G17" s="1529"/>
      <c r="H17" s="1529"/>
      <c r="I17" s="1529"/>
      <c r="J17" s="1529"/>
    </row>
    <row r="18" spans="1:27">
      <c r="A18" s="1552"/>
      <c r="B18" s="1364" t="s">
        <v>1604</v>
      </c>
      <c r="C18" s="1144"/>
      <c r="D18" s="1144"/>
      <c r="E18" s="1144"/>
      <c r="F18" s="1144"/>
      <c r="G18" s="1529"/>
      <c r="H18" s="1529"/>
      <c r="I18" s="1529"/>
      <c r="J18" s="1529"/>
    </row>
    <row r="19" spans="1:27">
      <c r="B19" s="1648"/>
      <c r="C19" s="1529"/>
      <c r="D19" s="1529"/>
      <c r="E19" s="1529"/>
      <c r="F19" s="1529"/>
      <c r="G19" s="1529"/>
      <c r="H19" s="1529"/>
      <c r="I19" s="1529"/>
      <c r="J19" s="1529"/>
    </row>
    <row r="20" spans="1:27" ht="80.099999999999994" customHeight="1">
      <c r="B20" s="1207" t="s">
        <v>1425</v>
      </c>
      <c r="C20" s="1342"/>
      <c r="D20" s="1342"/>
      <c r="E20" s="1342"/>
      <c r="F20" s="1356" t="s">
        <v>1433</v>
      </c>
      <c r="G20" s="1342" t="s">
        <v>1493</v>
      </c>
      <c r="H20" s="1155" t="s">
        <v>1435</v>
      </c>
      <c r="I20" s="795"/>
      <c r="J20" s="795"/>
      <c r="Z20" s="1324"/>
      <c r="AA20" s="1324"/>
    </row>
    <row r="21" spans="1:27" ht="84" customHeight="1">
      <c r="A21" s="1324"/>
      <c r="B21" s="2680" t="s">
        <v>2178</v>
      </c>
      <c r="C21" s="2694"/>
      <c r="D21" s="2694"/>
      <c r="E21" s="2694"/>
      <c r="F21" s="1366"/>
      <c r="G21" s="1366"/>
      <c r="H21" s="1388"/>
      <c r="I21" s="1657"/>
      <c r="J21" s="1657"/>
      <c r="K21" s="1656"/>
      <c r="L21" s="1529"/>
      <c r="Z21" s="1324"/>
      <c r="AA21" s="1324"/>
    </row>
    <row r="22" spans="1:27" ht="80.099999999999994" customHeight="1">
      <c r="B22" s="1342" t="s">
        <v>1439</v>
      </c>
      <c r="C22" s="1342"/>
      <c r="D22" s="1342"/>
      <c r="E22" s="1342"/>
      <c r="F22" s="1211" t="s">
        <v>1433</v>
      </c>
      <c r="G22" s="1342" t="s">
        <v>1493</v>
      </c>
      <c r="H22" s="1155" t="s">
        <v>1435</v>
      </c>
      <c r="I22" s="1155" t="s">
        <v>1436</v>
      </c>
      <c r="J22" s="1342" t="s">
        <v>1605</v>
      </c>
    </row>
    <row r="23" spans="1:27" ht="180" customHeight="1">
      <c r="B23" s="2796" t="s">
        <v>2177</v>
      </c>
      <c r="C23" s="2797"/>
      <c r="D23" s="2798" t="str">
        <f>IF('Project Info'!C4='Project Info'!P32,'Prescriptive Path Checklist'!C54,IF('Project Info'!C4='Project Info'!P33,#REF!,"&lt;Select compliance path on the 'Project Info' tab&gt;"))</f>
        <v>Garages, including plenums and dropped ceilings within the garage, shall not be heated for comfort or to prevent pipes from freezing.  Piping design and layout shall locate piping within conditioned spaces or grouped and properly insulated to prevent freezing. Heat tracing for freeze protection may not be used.</v>
      </c>
      <c r="E23" s="2799"/>
      <c r="F23" s="1366"/>
      <c r="G23" s="1366"/>
      <c r="H23" s="1388"/>
      <c r="I23" s="1383"/>
      <c r="J23" s="1383"/>
      <c r="K23" s="1655"/>
      <c r="L23" s="1529"/>
      <c r="M23" s="1653"/>
      <c r="N23" s="1529"/>
    </row>
    <row r="24" spans="1:27" ht="246.75" customHeight="1">
      <c r="B24" s="2796" t="s">
        <v>2176</v>
      </c>
      <c r="C24" s="2797"/>
      <c r="D24" s="2798" t="str">
        <f>IF('Project Info'!C4='Project Info'!P32,'Prescriptive Path Checklist'!C55,IF('Project Info'!C4='Project Info'!P33,#REF!,"&lt;Select compliance path on the 'Project Info' tab&gt;"))</f>
        <v>Radiant heating, either wall or ceiling-mounted or within the garage floor (or sidewalks) may be used to prevent ice formation on the ground as a safety feature only and temperature-based controls  must comply with ASHRAE 90.1-2010 Section 6.4.3.8.</v>
      </c>
      <c r="E24" s="2799"/>
      <c r="F24" s="1366"/>
      <c r="G24" s="1366"/>
      <c r="H24" s="1388"/>
      <c r="I24" s="1383"/>
      <c r="J24" s="1383"/>
      <c r="K24" s="1655"/>
      <c r="L24" s="1529"/>
      <c r="M24" s="1653"/>
      <c r="N24" s="1529"/>
    </row>
    <row r="25" spans="1:27" ht="56.25" customHeight="1">
      <c r="B25" s="2680" t="s">
        <v>1606</v>
      </c>
      <c r="C25" s="2681"/>
      <c r="D25" s="2681"/>
      <c r="E25" s="2681"/>
      <c r="F25" s="1366"/>
      <c r="G25" s="1366"/>
      <c r="H25" s="1388"/>
      <c r="I25" s="1383"/>
      <c r="J25" s="1383"/>
      <c r="K25" s="1529"/>
      <c r="L25" s="1529"/>
      <c r="M25" s="1653"/>
      <c r="N25" s="1529"/>
    </row>
    <row r="26" spans="1:27" ht="43.5" customHeight="1">
      <c r="B26" s="2682" t="s">
        <v>2175</v>
      </c>
      <c r="C26" s="2683"/>
      <c r="D26" s="2683"/>
      <c r="E26" s="2683"/>
      <c r="F26" s="2683"/>
      <c r="G26" s="2683"/>
      <c r="H26" s="2683"/>
      <c r="I26" s="1383"/>
      <c r="J26" s="1383"/>
      <c r="K26" s="1654"/>
      <c r="L26" s="1529"/>
      <c r="M26" s="1529"/>
      <c r="N26" s="1529"/>
    </row>
    <row r="27" spans="1:27" ht="45" customHeight="1">
      <c r="B27" s="2682" t="s">
        <v>1607</v>
      </c>
      <c r="C27" s="2683"/>
      <c r="D27" s="2683"/>
      <c r="E27" s="2683"/>
      <c r="F27" s="2683"/>
      <c r="G27" s="2683"/>
      <c r="H27" s="2683"/>
      <c r="I27" s="1383"/>
      <c r="J27" s="1383"/>
      <c r="K27" s="1529"/>
      <c r="L27" s="1529"/>
      <c r="M27" s="1653"/>
      <c r="N27" s="1529"/>
    </row>
    <row r="28" spans="1:27">
      <c r="A28" s="1324"/>
    </row>
    <row r="29" spans="1:27" ht="25.5">
      <c r="A29" s="1324"/>
      <c r="C29" s="1524"/>
    </row>
    <row r="30" spans="1:27" ht="25.5">
      <c r="A30" s="1324"/>
      <c r="C30" s="1524"/>
      <c r="N30" s="1652" t="s">
        <v>362</v>
      </c>
    </row>
    <row r="31" spans="1:27" ht="25.5">
      <c r="A31" s="1324"/>
      <c r="C31" s="1524"/>
      <c r="N31" s="1652" t="s">
        <v>364</v>
      </c>
    </row>
    <row r="32" spans="1:27">
      <c r="N32" s="1652" t="s">
        <v>363</v>
      </c>
    </row>
    <row r="179" spans="2:2" ht="18">
      <c r="B179" s="794"/>
    </row>
  </sheetData>
  <sheetProtection formatCells="0" formatColumns="0" formatRows="0" insertColumns="0" insertRows="0"/>
  <mergeCells count="17">
    <mergeCell ref="B27:H27"/>
    <mergeCell ref="B8:F8"/>
    <mergeCell ref="B9:F9"/>
    <mergeCell ref="B10:F10"/>
    <mergeCell ref="B21:E21"/>
    <mergeCell ref="B26:H26"/>
    <mergeCell ref="B25:E25"/>
    <mergeCell ref="B23:C23"/>
    <mergeCell ref="D23:E23"/>
    <mergeCell ref="B24:C24"/>
    <mergeCell ref="D24:E24"/>
    <mergeCell ref="H5:I5"/>
    <mergeCell ref="H6:I6"/>
    <mergeCell ref="H7:I7"/>
    <mergeCell ref="H10:I10"/>
    <mergeCell ref="H9:I9"/>
    <mergeCell ref="H8:I8"/>
  </mergeCells>
  <dataValidations count="2">
    <dataValidation type="list" allowBlank="1" showInputMessage="1" showErrorMessage="1" sqref="H21 JD21 SZ21 ACV21 AMR21 AWN21 BGJ21 BQF21 CAB21 CJX21 CTT21 DDP21 DNL21 DXH21 EHD21 EQZ21 FAV21 FKR21 FUN21 GEJ21 GOF21 GYB21 HHX21 HRT21 IBP21 ILL21 IVH21 JFD21 JOZ21 JYV21 KIR21 KSN21 LCJ21 LMF21 LWB21 MFX21 MPT21 MZP21 NJL21 NTH21 ODD21 OMZ21 OWV21 PGR21 PQN21 QAJ21 QKF21 QUB21 RDX21 RNT21 RXP21 SHL21 SRH21 TBD21 TKZ21 TUV21 UER21 UON21 UYJ21 VIF21 VSB21 WBX21 WLT21 WVP21 H65557 JD65557 SZ65557 ACV65557 AMR65557 AWN65557 BGJ65557 BQF65557 CAB65557 CJX65557 CTT65557 DDP65557 DNL65557 DXH65557 EHD65557 EQZ65557 FAV65557 FKR65557 FUN65557 GEJ65557 GOF65557 GYB65557 HHX65557 HRT65557 IBP65557 ILL65557 IVH65557 JFD65557 JOZ65557 JYV65557 KIR65557 KSN65557 LCJ65557 LMF65557 LWB65557 MFX65557 MPT65557 MZP65557 NJL65557 NTH65557 ODD65557 OMZ65557 OWV65557 PGR65557 PQN65557 QAJ65557 QKF65557 QUB65557 RDX65557 RNT65557 RXP65557 SHL65557 SRH65557 TBD65557 TKZ65557 TUV65557 UER65557 UON65557 UYJ65557 VIF65557 VSB65557 WBX65557 WLT65557 WVP65557 H131093 JD131093 SZ131093 ACV131093 AMR131093 AWN131093 BGJ131093 BQF131093 CAB131093 CJX131093 CTT131093 DDP131093 DNL131093 DXH131093 EHD131093 EQZ131093 FAV131093 FKR131093 FUN131093 GEJ131093 GOF131093 GYB131093 HHX131093 HRT131093 IBP131093 ILL131093 IVH131093 JFD131093 JOZ131093 JYV131093 KIR131093 KSN131093 LCJ131093 LMF131093 LWB131093 MFX131093 MPT131093 MZP131093 NJL131093 NTH131093 ODD131093 OMZ131093 OWV131093 PGR131093 PQN131093 QAJ131093 QKF131093 QUB131093 RDX131093 RNT131093 RXP131093 SHL131093 SRH131093 TBD131093 TKZ131093 TUV131093 UER131093 UON131093 UYJ131093 VIF131093 VSB131093 WBX131093 WLT131093 WVP131093 H196629 JD196629 SZ196629 ACV196629 AMR196629 AWN196629 BGJ196629 BQF196629 CAB196629 CJX196629 CTT196629 DDP196629 DNL196629 DXH196629 EHD196629 EQZ196629 FAV196629 FKR196629 FUN196629 GEJ196629 GOF196629 GYB196629 HHX196629 HRT196629 IBP196629 ILL196629 IVH196629 JFD196629 JOZ196629 JYV196629 KIR196629 KSN196629 LCJ196629 LMF196629 LWB196629 MFX196629 MPT196629 MZP196629 NJL196629 NTH196629 ODD196629 OMZ196629 OWV196629 PGR196629 PQN196629 QAJ196629 QKF196629 QUB196629 RDX196629 RNT196629 RXP196629 SHL196629 SRH196629 TBD196629 TKZ196629 TUV196629 UER196629 UON196629 UYJ196629 VIF196629 VSB196629 WBX196629 WLT196629 WVP196629 H262165 JD262165 SZ262165 ACV262165 AMR262165 AWN262165 BGJ262165 BQF262165 CAB262165 CJX262165 CTT262165 DDP262165 DNL262165 DXH262165 EHD262165 EQZ262165 FAV262165 FKR262165 FUN262165 GEJ262165 GOF262165 GYB262165 HHX262165 HRT262165 IBP262165 ILL262165 IVH262165 JFD262165 JOZ262165 JYV262165 KIR262165 KSN262165 LCJ262165 LMF262165 LWB262165 MFX262165 MPT262165 MZP262165 NJL262165 NTH262165 ODD262165 OMZ262165 OWV262165 PGR262165 PQN262165 QAJ262165 QKF262165 QUB262165 RDX262165 RNT262165 RXP262165 SHL262165 SRH262165 TBD262165 TKZ262165 TUV262165 UER262165 UON262165 UYJ262165 VIF262165 VSB262165 WBX262165 WLT262165 WVP262165 H327701 JD327701 SZ327701 ACV327701 AMR327701 AWN327701 BGJ327701 BQF327701 CAB327701 CJX327701 CTT327701 DDP327701 DNL327701 DXH327701 EHD327701 EQZ327701 FAV327701 FKR327701 FUN327701 GEJ327701 GOF327701 GYB327701 HHX327701 HRT327701 IBP327701 ILL327701 IVH327701 JFD327701 JOZ327701 JYV327701 KIR327701 KSN327701 LCJ327701 LMF327701 LWB327701 MFX327701 MPT327701 MZP327701 NJL327701 NTH327701 ODD327701 OMZ327701 OWV327701 PGR327701 PQN327701 QAJ327701 QKF327701 QUB327701 RDX327701 RNT327701 RXP327701 SHL327701 SRH327701 TBD327701 TKZ327701 TUV327701 UER327701 UON327701 UYJ327701 VIF327701 VSB327701 WBX327701 WLT327701 WVP327701 H393237 JD393237 SZ393237 ACV393237 AMR393237 AWN393237 BGJ393237 BQF393237 CAB393237 CJX393237 CTT393237 DDP393237 DNL393237 DXH393237 EHD393237 EQZ393237 FAV393237 FKR393237 FUN393237 GEJ393237 GOF393237 GYB393237 HHX393237 HRT393237 IBP393237 ILL393237 IVH393237 JFD393237 JOZ393237 JYV393237 KIR393237 KSN393237 LCJ393237 LMF393237 LWB393237 MFX393237 MPT393237 MZP393237 NJL393237 NTH393237 ODD393237 OMZ393237 OWV393237 PGR393237 PQN393237 QAJ393237 QKF393237 QUB393237 RDX393237 RNT393237 RXP393237 SHL393237 SRH393237 TBD393237 TKZ393237 TUV393237 UER393237 UON393237 UYJ393237 VIF393237 VSB393237 WBX393237 WLT393237 WVP393237 H458773 JD458773 SZ458773 ACV458773 AMR458773 AWN458773 BGJ458773 BQF458773 CAB458773 CJX458773 CTT458773 DDP458773 DNL458773 DXH458773 EHD458773 EQZ458773 FAV458773 FKR458773 FUN458773 GEJ458773 GOF458773 GYB458773 HHX458773 HRT458773 IBP458773 ILL458773 IVH458773 JFD458773 JOZ458773 JYV458773 KIR458773 KSN458773 LCJ458773 LMF458773 LWB458773 MFX458773 MPT458773 MZP458773 NJL458773 NTH458773 ODD458773 OMZ458773 OWV458773 PGR458773 PQN458773 QAJ458773 QKF458773 QUB458773 RDX458773 RNT458773 RXP458773 SHL458773 SRH458773 TBD458773 TKZ458773 TUV458773 UER458773 UON458773 UYJ458773 VIF458773 VSB458773 WBX458773 WLT458773 WVP458773 H524309 JD524309 SZ524309 ACV524309 AMR524309 AWN524309 BGJ524309 BQF524309 CAB524309 CJX524309 CTT524309 DDP524309 DNL524309 DXH524309 EHD524309 EQZ524309 FAV524309 FKR524309 FUN524309 GEJ524309 GOF524309 GYB524309 HHX524309 HRT524309 IBP524309 ILL524309 IVH524309 JFD524309 JOZ524309 JYV524309 KIR524309 KSN524309 LCJ524309 LMF524309 LWB524309 MFX524309 MPT524309 MZP524309 NJL524309 NTH524309 ODD524309 OMZ524309 OWV524309 PGR524309 PQN524309 QAJ524309 QKF524309 QUB524309 RDX524309 RNT524309 RXP524309 SHL524309 SRH524309 TBD524309 TKZ524309 TUV524309 UER524309 UON524309 UYJ524309 VIF524309 VSB524309 WBX524309 WLT524309 WVP524309 H589845 JD589845 SZ589845 ACV589845 AMR589845 AWN589845 BGJ589845 BQF589845 CAB589845 CJX589845 CTT589845 DDP589845 DNL589845 DXH589845 EHD589845 EQZ589845 FAV589845 FKR589845 FUN589845 GEJ589845 GOF589845 GYB589845 HHX589845 HRT589845 IBP589845 ILL589845 IVH589845 JFD589845 JOZ589845 JYV589845 KIR589845 KSN589845 LCJ589845 LMF589845 LWB589845 MFX589845 MPT589845 MZP589845 NJL589845 NTH589845 ODD589845 OMZ589845 OWV589845 PGR589845 PQN589845 QAJ589845 QKF589845 QUB589845 RDX589845 RNT589845 RXP589845 SHL589845 SRH589845 TBD589845 TKZ589845 TUV589845 UER589845 UON589845 UYJ589845 VIF589845 VSB589845 WBX589845 WLT589845 WVP589845 H655381 JD655381 SZ655381 ACV655381 AMR655381 AWN655381 BGJ655381 BQF655381 CAB655381 CJX655381 CTT655381 DDP655381 DNL655381 DXH655381 EHD655381 EQZ655381 FAV655381 FKR655381 FUN655381 GEJ655381 GOF655381 GYB655381 HHX655381 HRT655381 IBP655381 ILL655381 IVH655381 JFD655381 JOZ655381 JYV655381 KIR655381 KSN655381 LCJ655381 LMF655381 LWB655381 MFX655381 MPT655381 MZP655381 NJL655381 NTH655381 ODD655381 OMZ655381 OWV655381 PGR655381 PQN655381 QAJ655381 QKF655381 QUB655381 RDX655381 RNT655381 RXP655381 SHL655381 SRH655381 TBD655381 TKZ655381 TUV655381 UER655381 UON655381 UYJ655381 VIF655381 VSB655381 WBX655381 WLT655381 WVP655381 H720917 JD720917 SZ720917 ACV720917 AMR720917 AWN720917 BGJ720917 BQF720917 CAB720917 CJX720917 CTT720917 DDP720917 DNL720917 DXH720917 EHD720917 EQZ720917 FAV720917 FKR720917 FUN720917 GEJ720917 GOF720917 GYB720917 HHX720917 HRT720917 IBP720917 ILL720917 IVH720917 JFD720917 JOZ720917 JYV720917 KIR720917 KSN720917 LCJ720917 LMF720917 LWB720917 MFX720917 MPT720917 MZP720917 NJL720917 NTH720917 ODD720917 OMZ720917 OWV720917 PGR720917 PQN720917 QAJ720917 QKF720917 QUB720917 RDX720917 RNT720917 RXP720917 SHL720917 SRH720917 TBD720917 TKZ720917 TUV720917 UER720917 UON720917 UYJ720917 VIF720917 VSB720917 WBX720917 WLT720917 WVP720917 H786453 JD786453 SZ786453 ACV786453 AMR786453 AWN786453 BGJ786453 BQF786453 CAB786453 CJX786453 CTT786453 DDP786453 DNL786453 DXH786453 EHD786453 EQZ786453 FAV786453 FKR786453 FUN786453 GEJ786453 GOF786453 GYB786453 HHX786453 HRT786453 IBP786453 ILL786453 IVH786453 JFD786453 JOZ786453 JYV786453 KIR786453 KSN786453 LCJ786453 LMF786453 LWB786453 MFX786453 MPT786453 MZP786453 NJL786453 NTH786453 ODD786453 OMZ786453 OWV786453 PGR786453 PQN786453 QAJ786453 QKF786453 QUB786453 RDX786453 RNT786453 RXP786453 SHL786453 SRH786453 TBD786453 TKZ786453 TUV786453 UER786453 UON786453 UYJ786453 VIF786453 VSB786453 WBX786453 WLT786453 WVP786453 H851989 JD851989 SZ851989 ACV851989 AMR851989 AWN851989 BGJ851989 BQF851989 CAB851989 CJX851989 CTT851989 DDP851989 DNL851989 DXH851989 EHD851989 EQZ851989 FAV851989 FKR851989 FUN851989 GEJ851989 GOF851989 GYB851989 HHX851989 HRT851989 IBP851989 ILL851989 IVH851989 JFD851989 JOZ851989 JYV851989 KIR851989 KSN851989 LCJ851989 LMF851989 LWB851989 MFX851989 MPT851989 MZP851989 NJL851989 NTH851989 ODD851989 OMZ851989 OWV851989 PGR851989 PQN851989 QAJ851989 QKF851989 QUB851989 RDX851989 RNT851989 RXP851989 SHL851989 SRH851989 TBD851989 TKZ851989 TUV851989 UER851989 UON851989 UYJ851989 VIF851989 VSB851989 WBX851989 WLT851989 WVP851989 H917525 JD917525 SZ917525 ACV917525 AMR917525 AWN917525 BGJ917525 BQF917525 CAB917525 CJX917525 CTT917525 DDP917525 DNL917525 DXH917525 EHD917525 EQZ917525 FAV917525 FKR917525 FUN917525 GEJ917525 GOF917525 GYB917525 HHX917525 HRT917525 IBP917525 ILL917525 IVH917525 JFD917525 JOZ917525 JYV917525 KIR917525 KSN917525 LCJ917525 LMF917525 LWB917525 MFX917525 MPT917525 MZP917525 NJL917525 NTH917525 ODD917525 OMZ917525 OWV917525 PGR917525 PQN917525 QAJ917525 QKF917525 QUB917525 RDX917525 RNT917525 RXP917525 SHL917525 SRH917525 TBD917525 TKZ917525 TUV917525 UER917525 UON917525 UYJ917525 VIF917525 VSB917525 WBX917525 WLT917525 WVP917525 H983061 JD983061 SZ983061 ACV983061 AMR983061 AWN983061 BGJ983061 BQF983061 CAB983061 CJX983061 CTT983061 DDP983061 DNL983061 DXH983061 EHD983061 EQZ983061 FAV983061 FKR983061 FUN983061 GEJ983061 GOF983061 GYB983061 HHX983061 HRT983061 IBP983061 ILL983061 IVH983061 JFD983061 JOZ983061 JYV983061 KIR983061 KSN983061 LCJ983061 LMF983061 LWB983061 MFX983061 MPT983061 MZP983061 NJL983061 NTH983061 ODD983061 OMZ983061 OWV983061 PGR983061 PQN983061 QAJ983061 QKF983061 QUB983061 RDX983061 RNT983061 RXP983061 SHL983061 SRH983061 TBD983061 TKZ983061 TUV983061 UER983061 UON983061 UYJ983061 VIF983061 VSB983061 WBX983061 WLT983061 WVP983061 I26:I27 JE26:JE27 TA26:TA27 ACW26:ACW27 AMS26:AMS27 AWO26:AWO27 BGK26:BGK27 BQG26:BQG27 CAC26:CAC27 CJY26:CJY27 CTU26:CTU27 DDQ26:DDQ27 DNM26:DNM27 DXI26:DXI27 EHE26:EHE27 ERA26:ERA27 FAW26:FAW27 FKS26:FKS27 FUO26:FUO27 GEK26:GEK27 GOG26:GOG27 GYC26:GYC27 HHY26:HHY27 HRU26:HRU27 IBQ26:IBQ27 ILM26:ILM27 IVI26:IVI27 JFE26:JFE27 JPA26:JPA27 JYW26:JYW27 KIS26:KIS27 KSO26:KSO27 LCK26:LCK27 LMG26:LMG27 LWC26:LWC27 MFY26:MFY27 MPU26:MPU27 MZQ26:MZQ27 NJM26:NJM27 NTI26:NTI27 ODE26:ODE27 ONA26:ONA27 OWW26:OWW27 PGS26:PGS27 PQO26:PQO27 QAK26:QAK27 QKG26:QKG27 QUC26:QUC27 RDY26:RDY27 RNU26:RNU27 RXQ26:RXQ27 SHM26:SHM27 SRI26:SRI27 TBE26:TBE27 TLA26:TLA27 TUW26:TUW27 UES26:UES27 UOO26:UOO27 UYK26:UYK27 VIG26:VIG27 VSC26:VSC27 WBY26:WBY27 WLU26:WLU27 WVQ26:WVQ27 I65562:I65563 JE65562:JE65563 TA65562:TA65563 ACW65562:ACW65563 AMS65562:AMS65563 AWO65562:AWO65563 BGK65562:BGK65563 BQG65562:BQG65563 CAC65562:CAC65563 CJY65562:CJY65563 CTU65562:CTU65563 DDQ65562:DDQ65563 DNM65562:DNM65563 DXI65562:DXI65563 EHE65562:EHE65563 ERA65562:ERA65563 FAW65562:FAW65563 FKS65562:FKS65563 FUO65562:FUO65563 GEK65562:GEK65563 GOG65562:GOG65563 GYC65562:GYC65563 HHY65562:HHY65563 HRU65562:HRU65563 IBQ65562:IBQ65563 ILM65562:ILM65563 IVI65562:IVI65563 JFE65562:JFE65563 JPA65562:JPA65563 JYW65562:JYW65563 KIS65562:KIS65563 KSO65562:KSO65563 LCK65562:LCK65563 LMG65562:LMG65563 LWC65562:LWC65563 MFY65562:MFY65563 MPU65562:MPU65563 MZQ65562:MZQ65563 NJM65562:NJM65563 NTI65562:NTI65563 ODE65562:ODE65563 ONA65562:ONA65563 OWW65562:OWW65563 PGS65562:PGS65563 PQO65562:PQO65563 QAK65562:QAK65563 QKG65562:QKG65563 QUC65562:QUC65563 RDY65562:RDY65563 RNU65562:RNU65563 RXQ65562:RXQ65563 SHM65562:SHM65563 SRI65562:SRI65563 TBE65562:TBE65563 TLA65562:TLA65563 TUW65562:TUW65563 UES65562:UES65563 UOO65562:UOO65563 UYK65562:UYK65563 VIG65562:VIG65563 VSC65562:VSC65563 WBY65562:WBY65563 WLU65562:WLU65563 WVQ65562:WVQ65563 I131098:I131099 JE131098:JE131099 TA131098:TA131099 ACW131098:ACW131099 AMS131098:AMS131099 AWO131098:AWO131099 BGK131098:BGK131099 BQG131098:BQG131099 CAC131098:CAC131099 CJY131098:CJY131099 CTU131098:CTU131099 DDQ131098:DDQ131099 DNM131098:DNM131099 DXI131098:DXI131099 EHE131098:EHE131099 ERA131098:ERA131099 FAW131098:FAW131099 FKS131098:FKS131099 FUO131098:FUO131099 GEK131098:GEK131099 GOG131098:GOG131099 GYC131098:GYC131099 HHY131098:HHY131099 HRU131098:HRU131099 IBQ131098:IBQ131099 ILM131098:ILM131099 IVI131098:IVI131099 JFE131098:JFE131099 JPA131098:JPA131099 JYW131098:JYW131099 KIS131098:KIS131099 KSO131098:KSO131099 LCK131098:LCK131099 LMG131098:LMG131099 LWC131098:LWC131099 MFY131098:MFY131099 MPU131098:MPU131099 MZQ131098:MZQ131099 NJM131098:NJM131099 NTI131098:NTI131099 ODE131098:ODE131099 ONA131098:ONA131099 OWW131098:OWW131099 PGS131098:PGS131099 PQO131098:PQO131099 QAK131098:QAK131099 QKG131098:QKG131099 QUC131098:QUC131099 RDY131098:RDY131099 RNU131098:RNU131099 RXQ131098:RXQ131099 SHM131098:SHM131099 SRI131098:SRI131099 TBE131098:TBE131099 TLA131098:TLA131099 TUW131098:TUW131099 UES131098:UES131099 UOO131098:UOO131099 UYK131098:UYK131099 VIG131098:VIG131099 VSC131098:VSC131099 WBY131098:WBY131099 WLU131098:WLU131099 WVQ131098:WVQ131099 I196634:I196635 JE196634:JE196635 TA196634:TA196635 ACW196634:ACW196635 AMS196634:AMS196635 AWO196634:AWO196635 BGK196634:BGK196635 BQG196634:BQG196635 CAC196634:CAC196635 CJY196634:CJY196635 CTU196634:CTU196635 DDQ196634:DDQ196635 DNM196634:DNM196635 DXI196634:DXI196635 EHE196634:EHE196635 ERA196634:ERA196635 FAW196634:FAW196635 FKS196634:FKS196635 FUO196634:FUO196635 GEK196634:GEK196635 GOG196634:GOG196635 GYC196634:GYC196635 HHY196634:HHY196635 HRU196634:HRU196635 IBQ196634:IBQ196635 ILM196634:ILM196635 IVI196634:IVI196635 JFE196634:JFE196635 JPA196634:JPA196635 JYW196634:JYW196635 KIS196634:KIS196635 KSO196634:KSO196635 LCK196634:LCK196635 LMG196634:LMG196635 LWC196634:LWC196635 MFY196634:MFY196635 MPU196634:MPU196635 MZQ196634:MZQ196635 NJM196634:NJM196635 NTI196634:NTI196635 ODE196634:ODE196635 ONA196634:ONA196635 OWW196634:OWW196635 PGS196634:PGS196635 PQO196634:PQO196635 QAK196634:QAK196635 QKG196634:QKG196635 QUC196634:QUC196635 RDY196634:RDY196635 RNU196634:RNU196635 RXQ196634:RXQ196635 SHM196634:SHM196635 SRI196634:SRI196635 TBE196634:TBE196635 TLA196634:TLA196635 TUW196634:TUW196635 UES196634:UES196635 UOO196634:UOO196635 UYK196634:UYK196635 VIG196634:VIG196635 VSC196634:VSC196635 WBY196634:WBY196635 WLU196634:WLU196635 WVQ196634:WVQ196635 I262170:I262171 JE262170:JE262171 TA262170:TA262171 ACW262170:ACW262171 AMS262170:AMS262171 AWO262170:AWO262171 BGK262170:BGK262171 BQG262170:BQG262171 CAC262170:CAC262171 CJY262170:CJY262171 CTU262170:CTU262171 DDQ262170:DDQ262171 DNM262170:DNM262171 DXI262170:DXI262171 EHE262170:EHE262171 ERA262170:ERA262171 FAW262170:FAW262171 FKS262170:FKS262171 FUO262170:FUO262171 GEK262170:GEK262171 GOG262170:GOG262171 GYC262170:GYC262171 HHY262170:HHY262171 HRU262170:HRU262171 IBQ262170:IBQ262171 ILM262170:ILM262171 IVI262170:IVI262171 JFE262170:JFE262171 JPA262170:JPA262171 JYW262170:JYW262171 KIS262170:KIS262171 KSO262170:KSO262171 LCK262170:LCK262171 LMG262170:LMG262171 LWC262170:LWC262171 MFY262170:MFY262171 MPU262170:MPU262171 MZQ262170:MZQ262171 NJM262170:NJM262171 NTI262170:NTI262171 ODE262170:ODE262171 ONA262170:ONA262171 OWW262170:OWW262171 PGS262170:PGS262171 PQO262170:PQO262171 QAK262170:QAK262171 QKG262170:QKG262171 QUC262170:QUC262171 RDY262170:RDY262171 RNU262170:RNU262171 RXQ262170:RXQ262171 SHM262170:SHM262171 SRI262170:SRI262171 TBE262170:TBE262171 TLA262170:TLA262171 TUW262170:TUW262171 UES262170:UES262171 UOO262170:UOO262171 UYK262170:UYK262171 VIG262170:VIG262171 VSC262170:VSC262171 WBY262170:WBY262171 WLU262170:WLU262171 WVQ262170:WVQ262171 I327706:I327707 JE327706:JE327707 TA327706:TA327707 ACW327706:ACW327707 AMS327706:AMS327707 AWO327706:AWO327707 BGK327706:BGK327707 BQG327706:BQG327707 CAC327706:CAC327707 CJY327706:CJY327707 CTU327706:CTU327707 DDQ327706:DDQ327707 DNM327706:DNM327707 DXI327706:DXI327707 EHE327706:EHE327707 ERA327706:ERA327707 FAW327706:FAW327707 FKS327706:FKS327707 FUO327706:FUO327707 GEK327706:GEK327707 GOG327706:GOG327707 GYC327706:GYC327707 HHY327706:HHY327707 HRU327706:HRU327707 IBQ327706:IBQ327707 ILM327706:ILM327707 IVI327706:IVI327707 JFE327706:JFE327707 JPA327706:JPA327707 JYW327706:JYW327707 KIS327706:KIS327707 KSO327706:KSO327707 LCK327706:LCK327707 LMG327706:LMG327707 LWC327706:LWC327707 MFY327706:MFY327707 MPU327706:MPU327707 MZQ327706:MZQ327707 NJM327706:NJM327707 NTI327706:NTI327707 ODE327706:ODE327707 ONA327706:ONA327707 OWW327706:OWW327707 PGS327706:PGS327707 PQO327706:PQO327707 QAK327706:QAK327707 QKG327706:QKG327707 QUC327706:QUC327707 RDY327706:RDY327707 RNU327706:RNU327707 RXQ327706:RXQ327707 SHM327706:SHM327707 SRI327706:SRI327707 TBE327706:TBE327707 TLA327706:TLA327707 TUW327706:TUW327707 UES327706:UES327707 UOO327706:UOO327707 UYK327706:UYK327707 VIG327706:VIG327707 VSC327706:VSC327707 WBY327706:WBY327707 WLU327706:WLU327707 WVQ327706:WVQ327707 I393242:I393243 JE393242:JE393243 TA393242:TA393243 ACW393242:ACW393243 AMS393242:AMS393243 AWO393242:AWO393243 BGK393242:BGK393243 BQG393242:BQG393243 CAC393242:CAC393243 CJY393242:CJY393243 CTU393242:CTU393243 DDQ393242:DDQ393243 DNM393242:DNM393243 DXI393242:DXI393243 EHE393242:EHE393243 ERA393242:ERA393243 FAW393242:FAW393243 FKS393242:FKS393243 FUO393242:FUO393243 GEK393242:GEK393243 GOG393242:GOG393243 GYC393242:GYC393243 HHY393242:HHY393243 HRU393242:HRU393243 IBQ393242:IBQ393243 ILM393242:ILM393243 IVI393242:IVI393243 JFE393242:JFE393243 JPA393242:JPA393243 JYW393242:JYW393243 KIS393242:KIS393243 KSO393242:KSO393243 LCK393242:LCK393243 LMG393242:LMG393243 LWC393242:LWC393243 MFY393242:MFY393243 MPU393242:MPU393243 MZQ393242:MZQ393243 NJM393242:NJM393243 NTI393242:NTI393243 ODE393242:ODE393243 ONA393242:ONA393243 OWW393242:OWW393243 PGS393242:PGS393243 PQO393242:PQO393243 QAK393242:QAK393243 QKG393242:QKG393243 QUC393242:QUC393243 RDY393242:RDY393243 RNU393242:RNU393243 RXQ393242:RXQ393243 SHM393242:SHM393243 SRI393242:SRI393243 TBE393242:TBE393243 TLA393242:TLA393243 TUW393242:TUW393243 UES393242:UES393243 UOO393242:UOO393243 UYK393242:UYK393243 VIG393242:VIG393243 VSC393242:VSC393243 WBY393242:WBY393243 WLU393242:WLU393243 WVQ393242:WVQ393243 I458778:I458779 JE458778:JE458779 TA458778:TA458779 ACW458778:ACW458779 AMS458778:AMS458779 AWO458778:AWO458779 BGK458778:BGK458779 BQG458778:BQG458779 CAC458778:CAC458779 CJY458778:CJY458779 CTU458778:CTU458779 DDQ458778:DDQ458779 DNM458778:DNM458779 DXI458778:DXI458779 EHE458778:EHE458779 ERA458778:ERA458779 FAW458778:FAW458779 FKS458778:FKS458779 FUO458778:FUO458779 GEK458778:GEK458779 GOG458778:GOG458779 GYC458778:GYC458779 HHY458778:HHY458779 HRU458778:HRU458779 IBQ458778:IBQ458779 ILM458778:ILM458779 IVI458778:IVI458779 JFE458778:JFE458779 JPA458778:JPA458779 JYW458778:JYW458779 KIS458778:KIS458779 KSO458778:KSO458779 LCK458778:LCK458779 LMG458778:LMG458779 LWC458778:LWC458779 MFY458778:MFY458779 MPU458778:MPU458779 MZQ458778:MZQ458779 NJM458778:NJM458779 NTI458778:NTI458779 ODE458778:ODE458779 ONA458778:ONA458779 OWW458778:OWW458779 PGS458778:PGS458779 PQO458778:PQO458779 QAK458778:QAK458779 QKG458778:QKG458779 QUC458778:QUC458779 RDY458778:RDY458779 RNU458778:RNU458779 RXQ458778:RXQ458779 SHM458778:SHM458779 SRI458778:SRI458779 TBE458778:TBE458779 TLA458778:TLA458779 TUW458778:TUW458779 UES458778:UES458779 UOO458778:UOO458779 UYK458778:UYK458779 VIG458778:VIG458779 VSC458778:VSC458779 WBY458778:WBY458779 WLU458778:WLU458779 WVQ458778:WVQ458779 I524314:I524315 JE524314:JE524315 TA524314:TA524315 ACW524314:ACW524315 AMS524314:AMS524315 AWO524314:AWO524315 BGK524314:BGK524315 BQG524314:BQG524315 CAC524314:CAC524315 CJY524314:CJY524315 CTU524314:CTU524315 DDQ524314:DDQ524315 DNM524314:DNM524315 DXI524314:DXI524315 EHE524314:EHE524315 ERA524314:ERA524315 FAW524314:FAW524315 FKS524314:FKS524315 FUO524314:FUO524315 GEK524314:GEK524315 GOG524314:GOG524315 GYC524314:GYC524315 HHY524314:HHY524315 HRU524314:HRU524315 IBQ524314:IBQ524315 ILM524314:ILM524315 IVI524314:IVI524315 JFE524314:JFE524315 JPA524314:JPA524315 JYW524314:JYW524315 KIS524314:KIS524315 KSO524314:KSO524315 LCK524314:LCK524315 LMG524314:LMG524315 LWC524314:LWC524315 MFY524314:MFY524315 MPU524314:MPU524315 MZQ524314:MZQ524315 NJM524314:NJM524315 NTI524314:NTI524315 ODE524314:ODE524315 ONA524314:ONA524315 OWW524314:OWW524315 PGS524314:PGS524315 PQO524314:PQO524315 QAK524314:QAK524315 QKG524314:QKG524315 QUC524314:QUC524315 RDY524314:RDY524315 RNU524314:RNU524315 RXQ524314:RXQ524315 SHM524314:SHM524315 SRI524314:SRI524315 TBE524314:TBE524315 TLA524314:TLA524315 TUW524314:TUW524315 UES524314:UES524315 UOO524314:UOO524315 UYK524314:UYK524315 VIG524314:VIG524315 VSC524314:VSC524315 WBY524314:WBY524315 WLU524314:WLU524315 WVQ524314:WVQ524315 I589850:I589851 JE589850:JE589851 TA589850:TA589851 ACW589850:ACW589851 AMS589850:AMS589851 AWO589850:AWO589851 BGK589850:BGK589851 BQG589850:BQG589851 CAC589850:CAC589851 CJY589850:CJY589851 CTU589850:CTU589851 DDQ589850:DDQ589851 DNM589850:DNM589851 DXI589850:DXI589851 EHE589850:EHE589851 ERA589850:ERA589851 FAW589850:FAW589851 FKS589850:FKS589851 FUO589850:FUO589851 GEK589850:GEK589851 GOG589850:GOG589851 GYC589850:GYC589851 HHY589850:HHY589851 HRU589850:HRU589851 IBQ589850:IBQ589851 ILM589850:ILM589851 IVI589850:IVI589851 JFE589850:JFE589851 JPA589850:JPA589851 JYW589850:JYW589851 KIS589850:KIS589851 KSO589850:KSO589851 LCK589850:LCK589851 LMG589850:LMG589851 LWC589850:LWC589851 MFY589850:MFY589851 MPU589850:MPU589851 MZQ589850:MZQ589851 NJM589850:NJM589851 NTI589850:NTI589851 ODE589850:ODE589851 ONA589850:ONA589851 OWW589850:OWW589851 PGS589850:PGS589851 PQO589850:PQO589851 QAK589850:QAK589851 QKG589850:QKG589851 QUC589850:QUC589851 RDY589850:RDY589851 RNU589850:RNU589851 RXQ589850:RXQ589851 SHM589850:SHM589851 SRI589850:SRI589851 TBE589850:TBE589851 TLA589850:TLA589851 TUW589850:TUW589851 UES589850:UES589851 UOO589850:UOO589851 UYK589850:UYK589851 VIG589850:VIG589851 VSC589850:VSC589851 WBY589850:WBY589851 WLU589850:WLU589851 WVQ589850:WVQ589851 I655386:I655387 JE655386:JE655387 TA655386:TA655387 ACW655386:ACW655387 AMS655386:AMS655387 AWO655386:AWO655387 BGK655386:BGK655387 BQG655386:BQG655387 CAC655386:CAC655387 CJY655386:CJY655387 CTU655386:CTU655387 DDQ655386:DDQ655387 DNM655386:DNM655387 DXI655386:DXI655387 EHE655386:EHE655387 ERA655386:ERA655387 FAW655386:FAW655387 FKS655386:FKS655387 FUO655386:FUO655387 GEK655386:GEK655387 GOG655386:GOG655387 GYC655386:GYC655387 HHY655386:HHY655387 HRU655386:HRU655387 IBQ655386:IBQ655387 ILM655386:ILM655387 IVI655386:IVI655387 JFE655386:JFE655387 JPA655386:JPA655387 JYW655386:JYW655387 KIS655386:KIS655387 KSO655386:KSO655387 LCK655386:LCK655387 LMG655386:LMG655387 LWC655386:LWC655387 MFY655386:MFY655387 MPU655386:MPU655387 MZQ655386:MZQ655387 NJM655386:NJM655387 NTI655386:NTI655387 ODE655386:ODE655387 ONA655386:ONA655387 OWW655386:OWW655387 PGS655386:PGS655387 PQO655386:PQO655387 QAK655386:QAK655387 QKG655386:QKG655387 QUC655386:QUC655387 RDY655386:RDY655387 RNU655386:RNU655387 RXQ655386:RXQ655387 SHM655386:SHM655387 SRI655386:SRI655387 TBE655386:TBE655387 TLA655386:TLA655387 TUW655386:TUW655387 UES655386:UES655387 UOO655386:UOO655387 UYK655386:UYK655387 VIG655386:VIG655387 VSC655386:VSC655387 WBY655386:WBY655387 WLU655386:WLU655387 WVQ655386:WVQ655387 I720922:I720923 JE720922:JE720923 TA720922:TA720923 ACW720922:ACW720923 AMS720922:AMS720923 AWO720922:AWO720923 BGK720922:BGK720923 BQG720922:BQG720923 CAC720922:CAC720923 CJY720922:CJY720923 CTU720922:CTU720923 DDQ720922:DDQ720923 DNM720922:DNM720923 DXI720922:DXI720923 EHE720922:EHE720923 ERA720922:ERA720923 FAW720922:FAW720923 FKS720922:FKS720923 FUO720922:FUO720923 GEK720922:GEK720923 GOG720922:GOG720923 GYC720922:GYC720923 HHY720922:HHY720923 HRU720922:HRU720923 IBQ720922:IBQ720923 ILM720922:ILM720923 IVI720922:IVI720923 JFE720922:JFE720923 JPA720922:JPA720923 JYW720922:JYW720923 KIS720922:KIS720923 KSO720922:KSO720923 LCK720922:LCK720923 LMG720922:LMG720923 LWC720922:LWC720923 MFY720922:MFY720923 MPU720922:MPU720923 MZQ720922:MZQ720923 NJM720922:NJM720923 NTI720922:NTI720923 ODE720922:ODE720923 ONA720922:ONA720923 OWW720922:OWW720923 PGS720922:PGS720923 PQO720922:PQO720923 QAK720922:QAK720923 QKG720922:QKG720923 QUC720922:QUC720923 RDY720922:RDY720923 RNU720922:RNU720923 RXQ720922:RXQ720923 SHM720922:SHM720923 SRI720922:SRI720923 TBE720922:TBE720923 TLA720922:TLA720923 TUW720922:TUW720923 UES720922:UES720923 UOO720922:UOO720923 UYK720922:UYK720923 VIG720922:VIG720923 VSC720922:VSC720923 WBY720922:WBY720923 WLU720922:WLU720923 WVQ720922:WVQ720923 I786458:I786459 JE786458:JE786459 TA786458:TA786459 ACW786458:ACW786459 AMS786458:AMS786459 AWO786458:AWO786459 BGK786458:BGK786459 BQG786458:BQG786459 CAC786458:CAC786459 CJY786458:CJY786459 CTU786458:CTU786459 DDQ786458:DDQ786459 DNM786458:DNM786459 DXI786458:DXI786459 EHE786458:EHE786459 ERA786458:ERA786459 FAW786458:FAW786459 FKS786458:FKS786459 FUO786458:FUO786459 GEK786458:GEK786459 GOG786458:GOG786459 GYC786458:GYC786459 HHY786458:HHY786459 HRU786458:HRU786459 IBQ786458:IBQ786459 ILM786458:ILM786459 IVI786458:IVI786459 JFE786458:JFE786459 JPA786458:JPA786459 JYW786458:JYW786459 KIS786458:KIS786459 KSO786458:KSO786459 LCK786458:LCK786459 LMG786458:LMG786459 LWC786458:LWC786459 MFY786458:MFY786459 MPU786458:MPU786459 MZQ786458:MZQ786459 NJM786458:NJM786459 NTI786458:NTI786459 ODE786458:ODE786459 ONA786458:ONA786459 OWW786458:OWW786459 PGS786458:PGS786459 PQO786458:PQO786459 QAK786458:QAK786459 QKG786458:QKG786459 QUC786458:QUC786459 RDY786458:RDY786459 RNU786458:RNU786459 RXQ786458:RXQ786459 SHM786458:SHM786459 SRI786458:SRI786459 TBE786458:TBE786459 TLA786458:TLA786459 TUW786458:TUW786459 UES786458:UES786459 UOO786458:UOO786459 UYK786458:UYK786459 VIG786458:VIG786459 VSC786458:VSC786459 WBY786458:WBY786459 WLU786458:WLU786459 WVQ786458:WVQ786459 I851994:I851995 JE851994:JE851995 TA851994:TA851995 ACW851994:ACW851995 AMS851994:AMS851995 AWO851994:AWO851995 BGK851994:BGK851995 BQG851994:BQG851995 CAC851994:CAC851995 CJY851994:CJY851995 CTU851994:CTU851995 DDQ851994:DDQ851995 DNM851994:DNM851995 DXI851994:DXI851995 EHE851994:EHE851995 ERA851994:ERA851995 FAW851994:FAW851995 FKS851994:FKS851995 FUO851994:FUO851995 GEK851994:GEK851995 GOG851994:GOG851995 GYC851994:GYC851995 HHY851994:HHY851995 HRU851994:HRU851995 IBQ851994:IBQ851995 ILM851994:ILM851995 IVI851994:IVI851995 JFE851994:JFE851995 JPA851994:JPA851995 JYW851994:JYW851995 KIS851994:KIS851995 KSO851994:KSO851995 LCK851994:LCK851995 LMG851994:LMG851995 LWC851994:LWC851995 MFY851994:MFY851995 MPU851994:MPU851995 MZQ851994:MZQ851995 NJM851994:NJM851995 NTI851994:NTI851995 ODE851994:ODE851995 ONA851994:ONA851995 OWW851994:OWW851995 PGS851994:PGS851995 PQO851994:PQO851995 QAK851994:QAK851995 QKG851994:QKG851995 QUC851994:QUC851995 RDY851994:RDY851995 RNU851994:RNU851995 RXQ851994:RXQ851995 SHM851994:SHM851995 SRI851994:SRI851995 TBE851994:TBE851995 TLA851994:TLA851995 TUW851994:TUW851995 UES851994:UES851995 UOO851994:UOO851995 UYK851994:UYK851995 VIG851994:VIG851995 VSC851994:VSC851995 WBY851994:WBY851995 WLU851994:WLU851995 WVQ851994:WVQ851995 I917530:I917531 JE917530:JE917531 TA917530:TA917531 ACW917530:ACW917531 AMS917530:AMS917531 AWO917530:AWO917531 BGK917530:BGK917531 BQG917530:BQG917531 CAC917530:CAC917531 CJY917530:CJY917531 CTU917530:CTU917531 DDQ917530:DDQ917531 DNM917530:DNM917531 DXI917530:DXI917531 EHE917530:EHE917531 ERA917530:ERA917531 FAW917530:FAW917531 FKS917530:FKS917531 FUO917530:FUO917531 GEK917530:GEK917531 GOG917530:GOG917531 GYC917530:GYC917531 HHY917530:HHY917531 HRU917530:HRU917531 IBQ917530:IBQ917531 ILM917530:ILM917531 IVI917530:IVI917531 JFE917530:JFE917531 JPA917530:JPA917531 JYW917530:JYW917531 KIS917530:KIS917531 KSO917530:KSO917531 LCK917530:LCK917531 LMG917530:LMG917531 LWC917530:LWC917531 MFY917530:MFY917531 MPU917530:MPU917531 MZQ917530:MZQ917531 NJM917530:NJM917531 NTI917530:NTI917531 ODE917530:ODE917531 ONA917530:ONA917531 OWW917530:OWW917531 PGS917530:PGS917531 PQO917530:PQO917531 QAK917530:QAK917531 QKG917530:QKG917531 QUC917530:QUC917531 RDY917530:RDY917531 RNU917530:RNU917531 RXQ917530:RXQ917531 SHM917530:SHM917531 SRI917530:SRI917531 TBE917530:TBE917531 TLA917530:TLA917531 TUW917530:TUW917531 UES917530:UES917531 UOO917530:UOO917531 UYK917530:UYK917531 VIG917530:VIG917531 VSC917530:VSC917531 WBY917530:WBY917531 WLU917530:WLU917531 WVQ917530:WVQ917531 I983066:I983067 JE983066:JE983067 TA983066:TA983067 ACW983066:ACW983067 AMS983066:AMS983067 AWO983066:AWO983067 BGK983066:BGK983067 BQG983066:BQG983067 CAC983066:CAC983067 CJY983066:CJY983067 CTU983066:CTU983067 DDQ983066:DDQ983067 DNM983066:DNM983067 DXI983066:DXI983067 EHE983066:EHE983067 ERA983066:ERA983067 FAW983066:FAW983067 FKS983066:FKS983067 FUO983066:FUO983067 GEK983066:GEK983067 GOG983066:GOG983067 GYC983066:GYC983067 HHY983066:HHY983067 HRU983066:HRU983067 IBQ983066:IBQ983067 ILM983066:ILM983067 IVI983066:IVI983067 JFE983066:JFE983067 JPA983066:JPA983067 JYW983066:JYW983067 KIS983066:KIS983067 KSO983066:KSO983067 LCK983066:LCK983067 LMG983066:LMG983067 LWC983066:LWC983067 MFY983066:MFY983067 MPU983066:MPU983067 MZQ983066:MZQ983067 NJM983066:NJM983067 NTI983066:NTI983067 ODE983066:ODE983067 ONA983066:ONA983067 OWW983066:OWW983067 PGS983066:PGS983067 PQO983066:PQO983067 QAK983066:QAK983067 QKG983066:QKG983067 QUC983066:QUC983067 RDY983066:RDY983067 RNU983066:RNU983067 RXQ983066:RXQ983067 SHM983066:SHM983067 SRI983066:SRI983067 TBE983066:TBE983067 TLA983066:TLA983067 TUW983066:TUW983067 UES983066:UES983067 UOO983066:UOO983067 UYK983066:UYK983067 VIG983066:VIG983067 VSC983066:VSC983067 WBY983066:WBY983067 WLU983066:WLU983067 WVQ983066:WVQ983067 H23:I25 JD23:JE25 SZ23:TA25 ACV23:ACW25 AMR23:AMS25 AWN23:AWO25 BGJ23:BGK25 BQF23:BQG25 CAB23:CAC25 CJX23:CJY25 CTT23:CTU25 DDP23:DDQ25 DNL23:DNM25 DXH23:DXI25 EHD23:EHE25 EQZ23:ERA25 FAV23:FAW25 FKR23:FKS25 FUN23:FUO25 GEJ23:GEK25 GOF23:GOG25 GYB23:GYC25 HHX23:HHY25 HRT23:HRU25 IBP23:IBQ25 ILL23:ILM25 IVH23:IVI25 JFD23:JFE25 JOZ23:JPA25 JYV23:JYW25 KIR23:KIS25 KSN23:KSO25 LCJ23:LCK25 LMF23:LMG25 LWB23:LWC25 MFX23:MFY25 MPT23:MPU25 MZP23:MZQ25 NJL23:NJM25 NTH23:NTI25 ODD23:ODE25 OMZ23:ONA25 OWV23:OWW25 PGR23:PGS25 PQN23:PQO25 QAJ23:QAK25 QKF23:QKG25 QUB23:QUC25 RDX23:RDY25 RNT23:RNU25 RXP23:RXQ25 SHL23:SHM25 SRH23:SRI25 TBD23:TBE25 TKZ23:TLA25 TUV23:TUW25 UER23:UES25 UON23:UOO25 UYJ23:UYK25 VIF23:VIG25 VSB23:VSC25 WBX23:WBY25 WLT23:WLU25 WVP23:WVQ25 H65559:I65561 JD65559:JE65561 SZ65559:TA65561 ACV65559:ACW65561 AMR65559:AMS65561 AWN65559:AWO65561 BGJ65559:BGK65561 BQF65559:BQG65561 CAB65559:CAC65561 CJX65559:CJY65561 CTT65559:CTU65561 DDP65559:DDQ65561 DNL65559:DNM65561 DXH65559:DXI65561 EHD65559:EHE65561 EQZ65559:ERA65561 FAV65559:FAW65561 FKR65559:FKS65561 FUN65559:FUO65561 GEJ65559:GEK65561 GOF65559:GOG65561 GYB65559:GYC65561 HHX65559:HHY65561 HRT65559:HRU65561 IBP65559:IBQ65561 ILL65559:ILM65561 IVH65559:IVI65561 JFD65559:JFE65561 JOZ65559:JPA65561 JYV65559:JYW65561 KIR65559:KIS65561 KSN65559:KSO65561 LCJ65559:LCK65561 LMF65559:LMG65561 LWB65559:LWC65561 MFX65559:MFY65561 MPT65559:MPU65561 MZP65559:MZQ65561 NJL65559:NJM65561 NTH65559:NTI65561 ODD65559:ODE65561 OMZ65559:ONA65561 OWV65559:OWW65561 PGR65559:PGS65561 PQN65559:PQO65561 QAJ65559:QAK65561 QKF65559:QKG65561 QUB65559:QUC65561 RDX65559:RDY65561 RNT65559:RNU65561 RXP65559:RXQ65561 SHL65559:SHM65561 SRH65559:SRI65561 TBD65559:TBE65561 TKZ65559:TLA65561 TUV65559:TUW65561 UER65559:UES65561 UON65559:UOO65561 UYJ65559:UYK65561 VIF65559:VIG65561 VSB65559:VSC65561 WBX65559:WBY65561 WLT65559:WLU65561 WVP65559:WVQ65561 H131095:I131097 JD131095:JE131097 SZ131095:TA131097 ACV131095:ACW131097 AMR131095:AMS131097 AWN131095:AWO131097 BGJ131095:BGK131097 BQF131095:BQG131097 CAB131095:CAC131097 CJX131095:CJY131097 CTT131095:CTU131097 DDP131095:DDQ131097 DNL131095:DNM131097 DXH131095:DXI131097 EHD131095:EHE131097 EQZ131095:ERA131097 FAV131095:FAW131097 FKR131095:FKS131097 FUN131095:FUO131097 GEJ131095:GEK131097 GOF131095:GOG131097 GYB131095:GYC131097 HHX131095:HHY131097 HRT131095:HRU131097 IBP131095:IBQ131097 ILL131095:ILM131097 IVH131095:IVI131097 JFD131095:JFE131097 JOZ131095:JPA131097 JYV131095:JYW131097 KIR131095:KIS131097 KSN131095:KSO131097 LCJ131095:LCK131097 LMF131095:LMG131097 LWB131095:LWC131097 MFX131095:MFY131097 MPT131095:MPU131097 MZP131095:MZQ131097 NJL131095:NJM131097 NTH131095:NTI131097 ODD131095:ODE131097 OMZ131095:ONA131097 OWV131095:OWW131097 PGR131095:PGS131097 PQN131095:PQO131097 QAJ131095:QAK131097 QKF131095:QKG131097 QUB131095:QUC131097 RDX131095:RDY131097 RNT131095:RNU131097 RXP131095:RXQ131097 SHL131095:SHM131097 SRH131095:SRI131097 TBD131095:TBE131097 TKZ131095:TLA131097 TUV131095:TUW131097 UER131095:UES131097 UON131095:UOO131097 UYJ131095:UYK131097 VIF131095:VIG131097 VSB131095:VSC131097 WBX131095:WBY131097 WLT131095:WLU131097 WVP131095:WVQ131097 H196631:I196633 JD196631:JE196633 SZ196631:TA196633 ACV196631:ACW196633 AMR196631:AMS196633 AWN196631:AWO196633 BGJ196631:BGK196633 BQF196631:BQG196633 CAB196631:CAC196633 CJX196631:CJY196633 CTT196631:CTU196633 DDP196631:DDQ196633 DNL196631:DNM196633 DXH196631:DXI196633 EHD196631:EHE196633 EQZ196631:ERA196633 FAV196631:FAW196633 FKR196631:FKS196633 FUN196631:FUO196633 GEJ196631:GEK196633 GOF196631:GOG196633 GYB196631:GYC196633 HHX196631:HHY196633 HRT196631:HRU196633 IBP196631:IBQ196633 ILL196631:ILM196633 IVH196631:IVI196633 JFD196631:JFE196633 JOZ196631:JPA196633 JYV196631:JYW196633 KIR196631:KIS196633 KSN196631:KSO196633 LCJ196631:LCK196633 LMF196631:LMG196633 LWB196631:LWC196633 MFX196631:MFY196633 MPT196631:MPU196633 MZP196631:MZQ196633 NJL196631:NJM196633 NTH196631:NTI196633 ODD196631:ODE196633 OMZ196631:ONA196633 OWV196631:OWW196633 PGR196631:PGS196633 PQN196631:PQO196633 QAJ196631:QAK196633 QKF196631:QKG196633 QUB196631:QUC196633 RDX196631:RDY196633 RNT196631:RNU196633 RXP196631:RXQ196633 SHL196631:SHM196633 SRH196631:SRI196633 TBD196631:TBE196633 TKZ196631:TLA196633 TUV196631:TUW196633 UER196631:UES196633 UON196631:UOO196633 UYJ196631:UYK196633 VIF196631:VIG196633 VSB196631:VSC196633 WBX196631:WBY196633 WLT196631:WLU196633 WVP196631:WVQ196633 H262167:I262169 JD262167:JE262169 SZ262167:TA262169 ACV262167:ACW262169 AMR262167:AMS262169 AWN262167:AWO262169 BGJ262167:BGK262169 BQF262167:BQG262169 CAB262167:CAC262169 CJX262167:CJY262169 CTT262167:CTU262169 DDP262167:DDQ262169 DNL262167:DNM262169 DXH262167:DXI262169 EHD262167:EHE262169 EQZ262167:ERA262169 FAV262167:FAW262169 FKR262167:FKS262169 FUN262167:FUO262169 GEJ262167:GEK262169 GOF262167:GOG262169 GYB262167:GYC262169 HHX262167:HHY262169 HRT262167:HRU262169 IBP262167:IBQ262169 ILL262167:ILM262169 IVH262167:IVI262169 JFD262167:JFE262169 JOZ262167:JPA262169 JYV262167:JYW262169 KIR262167:KIS262169 KSN262167:KSO262169 LCJ262167:LCK262169 LMF262167:LMG262169 LWB262167:LWC262169 MFX262167:MFY262169 MPT262167:MPU262169 MZP262167:MZQ262169 NJL262167:NJM262169 NTH262167:NTI262169 ODD262167:ODE262169 OMZ262167:ONA262169 OWV262167:OWW262169 PGR262167:PGS262169 PQN262167:PQO262169 QAJ262167:QAK262169 QKF262167:QKG262169 QUB262167:QUC262169 RDX262167:RDY262169 RNT262167:RNU262169 RXP262167:RXQ262169 SHL262167:SHM262169 SRH262167:SRI262169 TBD262167:TBE262169 TKZ262167:TLA262169 TUV262167:TUW262169 UER262167:UES262169 UON262167:UOO262169 UYJ262167:UYK262169 VIF262167:VIG262169 VSB262167:VSC262169 WBX262167:WBY262169 WLT262167:WLU262169 WVP262167:WVQ262169 H327703:I327705 JD327703:JE327705 SZ327703:TA327705 ACV327703:ACW327705 AMR327703:AMS327705 AWN327703:AWO327705 BGJ327703:BGK327705 BQF327703:BQG327705 CAB327703:CAC327705 CJX327703:CJY327705 CTT327703:CTU327705 DDP327703:DDQ327705 DNL327703:DNM327705 DXH327703:DXI327705 EHD327703:EHE327705 EQZ327703:ERA327705 FAV327703:FAW327705 FKR327703:FKS327705 FUN327703:FUO327705 GEJ327703:GEK327705 GOF327703:GOG327705 GYB327703:GYC327705 HHX327703:HHY327705 HRT327703:HRU327705 IBP327703:IBQ327705 ILL327703:ILM327705 IVH327703:IVI327705 JFD327703:JFE327705 JOZ327703:JPA327705 JYV327703:JYW327705 KIR327703:KIS327705 KSN327703:KSO327705 LCJ327703:LCK327705 LMF327703:LMG327705 LWB327703:LWC327705 MFX327703:MFY327705 MPT327703:MPU327705 MZP327703:MZQ327705 NJL327703:NJM327705 NTH327703:NTI327705 ODD327703:ODE327705 OMZ327703:ONA327705 OWV327703:OWW327705 PGR327703:PGS327705 PQN327703:PQO327705 QAJ327703:QAK327705 QKF327703:QKG327705 QUB327703:QUC327705 RDX327703:RDY327705 RNT327703:RNU327705 RXP327703:RXQ327705 SHL327703:SHM327705 SRH327703:SRI327705 TBD327703:TBE327705 TKZ327703:TLA327705 TUV327703:TUW327705 UER327703:UES327705 UON327703:UOO327705 UYJ327703:UYK327705 VIF327703:VIG327705 VSB327703:VSC327705 WBX327703:WBY327705 WLT327703:WLU327705 WVP327703:WVQ327705 H393239:I393241 JD393239:JE393241 SZ393239:TA393241 ACV393239:ACW393241 AMR393239:AMS393241 AWN393239:AWO393241 BGJ393239:BGK393241 BQF393239:BQG393241 CAB393239:CAC393241 CJX393239:CJY393241 CTT393239:CTU393241 DDP393239:DDQ393241 DNL393239:DNM393241 DXH393239:DXI393241 EHD393239:EHE393241 EQZ393239:ERA393241 FAV393239:FAW393241 FKR393239:FKS393241 FUN393239:FUO393241 GEJ393239:GEK393241 GOF393239:GOG393241 GYB393239:GYC393241 HHX393239:HHY393241 HRT393239:HRU393241 IBP393239:IBQ393241 ILL393239:ILM393241 IVH393239:IVI393241 JFD393239:JFE393241 JOZ393239:JPA393241 JYV393239:JYW393241 KIR393239:KIS393241 KSN393239:KSO393241 LCJ393239:LCK393241 LMF393239:LMG393241 LWB393239:LWC393241 MFX393239:MFY393241 MPT393239:MPU393241 MZP393239:MZQ393241 NJL393239:NJM393241 NTH393239:NTI393241 ODD393239:ODE393241 OMZ393239:ONA393241 OWV393239:OWW393241 PGR393239:PGS393241 PQN393239:PQO393241 QAJ393239:QAK393241 QKF393239:QKG393241 QUB393239:QUC393241 RDX393239:RDY393241 RNT393239:RNU393241 RXP393239:RXQ393241 SHL393239:SHM393241 SRH393239:SRI393241 TBD393239:TBE393241 TKZ393239:TLA393241 TUV393239:TUW393241 UER393239:UES393241 UON393239:UOO393241 UYJ393239:UYK393241 VIF393239:VIG393241 VSB393239:VSC393241 WBX393239:WBY393241 WLT393239:WLU393241 WVP393239:WVQ393241 H458775:I458777 JD458775:JE458777 SZ458775:TA458777 ACV458775:ACW458777 AMR458775:AMS458777 AWN458775:AWO458777 BGJ458775:BGK458777 BQF458775:BQG458777 CAB458775:CAC458777 CJX458775:CJY458777 CTT458775:CTU458777 DDP458775:DDQ458777 DNL458775:DNM458777 DXH458775:DXI458777 EHD458775:EHE458777 EQZ458775:ERA458777 FAV458775:FAW458777 FKR458775:FKS458777 FUN458775:FUO458777 GEJ458775:GEK458777 GOF458775:GOG458777 GYB458775:GYC458777 HHX458775:HHY458777 HRT458775:HRU458777 IBP458775:IBQ458777 ILL458775:ILM458777 IVH458775:IVI458777 JFD458775:JFE458777 JOZ458775:JPA458777 JYV458775:JYW458777 KIR458775:KIS458777 KSN458775:KSO458777 LCJ458775:LCK458777 LMF458775:LMG458777 LWB458775:LWC458777 MFX458775:MFY458777 MPT458775:MPU458777 MZP458775:MZQ458777 NJL458775:NJM458777 NTH458775:NTI458777 ODD458775:ODE458777 OMZ458775:ONA458777 OWV458775:OWW458777 PGR458775:PGS458777 PQN458775:PQO458777 QAJ458775:QAK458777 QKF458775:QKG458777 QUB458775:QUC458777 RDX458775:RDY458777 RNT458775:RNU458777 RXP458775:RXQ458777 SHL458775:SHM458777 SRH458775:SRI458777 TBD458775:TBE458777 TKZ458775:TLA458777 TUV458775:TUW458777 UER458775:UES458777 UON458775:UOO458777 UYJ458775:UYK458777 VIF458775:VIG458777 VSB458775:VSC458777 WBX458775:WBY458777 WLT458775:WLU458777 WVP458775:WVQ458777 H524311:I524313 JD524311:JE524313 SZ524311:TA524313 ACV524311:ACW524313 AMR524311:AMS524313 AWN524311:AWO524313 BGJ524311:BGK524313 BQF524311:BQG524313 CAB524311:CAC524313 CJX524311:CJY524313 CTT524311:CTU524313 DDP524311:DDQ524313 DNL524311:DNM524313 DXH524311:DXI524313 EHD524311:EHE524313 EQZ524311:ERA524313 FAV524311:FAW524313 FKR524311:FKS524313 FUN524311:FUO524313 GEJ524311:GEK524313 GOF524311:GOG524313 GYB524311:GYC524313 HHX524311:HHY524313 HRT524311:HRU524313 IBP524311:IBQ524313 ILL524311:ILM524313 IVH524311:IVI524313 JFD524311:JFE524313 JOZ524311:JPA524313 JYV524311:JYW524313 KIR524311:KIS524313 KSN524311:KSO524313 LCJ524311:LCK524313 LMF524311:LMG524313 LWB524311:LWC524313 MFX524311:MFY524313 MPT524311:MPU524313 MZP524311:MZQ524313 NJL524311:NJM524313 NTH524311:NTI524313 ODD524311:ODE524313 OMZ524311:ONA524313 OWV524311:OWW524313 PGR524311:PGS524313 PQN524311:PQO524313 QAJ524311:QAK524313 QKF524311:QKG524313 QUB524311:QUC524313 RDX524311:RDY524313 RNT524311:RNU524313 RXP524311:RXQ524313 SHL524311:SHM524313 SRH524311:SRI524313 TBD524311:TBE524313 TKZ524311:TLA524313 TUV524311:TUW524313 UER524311:UES524313 UON524311:UOO524313 UYJ524311:UYK524313 VIF524311:VIG524313 VSB524311:VSC524313 WBX524311:WBY524313 WLT524311:WLU524313 WVP524311:WVQ524313 H589847:I589849 JD589847:JE589849 SZ589847:TA589849 ACV589847:ACW589849 AMR589847:AMS589849 AWN589847:AWO589849 BGJ589847:BGK589849 BQF589847:BQG589849 CAB589847:CAC589849 CJX589847:CJY589849 CTT589847:CTU589849 DDP589847:DDQ589849 DNL589847:DNM589849 DXH589847:DXI589849 EHD589847:EHE589849 EQZ589847:ERA589849 FAV589847:FAW589849 FKR589847:FKS589849 FUN589847:FUO589849 GEJ589847:GEK589849 GOF589847:GOG589849 GYB589847:GYC589849 HHX589847:HHY589849 HRT589847:HRU589849 IBP589847:IBQ589849 ILL589847:ILM589849 IVH589847:IVI589849 JFD589847:JFE589849 JOZ589847:JPA589849 JYV589847:JYW589849 KIR589847:KIS589849 KSN589847:KSO589849 LCJ589847:LCK589849 LMF589847:LMG589849 LWB589847:LWC589849 MFX589847:MFY589849 MPT589847:MPU589849 MZP589847:MZQ589849 NJL589847:NJM589849 NTH589847:NTI589849 ODD589847:ODE589849 OMZ589847:ONA589849 OWV589847:OWW589849 PGR589847:PGS589849 PQN589847:PQO589849 QAJ589847:QAK589849 QKF589847:QKG589849 QUB589847:QUC589849 RDX589847:RDY589849 RNT589847:RNU589849 RXP589847:RXQ589849 SHL589847:SHM589849 SRH589847:SRI589849 TBD589847:TBE589849 TKZ589847:TLA589849 TUV589847:TUW589849 UER589847:UES589849 UON589847:UOO589849 UYJ589847:UYK589849 VIF589847:VIG589849 VSB589847:VSC589849 WBX589847:WBY589849 WLT589847:WLU589849 WVP589847:WVQ589849 H655383:I655385 JD655383:JE655385 SZ655383:TA655385 ACV655383:ACW655385 AMR655383:AMS655385 AWN655383:AWO655385 BGJ655383:BGK655385 BQF655383:BQG655385 CAB655383:CAC655385 CJX655383:CJY655385 CTT655383:CTU655385 DDP655383:DDQ655385 DNL655383:DNM655385 DXH655383:DXI655385 EHD655383:EHE655385 EQZ655383:ERA655385 FAV655383:FAW655385 FKR655383:FKS655385 FUN655383:FUO655385 GEJ655383:GEK655385 GOF655383:GOG655385 GYB655383:GYC655385 HHX655383:HHY655385 HRT655383:HRU655385 IBP655383:IBQ655385 ILL655383:ILM655385 IVH655383:IVI655385 JFD655383:JFE655385 JOZ655383:JPA655385 JYV655383:JYW655385 KIR655383:KIS655385 KSN655383:KSO655385 LCJ655383:LCK655385 LMF655383:LMG655385 LWB655383:LWC655385 MFX655383:MFY655385 MPT655383:MPU655385 MZP655383:MZQ655385 NJL655383:NJM655385 NTH655383:NTI655385 ODD655383:ODE655385 OMZ655383:ONA655385 OWV655383:OWW655385 PGR655383:PGS655385 PQN655383:PQO655385 QAJ655383:QAK655385 QKF655383:QKG655385 QUB655383:QUC655385 RDX655383:RDY655385 RNT655383:RNU655385 RXP655383:RXQ655385 SHL655383:SHM655385 SRH655383:SRI655385 TBD655383:TBE655385 TKZ655383:TLA655385 TUV655383:TUW655385 UER655383:UES655385 UON655383:UOO655385 UYJ655383:UYK655385 VIF655383:VIG655385 VSB655383:VSC655385 WBX655383:WBY655385 WLT655383:WLU655385 WVP655383:WVQ655385 H720919:I720921 JD720919:JE720921 SZ720919:TA720921 ACV720919:ACW720921 AMR720919:AMS720921 AWN720919:AWO720921 BGJ720919:BGK720921 BQF720919:BQG720921 CAB720919:CAC720921 CJX720919:CJY720921 CTT720919:CTU720921 DDP720919:DDQ720921 DNL720919:DNM720921 DXH720919:DXI720921 EHD720919:EHE720921 EQZ720919:ERA720921 FAV720919:FAW720921 FKR720919:FKS720921 FUN720919:FUO720921 GEJ720919:GEK720921 GOF720919:GOG720921 GYB720919:GYC720921 HHX720919:HHY720921 HRT720919:HRU720921 IBP720919:IBQ720921 ILL720919:ILM720921 IVH720919:IVI720921 JFD720919:JFE720921 JOZ720919:JPA720921 JYV720919:JYW720921 KIR720919:KIS720921 KSN720919:KSO720921 LCJ720919:LCK720921 LMF720919:LMG720921 LWB720919:LWC720921 MFX720919:MFY720921 MPT720919:MPU720921 MZP720919:MZQ720921 NJL720919:NJM720921 NTH720919:NTI720921 ODD720919:ODE720921 OMZ720919:ONA720921 OWV720919:OWW720921 PGR720919:PGS720921 PQN720919:PQO720921 QAJ720919:QAK720921 QKF720919:QKG720921 QUB720919:QUC720921 RDX720919:RDY720921 RNT720919:RNU720921 RXP720919:RXQ720921 SHL720919:SHM720921 SRH720919:SRI720921 TBD720919:TBE720921 TKZ720919:TLA720921 TUV720919:TUW720921 UER720919:UES720921 UON720919:UOO720921 UYJ720919:UYK720921 VIF720919:VIG720921 VSB720919:VSC720921 WBX720919:WBY720921 WLT720919:WLU720921 WVP720919:WVQ720921 H786455:I786457 JD786455:JE786457 SZ786455:TA786457 ACV786455:ACW786457 AMR786455:AMS786457 AWN786455:AWO786457 BGJ786455:BGK786457 BQF786455:BQG786457 CAB786455:CAC786457 CJX786455:CJY786457 CTT786455:CTU786457 DDP786455:DDQ786457 DNL786455:DNM786457 DXH786455:DXI786457 EHD786455:EHE786457 EQZ786455:ERA786457 FAV786455:FAW786457 FKR786455:FKS786457 FUN786455:FUO786457 GEJ786455:GEK786457 GOF786455:GOG786457 GYB786455:GYC786457 HHX786455:HHY786457 HRT786455:HRU786457 IBP786455:IBQ786457 ILL786455:ILM786457 IVH786455:IVI786457 JFD786455:JFE786457 JOZ786455:JPA786457 JYV786455:JYW786457 KIR786455:KIS786457 KSN786455:KSO786457 LCJ786455:LCK786457 LMF786455:LMG786457 LWB786455:LWC786457 MFX786455:MFY786457 MPT786455:MPU786457 MZP786455:MZQ786457 NJL786455:NJM786457 NTH786455:NTI786457 ODD786455:ODE786457 OMZ786455:ONA786457 OWV786455:OWW786457 PGR786455:PGS786457 PQN786455:PQO786457 QAJ786455:QAK786457 QKF786455:QKG786457 QUB786455:QUC786457 RDX786455:RDY786457 RNT786455:RNU786457 RXP786455:RXQ786457 SHL786455:SHM786457 SRH786455:SRI786457 TBD786455:TBE786457 TKZ786455:TLA786457 TUV786455:TUW786457 UER786455:UES786457 UON786455:UOO786457 UYJ786455:UYK786457 VIF786455:VIG786457 VSB786455:VSC786457 WBX786455:WBY786457 WLT786455:WLU786457 WVP786455:WVQ786457 H851991:I851993 JD851991:JE851993 SZ851991:TA851993 ACV851991:ACW851993 AMR851991:AMS851993 AWN851991:AWO851993 BGJ851991:BGK851993 BQF851991:BQG851993 CAB851991:CAC851993 CJX851991:CJY851993 CTT851991:CTU851993 DDP851991:DDQ851993 DNL851991:DNM851993 DXH851991:DXI851993 EHD851991:EHE851993 EQZ851991:ERA851993 FAV851991:FAW851993 FKR851991:FKS851993 FUN851991:FUO851993 GEJ851991:GEK851993 GOF851991:GOG851993 GYB851991:GYC851993 HHX851991:HHY851993 HRT851991:HRU851993 IBP851991:IBQ851993 ILL851991:ILM851993 IVH851991:IVI851993 JFD851991:JFE851993 JOZ851991:JPA851993 JYV851991:JYW851993 KIR851991:KIS851993 KSN851991:KSO851993 LCJ851991:LCK851993 LMF851991:LMG851993 LWB851991:LWC851993 MFX851991:MFY851993 MPT851991:MPU851993 MZP851991:MZQ851993 NJL851991:NJM851993 NTH851991:NTI851993 ODD851991:ODE851993 OMZ851991:ONA851993 OWV851991:OWW851993 PGR851991:PGS851993 PQN851991:PQO851993 QAJ851991:QAK851993 QKF851991:QKG851993 QUB851991:QUC851993 RDX851991:RDY851993 RNT851991:RNU851993 RXP851991:RXQ851993 SHL851991:SHM851993 SRH851991:SRI851993 TBD851991:TBE851993 TKZ851991:TLA851993 TUV851991:TUW851993 UER851991:UES851993 UON851991:UOO851993 UYJ851991:UYK851993 VIF851991:VIG851993 VSB851991:VSC851993 WBX851991:WBY851993 WLT851991:WLU851993 WVP851991:WVQ851993 H917527:I917529 JD917527:JE917529 SZ917527:TA917529 ACV917527:ACW917529 AMR917527:AMS917529 AWN917527:AWO917529 BGJ917527:BGK917529 BQF917527:BQG917529 CAB917527:CAC917529 CJX917527:CJY917529 CTT917527:CTU917529 DDP917527:DDQ917529 DNL917527:DNM917529 DXH917527:DXI917529 EHD917527:EHE917529 EQZ917527:ERA917529 FAV917527:FAW917529 FKR917527:FKS917529 FUN917527:FUO917529 GEJ917527:GEK917529 GOF917527:GOG917529 GYB917527:GYC917529 HHX917527:HHY917529 HRT917527:HRU917529 IBP917527:IBQ917529 ILL917527:ILM917529 IVH917527:IVI917529 JFD917527:JFE917529 JOZ917527:JPA917529 JYV917527:JYW917529 KIR917527:KIS917529 KSN917527:KSO917529 LCJ917527:LCK917529 LMF917527:LMG917529 LWB917527:LWC917529 MFX917527:MFY917529 MPT917527:MPU917529 MZP917527:MZQ917529 NJL917527:NJM917529 NTH917527:NTI917529 ODD917527:ODE917529 OMZ917527:ONA917529 OWV917527:OWW917529 PGR917527:PGS917529 PQN917527:PQO917529 QAJ917527:QAK917529 QKF917527:QKG917529 QUB917527:QUC917529 RDX917527:RDY917529 RNT917527:RNU917529 RXP917527:RXQ917529 SHL917527:SHM917529 SRH917527:SRI917529 TBD917527:TBE917529 TKZ917527:TLA917529 TUV917527:TUW917529 UER917527:UES917529 UON917527:UOO917529 UYJ917527:UYK917529 VIF917527:VIG917529 VSB917527:VSC917529 WBX917527:WBY917529 WLT917527:WLU917529 WVP917527:WVQ917529 H983063:I983065 JD983063:JE983065 SZ983063:TA983065 ACV983063:ACW983065 AMR983063:AMS983065 AWN983063:AWO983065 BGJ983063:BGK983065 BQF983063:BQG983065 CAB983063:CAC983065 CJX983063:CJY983065 CTT983063:CTU983065 DDP983063:DDQ983065 DNL983063:DNM983065 DXH983063:DXI983065 EHD983063:EHE983065 EQZ983063:ERA983065 FAV983063:FAW983065 FKR983063:FKS983065 FUN983063:FUO983065 GEJ983063:GEK983065 GOF983063:GOG983065 GYB983063:GYC983065 HHX983063:HHY983065 HRT983063:HRU983065 IBP983063:IBQ983065 ILL983063:ILM983065 IVH983063:IVI983065 JFD983063:JFE983065 JOZ983063:JPA983065 JYV983063:JYW983065 KIR983063:KIS983065 KSN983063:KSO983065 LCJ983063:LCK983065 LMF983063:LMG983065 LWB983063:LWC983065 MFX983063:MFY983065 MPT983063:MPU983065 MZP983063:MZQ983065 NJL983063:NJM983065 NTH983063:NTI983065 ODD983063:ODE983065 OMZ983063:ONA983065 OWV983063:OWW983065 PGR983063:PGS983065 PQN983063:PQO983065 QAJ983063:QAK983065 QKF983063:QKG983065 QUB983063:QUC983065 RDX983063:RDY983065 RNT983063:RNU983065 RXP983063:RXQ983065 SHL983063:SHM983065 SRH983063:SRI983065 TBD983063:TBE983065 TKZ983063:TLA983065 TUV983063:TUW983065 UER983063:UES983065 UON983063:UOO983065 UYJ983063:UYK983065 VIF983063:VIG983065 VSB983063:VSC983065 WBX983063:WBY983065 WLT983063:WLU983065 WVP983063:WVQ983065">
      <formula1>"Yes,No,NA"</formula1>
    </dataValidation>
    <dataValidation type="list" allowBlank="1" showInputMessage="1" showErrorMessage="1" sqref="H27 JD27 SZ27 ACV27 AMR27 AWN27 BGJ27 BQF27 CAB27 CJX27 CTT27 DDP27 DNL27 DXH27 EHD27 EQZ27 FAV27 FKR27 FUN27 GEJ27 GOF27 GYB27 HHX27 HRT27 IBP27 ILL27 IVH27 JFD27 JOZ27 JYV27 KIR27 KSN27 LCJ27 LMF27 LWB27 MFX27 MPT27 MZP27 NJL27 NTH27 ODD27 OMZ27 OWV27 PGR27 PQN27 QAJ27 QKF27 QUB27 RDX27 RNT27 RXP27 SHL27 SRH27 TBD27 TKZ27 TUV27 UER27 UON27 UYJ27 VIF27 VSB27 WBX27 WLT27 WVP27 H65563 JD65563 SZ65563 ACV65563 AMR65563 AWN65563 BGJ65563 BQF65563 CAB65563 CJX65563 CTT65563 DDP65563 DNL65563 DXH65563 EHD65563 EQZ65563 FAV65563 FKR65563 FUN65563 GEJ65563 GOF65563 GYB65563 HHX65563 HRT65563 IBP65563 ILL65563 IVH65563 JFD65563 JOZ65563 JYV65563 KIR65563 KSN65563 LCJ65563 LMF65563 LWB65563 MFX65563 MPT65563 MZP65563 NJL65563 NTH65563 ODD65563 OMZ65563 OWV65563 PGR65563 PQN65563 QAJ65563 QKF65563 QUB65563 RDX65563 RNT65563 RXP65563 SHL65563 SRH65563 TBD65563 TKZ65563 TUV65563 UER65563 UON65563 UYJ65563 VIF65563 VSB65563 WBX65563 WLT65563 WVP65563 H131099 JD131099 SZ131099 ACV131099 AMR131099 AWN131099 BGJ131099 BQF131099 CAB131099 CJX131099 CTT131099 DDP131099 DNL131099 DXH131099 EHD131099 EQZ131099 FAV131099 FKR131099 FUN131099 GEJ131099 GOF131099 GYB131099 HHX131099 HRT131099 IBP131099 ILL131099 IVH131099 JFD131099 JOZ131099 JYV131099 KIR131099 KSN131099 LCJ131099 LMF131099 LWB131099 MFX131099 MPT131099 MZP131099 NJL131099 NTH131099 ODD131099 OMZ131099 OWV131099 PGR131099 PQN131099 QAJ131099 QKF131099 QUB131099 RDX131099 RNT131099 RXP131099 SHL131099 SRH131099 TBD131099 TKZ131099 TUV131099 UER131099 UON131099 UYJ131099 VIF131099 VSB131099 WBX131099 WLT131099 WVP131099 H196635 JD196635 SZ196635 ACV196635 AMR196635 AWN196635 BGJ196635 BQF196635 CAB196635 CJX196635 CTT196635 DDP196635 DNL196635 DXH196635 EHD196635 EQZ196635 FAV196635 FKR196635 FUN196635 GEJ196635 GOF196635 GYB196635 HHX196635 HRT196635 IBP196635 ILL196635 IVH196635 JFD196635 JOZ196635 JYV196635 KIR196635 KSN196635 LCJ196635 LMF196635 LWB196635 MFX196635 MPT196635 MZP196635 NJL196635 NTH196635 ODD196635 OMZ196635 OWV196635 PGR196635 PQN196635 QAJ196635 QKF196635 QUB196635 RDX196635 RNT196635 RXP196635 SHL196635 SRH196635 TBD196635 TKZ196635 TUV196635 UER196635 UON196635 UYJ196635 VIF196635 VSB196635 WBX196635 WLT196635 WVP196635 H262171 JD262171 SZ262171 ACV262171 AMR262171 AWN262171 BGJ262171 BQF262171 CAB262171 CJX262171 CTT262171 DDP262171 DNL262171 DXH262171 EHD262171 EQZ262171 FAV262171 FKR262171 FUN262171 GEJ262171 GOF262171 GYB262171 HHX262171 HRT262171 IBP262171 ILL262171 IVH262171 JFD262171 JOZ262171 JYV262171 KIR262171 KSN262171 LCJ262171 LMF262171 LWB262171 MFX262171 MPT262171 MZP262171 NJL262171 NTH262171 ODD262171 OMZ262171 OWV262171 PGR262171 PQN262171 QAJ262171 QKF262171 QUB262171 RDX262171 RNT262171 RXP262171 SHL262171 SRH262171 TBD262171 TKZ262171 TUV262171 UER262171 UON262171 UYJ262171 VIF262171 VSB262171 WBX262171 WLT262171 WVP262171 H327707 JD327707 SZ327707 ACV327707 AMR327707 AWN327707 BGJ327707 BQF327707 CAB327707 CJX327707 CTT327707 DDP327707 DNL327707 DXH327707 EHD327707 EQZ327707 FAV327707 FKR327707 FUN327707 GEJ327707 GOF327707 GYB327707 HHX327707 HRT327707 IBP327707 ILL327707 IVH327707 JFD327707 JOZ327707 JYV327707 KIR327707 KSN327707 LCJ327707 LMF327707 LWB327707 MFX327707 MPT327707 MZP327707 NJL327707 NTH327707 ODD327707 OMZ327707 OWV327707 PGR327707 PQN327707 QAJ327707 QKF327707 QUB327707 RDX327707 RNT327707 RXP327707 SHL327707 SRH327707 TBD327707 TKZ327707 TUV327707 UER327707 UON327707 UYJ327707 VIF327707 VSB327707 WBX327707 WLT327707 WVP327707 H393243 JD393243 SZ393243 ACV393243 AMR393243 AWN393243 BGJ393243 BQF393243 CAB393243 CJX393243 CTT393243 DDP393243 DNL393243 DXH393243 EHD393243 EQZ393243 FAV393243 FKR393243 FUN393243 GEJ393243 GOF393243 GYB393243 HHX393243 HRT393243 IBP393243 ILL393243 IVH393243 JFD393243 JOZ393243 JYV393243 KIR393243 KSN393243 LCJ393243 LMF393243 LWB393243 MFX393243 MPT393243 MZP393243 NJL393243 NTH393243 ODD393243 OMZ393243 OWV393243 PGR393243 PQN393243 QAJ393243 QKF393243 QUB393243 RDX393243 RNT393243 RXP393243 SHL393243 SRH393243 TBD393243 TKZ393243 TUV393243 UER393243 UON393243 UYJ393243 VIF393243 VSB393243 WBX393243 WLT393243 WVP393243 H458779 JD458779 SZ458779 ACV458779 AMR458779 AWN458779 BGJ458779 BQF458779 CAB458779 CJX458779 CTT458779 DDP458779 DNL458779 DXH458779 EHD458779 EQZ458779 FAV458779 FKR458779 FUN458779 GEJ458779 GOF458779 GYB458779 HHX458779 HRT458779 IBP458779 ILL458779 IVH458779 JFD458779 JOZ458779 JYV458779 KIR458779 KSN458779 LCJ458779 LMF458779 LWB458779 MFX458779 MPT458779 MZP458779 NJL458779 NTH458779 ODD458779 OMZ458779 OWV458779 PGR458779 PQN458779 QAJ458779 QKF458779 QUB458779 RDX458779 RNT458779 RXP458779 SHL458779 SRH458779 TBD458779 TKZ458779 TUV458779 UER458779 UON458779 UYJ458779 VIF458779 VSB458779 WBX458779 WLT458779 WVP458779 H524315 JD524315 SZ524315 ACV524315 AMR524315 AWN524315 BGJ524315 BQF524315 CAB524315 CJX524315 CTT524315 DDP524315 DNL524315 DXH524315 EHD524315 EQZ524315 FAV524315 FKR524315 FUN524315 GEJ524315 GOF524315 GYB524315 HHX524315 HRT524315 IBP524315 ILL524315 IVH524315 JFD524315 JOZ524315 JYV524315 KIR524315 KSN524315 LCJ524315 LMF524315 LWB524315 MFX524315 MPT524315 MZP524315 NJL524315 NTH524315 ODD524315 OMZ524315 OWV524315 PGR524315 PQN524315 QAJ524315 QKF524315 QUB524315 RDX524315 RNT524315 RXP524315 SHL524315 SRH524315 TBD524315 TKZ524315 TUV524315 UER524315 UON524315 UYJ524315 VIF524315 VSB524315 WBX524315 WLT524315 WVP524315 H589851 JD589851 SZ589851 ACV589851 AMR589851 AWN589851 BGJ589851 BQF589851 CAB589851 CJX589851 CTT589851 DDP589851 DNL589851 DXH589851 EHD589851 EQZ589851 FAV589851 FKR589851 FUN589851 GEJ589851 GOF589851 GYB589851 HHX589851 HRT589851 IBP589851 ILL589851 IVH589851 JFD589851 JOZ589851 JYV589851 KIR589851 KSN589851 LCJ589851 LMF589851 LWB589851 MFX589851 MPT589851 MZP589851 NJL589851 NTH589851 ODD589851 OMZ589851 OWV589851 PGR589851 PQN589851 QAJ589851 QKF589851 QUB589851 RDX589851 RNT589851 RXP589851 SHL589851 SRH589851 TBD589851 TKZ589851 TUV589851 UER589851 UON589851 UYJ589851 VIF589851 VSB589851 WBX589851 WLT589851 WVP589851 H655387 JD655387 SZ655387 ACV655387 AMR655387 AWN655387 BGJ655387 BQF655387 CAB655387 CJX655387 CTT655387 DDP655387 DNL655387 DXH655387 EHD655387 EQZ655387 FAV655387 FKR655387 FUN655387 GEJ655387 GOF655387 GYB655387 HHX655387 HRT655387 IBP655387 ILL655387 IVH655387 JFD655387 JOZ655387 JYV655387 KIR655387 KSN655387 LCJ655387 LMF655387 LWB655387 MFX655387 MPT655387 MZP655387 NJL655387 NTH655387 ODD655387 OMZ655387 OWV655387 PGR655387 PQN655387 QAJ655387 QKF655387 QUB655387 RDX655387 RNT655387 RXP655387 SHL655387 SRH655387 TBD655387 TKZ655387 TUV655387 UER655387 UON655387 UYJ655387 VIF655387 VSB655387 WBX655387 WLT655387 WVP655387 H720923 JD720923 SZ720923 ACV720923 AMR720923 AWN720923 BGJ720923 BQF720923 CAB720923 CJX720923 CTT720923 DDP720923 DNL720923 DXH720923 EHD720923 EQZ720923 FAV720923 FKR720923 FUN720923 GEJ720923 GOF720923 GYB720923 HHX720923 HRT720923 IBP720923 ILL720923 IVH720923 JFD720923 JOZ720923 JYV720923 KIR720923 KSN720923 LCJ720923 LMF720923 LWB720923 MFX720923 MPT720923 MZP720923 NJL720923 NTH720923 ODD720923 OMZ720923 OWV720923 PGR720923 PQN720923 QAJ720923 QKF720923 QUB720923 RDX720923 RNT720923 RXP720923 SHL720923 SRH720923 TBD720923 TKZ720923 TUV720923 UER720923 UON720923 UYJ720923 VIF720923 VSB720923 WBX720923 WLT720923 WVP720923 H786459 JD786459 SZ786459 ACV786459 AMR786459 AWN786459 BGJ786459 BQF786459 CAB786459 CJX786459 CTT786459 DDP786459 DNL786459 DXH786459 EHD786459 EQZ786459 FAV786459 FKR786459 FUN786459 GEJ786459 GOF786459 GYB786459 HHX786459 HRT786459 IBP786459 ILL786459 IVH786459 JFD786459 JOZ786459 JYV786459 KIR786459 KSN786459 LCJ786459 LMF786459 LWB786459 MFX786459 MPT786459 MZP786459 NJL786459 NTH786459 ODD786459 OMZ786459 OWV786459 PGR786459 PQN786459 QAJ786459 QKF786459 QUB786459 RDX786459 RNT786459 RXP786459 SHL786459 SRH786459 TBD786459 TKZ786459 TUV786459 UER786459 UON786459 UYJ786459 VIF786459 VSB786459 WBX786459 WLT786459 WVP786459 H851995 JD851995 SZ851995 ACV851995 AMR851995 AWN851995 BGJ851995 BQF851995 CAB851995 CJX851995 CTT851995 DDP851995 DNL851995 DXH851995 EHD851995 EQZ851995 FAV851995 FKR851995 FUN851995 GEJ851995 GOF851995 GYB851995 HHX851995 HRT851995 IBP851995 ILL851995 IVH851995 JFD851995 JOZ851995 JYV851995 KIR851995 KSN851995 LCJ851995 LMF851995 LWB851995 MFX851995 MPT851995 MZP851995 NJL851995 NTH851995 ODD851995 OMZ851995 OWV851995 PGR851995 PQN851995 QAJ851995 QKF851995 QUB851995 RDX851995 RNT851995 RXP851995 SHL851995 SRH851995 TBD851995 TKZ851995 TUV851995 UER851995 UON851995 UYJ851995 VIF851995 VSB851995 WBX851995 WLT851995 WVP851995 H917531 JD917531 SZ917531 ACV917531 AMR917531 AWN917531 BGJ917531 BQF917531 CAB917531 CJX917531 CTT917531 DDP917531 DNL917531 DXH917531 EHD917531 EQZ917531 FAV917531 FKR917531 FUN917531 GEJ917531 GOF917531 GYB917531 HHX917531 HRT917531 IBP917531 ILL917531 IVH917531 JFD917531 JOZ917531 JYV917531 KIR917531 KSN917531 LCJ917531 LMF917531 LWB917531 MFX917531 MPT917531 MZP917531 NJL917531 NTH917531 ODD917531 OMZ917531 OWV917531 PGR917531 PQN917531 QAJ917531 QKF917531 QUB917531 RDX917531 RNT917531 RXP917531 SHL917531 SRH917531 TBD917531 TKZ917531 TUV917531 UER917531 UON917531 UYJ917531 VIF917531 VSB917531 WBX917531 WLT917531 WVP917531 H983067 JD983067 SZ983067 ACV983067 AMR983067 AWN983067 BGJ983067 BQF983067 CAB983067 CJX983067 CTT983067 DDP983067 DNL983067 DXH983067 EHD983067 EQZ983067 FAV983067 FKR983067 FUN983067 GEJ983067 GOF983067 GYB983067 HHX983067 HRT983067 IBP983067 ILL983067 IVH983067 JFD983067 JOZ983067 JYV983067 KIR983067 KSN983067 LCJ983067 LMF983067 LWB983067 MFX983067 MPT983067 MZP983067 NJL983067 NTH983067 ODD983067 OMZ983067 OWV983067 PGR983067 PQN983067 QAJ983067 QKF983067 QUB983067 RDX983067 RNT983067 RXP983067 SHL983067 SRH983067 TBD983067 TKZ983067 TUV983067 UER983067 UON983067 UYJ983067 VIF983067 VSB983067 WBX983067 WLT983067 WVP983067">
      <formula1>$N$29:$N$32</formula1>
    </dataValidation>
  </dataValidations>
  <hyperlinks>
    <hyperlink ref="A1" location="'Table Of Contents'!A1" display="TOC"/>
  </hyperlinks>
  <pageMargins left="0.75" right="0.75" top="1" bottom="1" header="0.5" footer="0.5"/>
  <pageSetup scale="51" fitToHeight="0" orientation="portrait" r:id="rId1"/>
  <headerFooter alignWithMargins="0">
    <oddFooter>Page &amp;P of &amp;N</oddFoot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66FF33"/>
    <pageSetUpPr fitToPage="1"/>
  </sheetPr>
  <dimension ref="A1:BT170"/>
  <sheetViews>
    <sheetView showGridLines="0" view="pageBreakPreview" topLeftCell="B64" zoomScale="90" zoomScaleNormal="75" zoomScaleSheetLayoutView="90" workbookViewId="0">
      <selection activeCell="B73" sqref="B73:N73"/>
    </sheetView>
  </sheetViews>
  <sheetFormatPr defaultRowHeight="12.75"/>
  <cols>
    <col min="1" max="1" width="9.28515625" style="1324" customWidth="1"/>
    <col min="2" max="2" width="20" style="1324" customWidth="1"/>
    <col min="3" max="3" width="20.42578125" style="1324" customWidth="1"/>
    <col min="4" max="4" width="20.28515625" style="1324" customWidth="1"/>
    <col min="5" max="5" width="12.42578125" style="1324" customWidth="1"/>
    <col min="6" max="6" width="13.140625" style="1324" customWidth="1"/>
    <col min="7" max="7" width="10.140625" style="1324" customWidth="1"/>
    <col min="8" max="8" width="7.7109375" style="1324" customWidth="1"/>
    <col min="9" max="9" width="11" style="1324" customWidth="1"/>
    <col min="10" max="10" width="15" style="1324" customWidth="1"/>
    <col min="11" max="11" width="10.85546875" style="1324" customWidth="1"/>
    <col min="12" max="12" width="9.42578125" style="1324" customWidth="1"/>
    <col min="13" max="13" width="10.42578125" style="1324" customWidth="1"/>
    <col min="14" max="14" width="5.7109375" style="1324" customWidth="1"/>
    <col min="15" max="15" width="7" style="1324" customWidth="1"/>
    <col min="16" max="16" width="29.140625" style="1324" customWidth="1"/>
    <col min="17" max="21" width="9.140625" style="1324"/>
    <col min="22" max="22" width="9.140625" style="1324" hidden="1" customWidth="1"/>
    <col min="23" max="16384" width="9.140625" style="1324"/>
  </cols>
  <sheetData>
    <row r="1" spans="1:72" ht="26.25" customHeight="1">
      <c r="A1" s="1534" t="s">
        <v>1408</v>
      </c>
      <c r="B1" s="1138"/>
      <c r="C1" s="1137"/>
      <c r="D1" s="1138"/>
      <c r="E1" s="1138"/>
      <c r="F1" s="1140"/>
      <c r="G1" s="1138"/>
      <c r="H1" s="1138"/>
      <c r="I1" s="1138"/>
      <c r="J1" s="1138"/>
      <c r="K1" s="790"/>
      <c r="L1" s="790"/>
    </row>
    <row r="2" spans="1:72" ht="26.25" customHeight="1">
      <c r="B2" s="1138"/>
      <c r="C2" s="1137" t="str">
        <f>'1.1 - APPLIANCES'!C2</f>
        <v>MULTIFAMILY PERFORMANCE PROGRAM</v>
      </c>
      <c r="D2" s="1138"/>
      <c r="E2" s="1138"/>
      <c r="F2" s="1140"/>
      <c r="G2" s="1138"/>
      <c r="H2" s="1138"/>
      <c r="I2" s="1138"/>
      <c r="J2" s="1138"/>
      <c r="K2" s="790"/>
      <c r="L2" s="790"/>
    </row>
    <row r="3" spans="1:72" ht="26.25" customHeight="1">
      <c r="B3" s="1138"/>
      <c r="C3" s="1139" t="s">
        <v>368</v>
      </c>
      <c r="D3" s="1139">
        <f>'Project Info'!C3</f>
        <v>0</v>
      </c>
      <c r="E3" s="1138"/>
      <c r="F3" s="1140"/>
      <c r="G3" s="1138"/>
      <c r="H3" s="1138"/>
      <c r="I3" s="1138"/>
      <c r="J3" s="1138"/>
      <c r="K3" s="790"/>
      <c r="L3" s="790"/>
    </row>
    <row r="4" spans="1:72" ht="26.25" customHeight="1">
      <c r="A4" s="1551"/>
      <c r="B4" s="790"/>
      <c r="C4" s="1138"/>
      <c r="D4" s="1138"/>
      <c r="E4" s="1138"/>
      <c r="F4" s="1138"/>
      <c r="G4" s="1138"/>
      <c r="H4" s="1138"/>
      <c r="I4" s="1138"/>
      <c r="J4" s="1157"/>
      <c r="K4" s="1138"/>
      <c r="L4" s="1144"/>
      <c r="M4" s="1529"/>
      <c r="N4" s="1529"/>
      <c r="O4" s="795"/>
    </row>
    <row r="5" spans="1:72" s="1539" customFormat="1" ht="15.75">
      <c r="A5" s="1533"/>
      <c r="B5" s="1158" t="s">
        <v>1608</v>
      </c>
      <c r="C5" s="1159"/>
      <c r="D5" s="1160"/>
      <c r="E5" s="1159"/>
      <c r="F5" s="1159"/>
      <c r="G5" s="1159"/>
      <c r="H5" s="1159"/>
      <c r="I5" s="1159"/>
      <c r="J5" s="1159"/>
      <c r="K5" s="1159"/>
      <c r="L5" s="1161"/>
      <c r="M5" s="2721" t="s">
        <v>1411</v>
      </c>
      <c r="N5" s="2722"/>
      <c r="O5" s="2723" t="s">
        <v>1412</v>
      </c>
      <c r="P5" s="2723"/>
      <c r="Q5" s="1540"/>
      <c r="R5" s="1540"/>
      <c r="S5" s="1540"/>
      <c r="T5" s="1540"/>
      <c r="U5" s="1540"/>
      <c r="V5" s="1540"/>
      <c r="W5" s="1540"/>
      <c r="X5" s="1540"/>
      <c r="Y5" s="1540"/>
      <c r="Z5" s="1540"/>
      <c r="AA5" s="1540"/>
      <c r="AB5" s="1540"/>
      <c r="AC5" s="1540"/>
      <c r="AD5" s="1540"/>
      <c r="AE5" s="1540"/>
      <c r="AF5" s="1540"/>
      <c r="AG5" s="1540"/>
      <c r="AH5" s="1540"/>
      <c r="AI5" s="1540"/>
      <c r="AJ5" s="1540"/>
      <c r="AK5" s="1540"/>
      <c r="AL5" s="1540"/>
      <c r="AM5" s="1540"/>
      <c r="AN5" s="1540"/>
      <c r="AO5" s="1540"/>
      <c r="AP5" s="1540"/>
      <c r="AQ5" s="1540"/>
      <c r="AR5" s="1540"/>
      <c r="AS5" s="1540"/>
      <c r="AT5" s="1540"/>
      <c r="AU5" s="1540"/>
      <c r="AV5" s="1540"/>
      <c r="AW5" s="1540"/>
      <c r="AX5" s="1540"/>
      <c r="AY5" s="1540"/>
      <c r="AZ5" s="1540"/>
      <c r="BA5" s="1540"/>
      <c r="BB5" s="1540"/>
      <c r="BC5" s="1540"/>
      <c r="BD5" s="1540"/>
      <c r="BE5" s="1540"/>
      <c r="BF5" s="1540"/>
      <c r="BG5" s="1540"/>
      <c r="BH5" s="1540"/>
      <c r="BI5" s="1540"/>
      <c r="BJ5" s="1540"/>
      <c r="BK5" s="1540"/>
      <c r="BL5" s="1540"/>
      <c r="BM5" s="1540"/>
      <c r="BN5" s="1540"/>
      <c r="BO5" s="1540"/>
      <c r="BP5" s="1540"/>
      <c r="BQ5" s="1540"/>
      <c r="BR5" s="1540"/>
      <c r="BS5" s="1540"/>
      <c r="BT5" s="1540"/>
    </row>
    <row r="6" spans="1:72">
      <c r="B6" s="2724"/>
      <c r="C6" s="2725"/>
      <c r="D6" s="2726"/>
      <c r="E6" s="2726"/>
      <c r="F6" s="1144"/>
      <c r="G6" s="1144"/>
      <c r="H6" s="1144"/>
      <c r="I6" s="2714"/>
      <c r="J6" s="2714"/>
      <c r="K6" s="2816"/>
      <c r="L6" s="2816"/>
      <c r="M6" s="2727" t="s">
        <v>1413</v>
      </c>
      <c r="N6" s="2728"/>
      <c r="O6" s="2729"/>
      <c r="P6" s="2730"/>
    </row>
    <row r="7" spans="1:72">
      <c r="B7" s="2724" t="s">
        <v>1414</v>
      </c>
      <c r="C7" s="2725"/>
      <c r="D7" s="2726"/>
      <c r="E7" s="2726"/>
      <c r="F7" s="1144"/>
      <c r="G7" s="1144"/>
      <c r="H7" s="1144"/>
      <c r="I7" s="2714"/>
      <c r="J7" s="2714"/>
      <c r="K7" s="2816"/>
      <c r="L7" s="2816"/>
      <c r="M7" s="2731"/>
      <c r="N7" s="2732"/>
      <c r="O7" s="2720"/>
      <c r="P7" s="2720"/>
    </row>
    <row r="8" spans="1:72" ht="26.25" customHeight="1">
      <c r="A8" s="1528"/>
      <c r="B8" s="2717" t="s">
        <v>1443</v>
      </c>
      <c r="C8" s="2717"/>
      <c r="D8" s="2717"/>
      <c r="E8" s="2717"/>
      <c r="F8" s="2717"/>
      <c r="G8" s="2717"/>
      <c r="H8" s="2717"/>
      <c r="I8" s="2717"/>
      <c r="J8" s="2717"/>
      <c r="K8" s="2816"/>
      <c r="L8" s="2816"/>
      <c r="M8" s="2719"/>
      <c r="N8" s="2719"/>
      <c r="O8" s="2720"/>
      <c r="P8" s="2720"/>
    </row>
    <row r="9" spans="1:72" ht="26.25" customHeight="1">
      <c r="A9" s="1528"/>
      <c r="B9" s="2717" t="s">
        <v>1444</v>
      </c>
      <c r="C9" s="2717"/>
      <c r="D9" s="2717"/>
      <c r="E9" s="2717"/>
      <c r="F9" s="2717"/>
      <c r="G9" s="2717"/>
      <c r="H9" s="2717"/>
      <c r="I9" s="2717"/>
      <c r="J9" s="2717"/>
      <c r="K9" s="2816"/>
      <c r="L9" s="2816"/>
      <c r="M9" s="2718"/>
      <c r="N9" s="2718"/>
      <c r="O9" s="2715"/>
      <c r="P9" s="2715"/>
    </row>
    <row r="10" spans="1:72" ht="12.75" customHeight="1">
      <c r="A10" s="1528"/>
      <c r="B10" s="2717" t="s">
        <v>1445</v>
      </c>
      <c r="C10" s="2717"/>
      <c r="D10" s="2717"/>
      <c r="E10" s="2717"/>
      <c r="F10" s="2717"/>
      <c r="G10" s="2717"/>
      <c r="H10" s="2717"/>
      <c r="I10" s="2717"/>
      <c r="J10" s="2717"/>
      <c r="K10" s="2816"/>
      <c r="L10" s="2816"/>
      <c r="M10" s="2715"/>
      <c r="N10" s="2715"/>
      <c r="O10" s="2715"/>
      <c r="P10" s="2715"/>
      <c r="Q10" s="1528"/>
    </row>
    <row r="11" spans="1:72" ht="26.25" customHeight="1">
      <c r="A11" s="1528"/>
      <c r="B11" s="2717" t="s">
        <v>2196</v>
      </c>
      <c r="C11" s="2717"/>
      <c r="D11" s="2717"/>
      <c r="E11" s="2717"/>
      <c r="F11" s="2717"/>
      <c r="G11" s="2717"/>
      <c r="H11" s="2717"/>
      <c r="I11" s="2717"/>
      <c r="J11" s="2717"/>
      <c r="K11" s="2816"/>
      <c r="L11" s="2816"/>
      <c r="M11" s="2715"/>
      <c r="N11" s="2715"/>
      <c r="O11" s="2715"/>
      <c r="P11" s="2715"/>
      <c r="Q11" s="1528"/>
    </row>
    <row r="12" spans="1:72" ht="27" customHeight="1">
      <c r="A12" s="1528"/>
      <c r="B12" s="2673" t="s">
        <v>1446</v>
      </c>
      <c r="C12" s="2673"/>
      <c r="D12" s="2673"/>
      <c r="E12" s="2673"/>
      <c r="F12" s="2673"/>
      <c r="G12" s="2673"/>
      <c r="H12" s="2673"/>
      <c r="I12" s="2673"/>
      <c r="J12" s="2673"/>
      <c r="K12" s="2816"/>
      <c r="L12" s="2816"/>
      <c r="M12" s="2715"/>
      <c r="N12" s="2715"/>
      <c r="O12" s="2715"/>
      <c r="P12" s="2715"/>
      <c r="Q12" s="1528"/>
    </row>
    <row r="13" spans="1:72" ht="12.75" customHeight="1">
      <c r="A13" s="1528"/>
      <c r="B13" s="2711"/>
      <c r="C13" s="2712"/>
      <c r="D13" s="2713"/>
      <c r="E13" s="2713"/>
      <c r="F13" s="1144"/>
      <c r="G13" s="1144"/>
      <c r="H13" s="1144"/>
      <c r="I13" s="2714"/>
      <c r="J13" s="2714"/>
      <c r="K13" s="2816"/>
      <c r="L13" s="2816"/>
      <c r="M13" s="2715"/>
      <c r="N13" s="2715"/>
      <c r="O13" s="2715"/>
      <c r="P13" s="2715"/>
      <c r="Q13" s="1528"/>
    </row>
    <row r="14" spans="1:72">
      <c r="A14" s="1528"/>
      <c r="B14" s="1146" t="s">
        <v>1416</v>
      </c>
      <c r="C14" s="1144"/>
      <c r="D14" s="1144"/>
      <c r="E14" s="1144"/>
      <c r="F14" s="1144"/>
      <c r="G14" s="1144"/>
      <c r="H14" s="1144"/>
      <c r="I14" s="2714"/>
      <c r="J14" s="2714"/>
      <c r="K14" s="2816"/>
      <c r="L14" s="2816"/>
      <c r="M14" s="1529"/>
      <c r="N14" s="1529"/>
      <c r="O14" s="1529"/>
      <c r="P14" s="1528"/>
    </row>
    <row r="15" spans="1:72">
      <c r="A15" s="1528"/>
      <c r="B15" s="1149" t="s">
        <v>1447</v>
      </c>
      <c r="C15" s="1144"/>
      <c r="D15" s="1144"/>
      <c r="E15" s="1144"/>
      <c r="F15" s="1144"/>
      <c r="G15" s="1144"/>
      <c r="H15" s="1144"/>
      <c r="I15" s="1144"/>
      <c r="J15" s="1144"/>
      <c r="K15" s="1144"/>
      <c r="L15" s="1144"/>
      <c r="M15" s="1529"/>
      <c r="N15" s="1529"/>
      <c r="O15" s="1529"/>
      <c r="P15" s="1528"/>
    </row>
    <row r="16" spans="1:72">
      <c r="A16" s="1528"/>
      <c r="B16" s="1149" t="s">
        <v>1448</v>
      </c>
      <c r="C16" s="1144"/>
      <c r="D16" s="1144"/>
      <c r="E16" s="1144"/>
      <c r="F16" s="1144"/>
      <c r="G16" s="1144"/>
      <c r="H16" s="1144"/>
      <c r="I16" s="1144"/>
      <c r="J16" s="1144"/>
      <c r="K16" s="1144"/>
      <c r="L16" s="1144"/>
      <c r="M16" s="1529"/>
      <c r="N16" s="1529"/>
      <c r="O16" s="1529"/>
      <c r="P16" s="1528"/>
    </row>
    <row r="17" spans="1:17">
      <c r="A17" s="1528"/>
      <c r="B17" s="1144"/>
      <c r="C17" s="1144"/>
      <c r="D17" s="1144"/>
      <c r="E17" s="1144"/>
      <c r="F17" s="1144"/>
      <c r="G17" s="1144"/>
      <c r="H17" s="1144"/>
      <c r="I17" s="1144"/>
      <c r="J17" s="1144"/>
      <c r="K17" s="1144"/>
      <c r="L17" s="1144"/>
      <c r="M17" s="1529"/>
      <c r="N17" s="1529"/>
      <c r="O17" s="1529"/>
      <c r="P17" s="1528"/>
    </row>
    <row r="18" spans="1:17">
      <c r="A18" s="1528"/>
      <c r="B18" s="1148" t="s">
        <v>1420</v>
      </c>
      <c r="C18" s="1149"/>
      <c r="D18" s="1149"/>
      <c r="E18" s="1149"/>
      <c r="F18" s="1149"/>
      <c r="G18" s="1149"/>
      <c r="H18" s="1149"/>
      <c r="I18" s="1149"/>
      <c r="J18" s="1149"/>
      <c r="K18" s="1144"/>
      <c r="L18" s="1144"/>
      <c r="M18" s="1529"/>
      <c r="N18" s="1529"/>
      <c r="O18" s="1529"/>
      <c r="P18" s="1528"/>
    </row>
    <row r="19" spans="1:17">
      <c r="A19" s="1528"/>
      <c r="B19" s="1149" t="s">
        <v>1609</v>
      </c>
      <c r="C19" s="1149"/>
      <c r="D19" s="1149"/>
      <c r="E19" s="1149"/>
      <c r="F19" s="1149"/>
      <c r="G19" s="1149"/>
      <c r="H19" s="1149"/>
      <c r="I19" s="1149"/>
      <c r="J19" s="1149"/>
      <c r="K19" s="1144"/>
      <c r="L19" s="1144"/>
      <c r="M19" s="1529"/>
      <c r="N19" s="1529"/>
      <c r="O19" s="1529"/>
      <c r="P19" s="1528"/>
    </row>
    <row r="20" spans="1:17" ht="29.25" customHeight="1">
      <c r="A20" s="1528"/>
      <c r="B20" s="2671" t="s">
        <v>1610</v>
      </c>
      <c r="C20" s="2671"/>
      <c r="D20" s="2671"/>
      <c r="E20" s="2671"/>
      <c r="F20" s="2671"/>
      <c r="G20" s="2671"/>
      <c r="H20" s="2671"/>
      <c r="I20" s="2671"/>
      <c r="J20" s="2671"/>
      <c r="K20" s="1144"/>
      <c r="L20" s="1144"/>
      <c r="M20" s="1529"/>
      <c r="N20" s="1529"/>
      <c r="O20" s="1529"/>
      <c r="P20" s="1528"/>
    </row>
    <row r="21" spans="1:17" ht="27.75" customHeight="1">
      <c r="A21" s="1528"/>
      <c r="B21" s="2671" t="s">
        <v>1451</v>
      </c>
      <c r="C21" s="2671"/>
      <c r="D21" s="2671"/>
      <c r="E21" s="2671"/>
      <c r="F21" s="2671"/>
      <c r="G21" s="2671"/>
      <c r="H21" s="2671"/>
      <c r="I21" s="2671"/>
      <c r="J21" s="2671"/>
      <c r="K21" s="1144"/>
      <c r="L21" s="1144"/>
      <c r="M21" s="1529"/>
      <c r="N21" s="1529"/>
      <c r="O21" s="1529"/>
      <c r="P21" s="1528"/>
    </row>
    <row r="22" spans="1:17">
      <c r="A22" s="1528"/>
      <c r="B22" s="1149" t="s">
        <v>1611</v>
      </c>
      <c r="C22" s="1149"/>
      <c r="D22" s="1149"/>
      <c r="E22" s="1149"/>
      <c r="F22" s="1149"/>
      <c r="G22" s="1149"/>
      <c r="H22" s="1149"/>
      <c r="I22" s="1149"/>
      <c r="J22" s="1149"/>
      <c r="K22" s="1144"/>
      <c r="L22" s="1144"/>
      <c r="M22" s="1529"/>
      <c r="N22" s="1529"/>
      <c r="O22" s="1529"/>
      <c r="P22" s="1528"/>
    </row>
    <row r="23" spans="1:17">
      <c r="A23" s="1528"/>
      <c r="B23" s="2716" t="s">
        <v>2195</v>
      </c>
      <c r="C23" s="2716"/>
      <c r="D23" s="2716"/>
      <c r="E23" s="2716"/>
      <c r="F23" s="2716"/>
      <c r="G23" s="2716"/>
      <c r="H23" s="2716"/>
      <c r="I23" s="2716"/>
      <c r="J23" s="2716"/>
      <c r="K23" s="2716"/>
      <c r="L23" s="1144"/>
      <c r="M23" s="1529"/>
      <c r="N23" s="1529"/>
      <c r="O23" s="1529"/>
      <c r="P23" s="1528"/>
    </row>
    <row r="24" spans="1:17" ht="80.099999999999994" customHeight="1">
      <c r="B24" s="1162" t="s">
        <v>1453</v>
      </c>
      <c r="C24" s="1162" t="s">
        <v>1454</v>
      </c>
      <c r="D24" s="1162" t="s">
        <v>2194</v>
      </c>
      <c r="E24" s="1162" t="s">
        <v>1430</v>
      </c>
      <c r="F24" s="1367" t="s">
        <v>1428</v>
      </c>
      <c r="G24" s="1367" t="s">
        <v>1429</v>
      </c>
      <c r="H24" s="1367" t="s">
        <v>1455</v>
      </c>
      <c r="I24" s="1162" t="s">
        <v>1456</v>
      </c>
      <c r="J24" s="1162" t="s">
        <v>1457</v>
      </c>
      <c r="K24" s="1162" t="s">
        <v>2193</v>
      </c>
      <c r="L24" s="1163" t="s">
        <v>4</v>
      </c>
      <c r="M24" s="1342" t="s">
        <v>1434</v>
      </c>
      <c r="N24" s="1155" t="s">
        <v>1435</v>
      </c>
      <c r="O24" s="1155" t="s">
        <v>1436</v>
      </c>
      <c r="P24" s="1342" t="s">
        <v>1458</v>
      </c>
      <c r="Q24" s="1550"/>
    </row>
    <row r="25" spans="1:17">
      <c r="B25" s="892"/>
      <c r="C25" s="892"/>
      <c r="D25" s="893"/>
      <c r="E25" s="893"/>
      <c r="F25" s="893"/>
      <c r="G25" s="892"/>
      <c r="H25" s="1670"/>
      <c r="I25" s="1670"/>
      <c r="J25" s="894"/>
      <c r="K25" s="895"/>
      <c r="L25" s="893"/>
      <c r="M25" s="893"/>
      <c r="N25" s="896"/>
      <c r="O25" s="897"/>
      <c r="P25" s="1380"/>
    </row>
    <row r="26" spans="1:17">
      <c r="B26" s="893"/>
      <c r="C26" s="892"/>
      <c r="D26" s="893"/>
      <c r="E26" s="893"/>
      <c r="F26" s="893"/>
      <c r="G26" s="892"/>
      <c r="H26" s="1671"/>
      <c r="I26" s="1671"/>
      <c r="J26" s="894"/>
      <c r="K26" s="895"/>
      <c r="L26" s="893"/>
      <c r="M26" s="893"/>
      <c r="N26" s="896"/>
      <c r="O26" s="897"/>
      <c r="P26" s="1380"/>
    </row>
    <row r="27" spans="1:17">
      <c r="B27" s="893"/>
      <c r="C27" s="892"/>
      <c r="D27" s="893"/>
      <c r="E27" s="893"/>
      <c r="F27" s="893"/>
      <c r="G27" s="892"/>
      <c r="H27" s="1670"/>
      <c r="I27" s="1670"/>
      <c r="J27" s="894"/>
      <c r="K27" s="895"/>
      <c r="L27" s="893"/>
      <c r="M27" s="893"/>
      <c r="N27" s="896"/>
      <c r="O27" s="897"/>
      <c r="P27" s="1379"/>
    </row>
    <row r="28" spans="1:17">
      <c r="B28" s="893"/>
      <c r="C28" s="892"/>
      <c r="D28" s="893"/>
      <c r="E28" s="893"/>
      <c r="F28" s="893"/>
      <c r="G28" s="892"/>
      <c r="H28" s="1670"/>
      <c r="I28" s="1670"/>
      <c r="J28" s="893"/>
      <c r="K28" s="895"/>
      <c r="L28" s="893"/>
      <c r="M28" s="893"/>
      <c r="N28" s="896"/>
      <c r="O28" s="897"/>
      <c r="P28" s="1379"/>
    </row>
    <row r="29" spans="1:17">
      <c r="B29" s="893"/>
      <c r="C29" s="892"/>
      <c r="D29" s="893"/>
      <c r="E29" s="893"/>
      <c r="F29" s="893"/>
      <c r="G29" s="892"/>
      <c r="H29" s="1670"/>
      <c r="I29" s="1670"/>
      <c r="J29" s="893"/>
      <c r="K29" s="895"/>
      <c r="L29" s="893"/>
      <c r="M29" s="893"/>
      <c r="N29" s="896"/>
      <c r="O29" s="897"/>
      <c r="P29" s="1379"/>
    </row>
    <row r="30" spans="1:17">
      <c r="B30" s="892"/>
      <c r="C30" s="892"/>
      <c r="D30" s="893"/>
      <c r="E30" s="893"/>
      <c r="F30" s="893"/>
      <c r="G30" s="892"/>
      <c r="H30" s="1670"/>
      <c r="I30" s="1670"/>
      <c r="J30" s="893"/>
      <c r="K30" s="895"/>
      <c r="L30" s="893"/>
      <c r="M30" s="893"/>
      <c r="N30" s="896"/>
      <c r="O30" s="897"/>
      <c r="P30" s="1379"/>
    </row>
    <row r="31" spans="1:17">
      <c r="B31" s="893"/>
      <c r="C31" s="892"/>
      <c r="D31" s="893"/>
      <c r="E31" s="893"/>
      <c r="F31" s="893"/>
      <c r="G31" s="892"/>
      <c r="H31" s="1670"/>
      <c r="I31" s="1670"/>
      <c r="J31" s="893"/>
      <c r="K31" s="895"/>
      <c r="L31" s="893"/>
      <c r="M31" s="893"/>
      <c r="N31" s="896"/>
      <c r="O31" s="897"/>
      <c r="P31" s="1379"/>
    </row>
    <row r="32" spans="1:17">
      <c r="B32" s="893"/>
      <c r="C32" s="892"/>
      <c r="D32" s="893"/>
      <c r="E32" s="893"/>
      <c r="F32" s="893"/>
      <c r="G32" s="892"/>
      <c r="H32" s="1670"/>
      <c r="I32" s="1670"/>
      <c r="J32" s="893"/>
      <c r="K32" s="895"/>
      <c r="L32" s="893"/>
      <c r="M32" s="893"/>
      <c r="N32" s="896"/>
      <c r="O32" s="897"/>
      <c r="P32" s="1379"/>
    </row>
    <row r="33" spans="1:72">
      <c r="B33" s="893"/>
      <c r="C33" s="892"/>
      <c r="D33" s="893"/>
      <c r="E33" s="893"/>
      <c r="F33" s="893"/>
      <c r="G33" s="892"/>
      <c r="H33" s="1670"/>
      <c r="I33" s="1670"/>
      <c r="J33" s="893"/>
      <c r="K33" s="895"/>
      <c r="L33" s="893"/>
      <c r="M33" s="893"/>
      <c r="N33" s="896"/>
      <c r="O33" s="897"/>
      <c r="P33" s="1379"/>
    </row>
    <row r="34" spans="1:72">
      <c r="B34" s="893"/>
      <c r="C34" s="892"/>
      <c r="D34" s="893"/>
      <c r="E34" s="893"/>
      <c r="F34" s="893"/>
      <c r="G34" s="892"/>
      <c r="H34" s="1670"/>
      <c r="I34" s="1670"/>
      <c r="J34" s="893"/>
      <c r="K34" s="895"/>
      <c r="L34" s="893"/>
      <c r="M34" s="893"/>
      <c r="N34" s="896"/>
      <c r="O34" s="897"/>
      <c r="P34" s="1379"/>
    </row>
    <row r="35" spans="1:72">
      <c r="B35" s="893"/>
      <c r="C35" s="892"/>
      <c r="D35" s="893"/>
      <c r="E35" s="893"/>
      <c r="F35" s="893"/>
      <c r="G35" s="892"/>
      <c r="H35" s="1670"/>
      <c r="I35" s="1670"/>
      <c r="J35" s="893"/>
      <c r="K35" s="895"/>
      <c r="L35" s="893"/>
      <c r="M35" s="893"/>
      <c r="N35" s="896"/>
      <c r="O35" s="897"/>
      <c r="P35" s="1379"/>
    </row>
    <row r="36" spans="1:72">
      <c r="B36" s="892"/>
      <c r="C36" s="892"/>
      <c r="D36" s="893"/>
      <c r="E36" s="893"/>
      <c r="F36" s="893"/>
      <c r="G36" s="892"/>
      <c r="H36" s="1670"/>
      <c r="I36" s="1670"/>
      <c r="J36" s="893"/>
      <c r="K36" s="895"/>
      <c r="L36" s="893"/>
      <c r="M36" s="893"/>
      <c r="N36" s="896"/>
      <c r="O36" s="897"/>
      <c r="P36" s="1379"/>
    </row>
    <row r="37" spans="1:72">
      <c r="B37" s="893"/>
      <c r="C37" s="892"/>
      <c r="D37" s="893"/>
      <c r="E37" s="893"/>
      <c r="F37" s="893"/>
      <c r="G37" s="892"/>
      <c r="H37" s="1670"/>
      <c r="I37" s="1670"/>
      <c r="J37" s="893"/>
      <c r="K37" s="895"/>
      <c r="L37" s="893"/>
      <c r="M37" s="893"/>
      <c r="N37" s="896"/>
      <c r="O37" s="897"/>
      <c r="P37" s="1379"/>
    </row>
    <row r="38" spans="1:72">
      <c r="B38" s="893"/>
      <c r="C38" s="892"/>
      <c r="D38" s="893"/>
      <c r="E38" s="893"/>
      <c r="F38" s="893"/>
      <c r="G38" s="892"/>
      <c r="H38" s="1670"/>
      <c r="I38" s="1670"/>
      <c r="J38" s="893"/>
      <c r="K38" s="895"/>
      <c r="L38" s="893"/>
      <c r="M38" s="893"/>
      <c r="N38" s="896"/>
      <c r="O38" s="897"/>
      <c r="P38" s="1379"/>
    </row>
    <row r="39" spans="1:72">
      <c r="B39" s="893"/>
      <c r="C39" s="892"/>
      <c r="D39" s="893"/>
      <c r="E39" s="893"/>
      <c r="F39" s="893"/>
      <c r="G39" s="892"/>
      <c r="H39" s="1670"/>
      <c r="I39" s="1670"/>
      <c r="J39" s="893"/>
      <c r="K39" s="895"/>
      <c r="L39" s="893"/>
      <c r="M39" s="893"/>
      <c r="N39" s="896"/>
      <c r="O39" s="897"/>
      <c r="P39" s="1379"/>
    </row>
    <row r="40" spans="1:72">
      <c r="B40" s="893"/>
      <c r="C40" s="892"/>
      <c r="D40" s="893"/>
      <c r="E40" s="893"/>
      <c r="F40" s="893"/>
      <c r="G40" s="892"/>
      <c r="H40" s="1670"/>
      <c r="I40" s="1670"/>
      <c r="J40" s="893"/>
      <c r="K40" s="895"/>
      <c r="L40" s="893"/>
      <c r="M40" s="893"/>
      <c r="N40" s="896"/>
      <c r="O40" s="897"/>
      <c r="P40" s="1379"/>
    </row>
    <row r="41" spans="1:72">
      <c r="A41" s="1528"/>
      <c r="B41" s="1529"/>
      <c r="C41" s="1529"/>
      <c r="D41" s="1529"/>
      <c r="E41" s="1529"/>
      <c r="F41" s="1529"/>
      <c r="G41" s="1529"/>
      <c r="H41" s="1529"/>
      <c r="I41" s="1529"/>
      <c r="J41" s="1529"/>
      <c r="K41" s="1529"/>
      <c r="L41" s="1529"/>
      <c r="M41" s="1529"/>
      <c r="N41" s="1529"/>
      <c r="O41" s="1529"/>
      <c r="P41" s="1528"/>
    </row>
    <row r="42" spans="1:72">
      <c r="B42" s="1548"/>
      <c r="C42" s="1547"/>
      <c r="D42" s="1547"/>
      <c r="E42" s="1547"/>
      <c r="F42" s="1546"/>
      <c r="G42" s="795"/>
      <c r="H42" s="1545"/>
      <c r="I42" s="1545"/>
      <c r="J42" s="1544"/>
      <c r="K42" s="1544"/>
      <c r="L42" s="1544"/>
      <c r="M42" s="1544"/>
      <c r="N42" s="1544"/>
      <c r="O42" s="1543"/>
    </row>
    <row r="43" spans="1:72" s="1526" customFormat="1" ht="80.099999999999994" customHeight="1">
      <c r="A43" s="1527"/>
      <c r="B43" s="1342" t="s">
        <v>1439</v>
      </c>
      <c r="C43" s="1365"/>
      <c r="D43" s="1342" t="s">
        <v>1426</v>
      </c>
      <c r="E43" s="1342"/>
      <c r="F43" s="2710" t="s">
        <v>1427</v>
      </c>
      <c r="G43" s="2710"/>
      <c r="H43" s="2679" t="s">
        <v>1433</v>
      </c>
      <c r="I43" s="2708"/>
      <c r="J43" s="2708"/>
      <c r="K43" s="2708"/>
      <c r="L43" s="2709"/>
      <c r="M43" s="1342" t="s">
        <v>1434</v>
      </c>
      <c r="N43" s="1155" t="s">
        <v>1435</v>
      </c>
      <c r="O43" s="1155" t="s">
        <v>1436</v>
      </c>
      <c r="P43" s="1164" t="s">
        <v>1458</v>
      </c>
    </row>
    <row r="44" spans="1:72" ht="65.25" customHeight="1">
      <c r="A44" s="1535"/>
      <c r="B44" s="2703" t="s">
        <v>2192</v>
      </c>
      <c r="C44" s="2704"/>
      <c r="D44" s="2700" t="str">
        <f>IF('Project Info'!C4='Project Info'!P32,"Heating
"&amp;'Prescriptive Path Checklist'!C57,IF('Project Info'!C4='Project Info'!P33,"Heating
"&amp;#REF!,"&lt;Select compliance path on the 'Project Info' tab&gt;"))</f>
        <v>Heating
The heating and cooling systems must comply with ASHRAE 90.1-2010 Sections 6.4 and 6.5.</v>
      </c>
      <c r="E44" s="2701"/>
      <c r="F44" s="2706" t="s">
        <v>1459</v>
      </c>
      <c r="G44" s="2707"/>
      <c r="H44" s="2692"/>
      <c r="I44" s="2705"/>
      <c r="J44" s="2705"/>
      <c r="K44" s="2705"/>
      <c r="L44" s="2705"/>
      <c r="M44" s="1359"/>
      <c r="N44" s="899"/>
      <c r="O44" s="1383"/>
      <c r="P44" s="1383"/>
    </row>
    <row r="45" spans="1:72" s="1539" customFormat="1" ht="15.75">
      <c r="A45" s="1533"/>
      <c r="B45" s="2686"/>
      <c r="C45" s="2687"/>
      <c r="D45" s="2687"/>
      <c r="E45" s="2687"/>
      <c r="F45" s="2687"/>
      <c r="G45" s="2687"/>
      <c r="H45" s="2688"/>
      <c r="I45" s="2688"/>
      <c r="J45" s="2688"/>
      <c r="K45" s="2688"/>
      <c r="L45" s="2688"/>
      <c r="M45" s="2688"/>
      <c r="N45" s="2688"/>
      <c r="O45" s="2688"/>
      <c r="P45" s="2689"/>
      <c r="Q45" s="1540"/>
      <c r="R45" s="1540"/>
      <c r="S45" s="1540"/>
      <c r="T45" s="1540"/>
      <c r="U45" s="1540"/>
      <c r="V45" s="1540"/>
      <c r="W45" s="1540"/>
      <c r="X45" s="1540"/>
      <c r="Y45" s="1540"/>
      <c r="Z45" s="1540"/>
      <c r="AA45" s="1540"/>
      <c r="AB45" s="1540"/>
      <c r="AC45" s="1540"/>
      <c r="AD45" s="1540"/>
      <c r="AE45" s="1540"/>
      <c r="AF45" s="1540"/>
      <c r="AG45" s="1540"/>
      <c r="AH45" s="1540"/>
      <c r="AI45" s="1540"/>
      <c r="AJ45" s="1540"/>
      <c r="AK45" s="1540"/>
      <c r="AL45" s="1540"/>
      <c r="AM45" s="1540"/>
      <c r="AN45" s="1540"/>
      <c r="AO45" s="1540"/>
      <c r="AP45" s="1540"/>
      <c r="AQ45" s="1540"/>
      <c r="AR45" s="1540"/>
      <c r="AS45" s="1540"/>
      <c r="AT45" s="1540"/>
      <c r="AU45" s="1540"/>
      <c r="AV45" s="1540"/>
      <c r="AW45" s="1540"/>
      <c r="AX45" s="1540"/>
      <c r="AY45" s="1540"/>
      <c r="AZ45" s="1540"/>
      <c r="BA45" s="1540"/>
      <c r="BB45" s="1540"/>
      <c r="BC45" s="1540"/>
      <c r="BD45" s="1540"/>
      <c r="BE45" s="1540"/>
      <c r="BF45" s="1540"/>
      <c r="BG45" s="1540"/>
      <c r="BH45" s="1540"/>
      <c r="BI45" s="1540"/>
      <c r="BJ45" s="1540"/>
      <c r="BK45" s="1540"/>
      <c r="BL45" s="1540"/>
      <c r="BM45" s="1540"/>
      <c r="BN45" s="1540"/>
      <c r="BO45" s="1540"/>
      <c r="BP45" s="1540"/>
      <c r="BQ45" s="1540"/>
      <c r="BR45" s="1540"/>
      <c r="BS45" s="1540"/>
      <c r="BT45" s="1540"/>
    </row>
    <row r="46" spans="1:72" ht="253.5" customHeight="1">
      <c r="A46" s="1535"/>
      <c r="B46" s="2693" t="s">
        <v>1612</v>
      </c>
      <c r="C46" s="2694"/>
      <c r="D46" s="2700" t="str">
        <f>IF('Project Info'!C4='Project Info'!P32,'Prescriptive Path Checklist'!C62,IF('Project Info'!C4='Project Info'!P33,#REF!,"&lt;Select compliance path on the 'Project Info' tab&gt;"))</f>
        <v>Load sizing calculations must reflect the design; installed capacity cannot exceed design by more than 20%, except when smaller sizes are not available.
Heating loads shall be calculated, equipment capacity shall be selected, and duct systems shall be sized according to the latest editions of ACCA Manual J, S, &amp; D, respectively, ASHRAE 2009 Handbook of Fundamentals, or a substantively equivalent procedure. Indoor temperatures shall be 70°F for heating, outdoor temperatures shall be the 99.0% design temperature, as published by the ASHRAE Handbook of Fundamentals.</v>
      </c>
      <c r="E46" s="2701"/>
      <c r="F46" s="2700">
        <f>ERMs!B36</f>
        <v>0</v>
      </c>
      <c r="G46" s="2702"/>
      <c r="H46" s="2692"/>
      <c r="I46" s="2685"/>
      <c r="J46" s="2685"/>
      <c r="K46" s="2685"/>
      <c r="L46" s="2685"/>
      <c r="M46" s="1368"/>
      <c r="N46" s="1388"/>
      <c r="O46" s="1383"/>
      <c r="P46" s="1383"/>
    </row>
    <row r="47" spans="1:72" ht="348" customHeight="1">
      <c r="A47" s="1669"/>
      <c r="B47" s="2807" t="s">
        <v>2554</v>
      </c>
      <c r="C47" s="2808"/>
      <c r="D47" s="2700" t="str">
        <f>IF('Project Info'!C4='Project Info'!P32,'Prescriptive Path Checklist'!C60&amp;"
"&amp;'Prescriptive Path Checklist'!C63,IF('Project Info'!C4='Project Info'!P33,#REF!,"&lt;Select compliance path on the 'Project Info' tab&gt;"))</f>
        <v>Heating equipment shall be ENERGY STAR certified, where applicable. Atmospherically vented gas furnaces and boilers shall not be specified. 
Based on the climate zone, the specified heating equipment meets the Prescriptive requirements for efficiency. If ENERGY STAR certification is required, it must be verified through the ENERGY STAR website.</v>
      </c>
      <c r="E47" s="2701"/>
      <c r="F47" s="2700">
        <f>ERMs!B34</f>
        <v>0</v>
      </c>
      <c r="G47" s="2702"/>
      <c r="H47" s="2692"/>
      <c r="I47" s="2685"/>
      <c r="J47" s="2685"/>
      <c r="K47" s="2685"/>
      <c r="L47" s="2685"/>
      <c r="M47" s="1368"/>
      <c r="N47" s="899"/>
      <c r="O47" s="1383"/>
      <c r="P47" s="1383"/>
    </row>
    <row r="48" spans="1:72" ht="216" customHeight="1">
      <c r="A48" s="1668"/>
      <c r="B48" s="2817" t="s">
        <v>2191</v>
      </c>
      <c r="C48" s="2818"/>
      <c r="D48" s="2700" t="str">
        <f>IF('Project Info'!C4='Project Info'!P32,'Prescriptive Path Checklist'!C61,IF('Project Info'!C4='Project Info'!P33,#REF!,"&lt;Select compliance path on the 'Project Info' tab&gt;"))</f>
        <v>Electric resistance space heating not permitted in any space.  
If the prescriptive Heating Season Performance Factors are met for air-source heat pumps, electric resistance back-up heating is allowed, if programmable thermostats with adaptive recovery technology are installed.</v>
      </c>
      <c r="E48" s="2701"/>
      <c r="F48" s="2700">
        <f>ERMs!B35</f>
        <v>0</v>
      </c>
      <c r="G48" s="2702"/>
      <c r="H48" s="2692"/>
      <c r="I48" s="2685"/>
      <c r="J48" s="2685"/>
      <c r="K48" s="2685"/>
      <c r="L48" s="2685"/>
      <c r="M48" s="1368"/>
      <c r="N48" s="1388"/>
      <c r="O48" s="1383"/>
      <c r="P48" s="1383"/>
    </row>
    <row r="49" spans="1:72" ht="94.5" customHeight="1">
      <c r="A49" s="1535"/>
      <c r="B49" s="2805" t="s">
        <v>1613</v>
      </c>
      <c r="C49" s="2806"/>
      <c r="D49" s="2700" t="s">
        <v>363</v>
      </c>
      <c r="E49" s="2701"/>
      <c r="F49" s="2700">
        <f>ERMs!B37</f>
        <v>0</v>
      </c>
      <c r="G49" s="2702"/>
      <c r="H49" s="2692"/>
      <c r="I49" s="2685"/>
      <c r="J49" s="2685"/>
      <c r="K49" s="2685"/>
      <c r="L49" s="2685"/>
      <c r="M49" s="1359"/>
      <c r="N49" s="1388"/>
      <c r="O49" s="1383"/>
      <c r="P49" s="1383"/>
    </row>
    <row r="50" spans="1:72" ht="167.25" customHeight="1">
      <c r="A50" s="1426"/>
      <c r="B50" s="2805" t="s">
        <v>2190</v>
      </c>
      <c r="C50" s="2806"/>
      <c r="D50" s="2700" t="s">
        <v>363</v>
      </c>
      <c r="E50" s="2701"/>
      <c r="F50" s="2700">
        <f>ERMs!B38</f>
        <v>0</v>
      </c>
      <c r="G50" s="2702"/>
      <c r="H50" s="2692"/>
      <c r="I50" s="2685"/>
      <c r="J50" s="2685"/>
      <c r="K50" s="2685"/>
      <c r="L50" s="2685"/>
      <c r="M50" s="1359"/>
      <c r="N50" s="1388"/>
      <c r="O50" s="1383"/>
      <c r="P50" s="1370"/>
    </row>
    <row r="51" spans="1:72" s="1539" customFormat="1" ht="15.75">
      <c r="A51" s="1533"/>
      <c r="B51" s="2686" t="s">
        <v>1090</v>
      </c>
      <c r="C51" s="2687"/>
      <c r="D51" s="2687"/>
      <c r="E51" s="2687"/>
      <c r="F51" s="2687"/>
      <c r="G51" s="2687"/>
      <c r="H51" s="2688"/>
      <c r="I51" s="2688"/>
      <c r="J51" s="2688"/>
      <c r="K51" s="2688"/>
      <c r="L51" s="2688"/>
      <c r="M51" s="2688"/>
      <c r="N51" s="2688"/>
      <c r="O51" s="2688"/>
      <c r="P51" s="2689"/>
      <c r="Q51" s="1540"/>
      <c r="R51" s="1540"/>
      <c r="S51" s="1540"/>
      <c r="T51" s="1540"/>
      <c r="U51" s="1540"/>
      <c r="V51" s="1540"/>
      <c r="W51" s="1540"/>
      <c r="X51" s="1540"/>
      <c r="Y51" s="1540"/>
      <c r="Z51" s="1540"/>
      <c r="AA51" s="1540"/>
      <c r="AB51" s="1540"/>
      <c r="AC51" s="1540"/>
      <c r="AD51" s="1540"/>
      <c r="AE51" s="1540"/>
      <c r="AF51" s="1540"/>
      <c r="AG51" s="1540"/>
      <c r="AH51" s="1540"/>
      <c r="AI51" s="1540"/>
      <c r="AJ51" s="1540"/>
      <c r="AK51" s="1540"/>
      <c r="AL51" s="1540"/>
      <c r="AM51" s="1540"/>
      <c r="AN51" s="1540"/>
      <c r="AO51" s="1540"/>
      <c r="AP51" s="1540"/>
      <c r="AQ51" s="1540"/>
      <c r="AR51" s="1540"/>
      <c r="AS51" s="1540"/>
      <c r="AT51" s="1540"/>
      <c r="AU51" s="1540"/>
      <c r="AV51" s="1540"/>
      <c r="AW51" s="1540"/>
      <c r="AX51" s="1540"/>
      <c r="AY51" s="1540"/>
      <c r="AZ51" s="1540"/>
      <c r="BA51" s="1540"/>
      <c r="BB51" s="1540"/>
      <c r="BC51" s="1540"/>
      <c r="BD51" s="1540"/>
      <c r="BE51" s="1540"/>
      <c r="BF51" s="1540"/>
      <c r="BG51" s="1540"/>
      <c r="BH51" s="1540"/>
      <c r="BI51" s="1540"/>
      <c r="BJ51" s="1540"/>
      <c r="BK51" s="1540"/>
      <c r="BL51" s="1540"/>
      <c r="BM51" s="1540"/>
      <c r="BN51" s="1540"/>
      <c r="BO51" s="1540"/>
      <c r="BP51" s="1540"/>
      <c r="BQ51" s="1540"/>
      <c r="BR51" s="1540"/>
      <c r="BS51" s="1540"/>
      <c r="BT51" s="1540"/>
    </row>
    <row r="52" spans="1:72" ht="59.25" customHeight="1">
      <c r="A52" s="1426"/>
      <c r="B52" s="2690" t="s">
        <v>1614</v>
      </c>
      <c r="C52" s="2691"/>
      <c r="D52" s="2691"/>
      <c r="E52" s="2691"/>
      <c r="F52" s="2691"/>
      <c r="G52" s="2691"/>
      <c r="H52" s="2692"/>
      <c r="I52" s="2685"/>
      <c r="J52" s="2685"/>
      <c r="K52" s="2685"/>
      <c r="L52" s="2685"/>
      <c r="M52" s="1359"/>
      <c r="N52" s="1388"/>
      <c r="O52" s="1383"/>
      <c r="P52" s="1383"/>
    </row>
    <row r="53" spans="1:72" ht="108" customHeight="1">
      <c r="A53" s="1538"/>
      <c r="B53" s="2690" t="s">
        <v>2555</v>
      </c>
      <c r="C53" s="2691"/>
      <c r="D53" s="2691"/>
      <c r="E53" s="2691"/>
      <c r="F53" s="2691"/>
      <c r="G53" s="2691"/>
      <c r="H53" s="2692"/>
      <c r="I53" s="2685"/>
      <c r="J53" s="2685"/>
      <c r="K53" s="2685"/>
      <c r="L53" s="2685"/>
      <c r="M53" s="1359"/>
      <c r="N53" s="1388"/>
      <c r="O53" s="1383"/>
      <c r="P53" s="1383"/>
    </row>
    <row r="54" spans="1:72" ht="104.25" customHeight="1">
      <c r="A54" s="1535"/>
      <c r="B54" s="2693" t="s">
        <v>2189</v>
      </c>
      <c r="C54" s="2694"/>
      <c r="D54" s="2694"/>
      <c r="E54" s="2694"/>
      <c r="F54" s="2694"/>
      <c r="G54" s="2694"/>
      <c r="H54" s="2692"/>
      <c r="I54" s="2685"/>
      <c r="J54" s="2685"/>
      <c r="K54" s="2685"/>
      <c r="L54" s="2685"/>
      <c r="M54" s="1359"/>
      <c r="N54" s="1388"/>
      <c r="O54" s="1383"/>
      <c r="P54" s="1383"/>
    </row>
    <row r="55" spans="1:72" ht="41.25" customHeight="1">
      <c r="A55" s="1535"/>
      <c r="B55" s="2693" t="s">
        <v>1615</v>
      </c>
      <c r="C55" s="2694"/>
      <c r="D55" s="2694"/>
      <c r="E55" s="2694"/>
      <c r="F55" s="2694"/>
      <c r="G55" s="2694"/>
      <c r="H55" s="2692"/>
      <c r="I55" s="2685"/>
      <c r="J55" s="2685"/>
      <c r="K55" s="2685"/>
      <c r="L55" s="2685"/>
      <c r="M55" s="1359"/>
      <c r="N55" s="1388"/>
      <c r="O55" s="1383"/>
      <c r="P55" s="1383"/>
    </row>
    <row r="56" spans="1:72" ht="108" customHeight="1">
      <c r="A56" s="1535"/>
      <c r="B56" s="2693" t="s">
        <v>1616</v>
      </c>
      <c r="C56" s="2694"/>
      <c r="D56" s="2694"/>
      <c r="E56" s="2694"/>
      <c r="F56" s="2694"/>
      <c r="G56" s="2694"/>
      <c r="H56" s="2692"/>
      <c r="I56" s="2685"/>
      <c r="J56" s="2685"/>
      <c r="K56" s="2685"/>
      <c r="L56" s="2685"/>
      <c r="M56" s="1359"/>
      <c r="N56" s="1388"/>
      <c r="O56" s="1383"/>
      <c r="P56" s="1383"/>
    </row>
    <row r="57" spans="1:72" ht="56.25" customHeight="1">
      <c r="B57" s="2693" t="s">
        <v>1617</v>
      </c>
      <c r="C57" s="2694"/>
      <c r="D57" s="2694"/>
      <c r="E57" s="2694"/>
      <c r="F57" s="2694"/>
      <c r="G57" s="2733"/>
      <c r="H57" s="2692"/>
      <c r="I57" s="2685"/>
      <c r="J57" s="2685"/>
      <c r="K57" s="2685"/>
      <c r="L57" s="2685"/>
      <c r="M57" s="1359"/>
      <c r="N57" s="1388"/>
      <c r="O57" s="1383"/>
      <c r="P57" s="1383"/>
    </row>
    <row r="58" spans="1:72" s="1539" customFormat="1" ht="15.75">
      <c r="A58" s="1667"/>
      <c r="B58" s="2810" t="s">
        <v>1618</v>
      </c>
      <c r="C58" s="2811"/>
      <c r="D58" s="2811"/>
      <c r="E58" s="2811"/>
      <c r="F58" s="2811"/>
      <c r="G58" s="2811"/>
      <c r="H58" s="2688"/>
      <c r="I58" s="2688"/>
      <c r="J58" s="2688"/>
      <c r="K58" s="2688"/>
      <c r="L58" s="2688"/>
      <c r="M58" s="2688"/>
      <c r="N58" s="2688"/>
      <c r="O58" s="2688"/>
      <c r="P58" s="2689"/>
      <c r="Q58" s="1540"/>
      <c r="R58" s="1540"/>
      <c r="S58" s="1540"/>
      <c r="T58" s="1540"/>
      <c r="U58" s="1540"/>
      <c r="V58" s="1540"/>
      <c r="W58" s="1540"/>
      <c r="X58" s="1540"/>
      <c r="Y58" s="1540"/>
      <c r="Z58" s="1540"/>
      <c r="AA58" s="1540"/>
      <c r="AB58" s="1540"/>
      <c r="AC58" s="1540"/>
      <c r="AD58" s="1540"/>
      <c r="AE58" s="1540"/>
      <c r="AF58" s="1540"/>
      <c r="AG58" s="1540"/>
      <c r="AH58" s="1540"/>
      <c r="AI58" s="1540"/>
      <c r="AJ58" s="1540"/>
      <c r="AK58" s="1540"/>
      <c r="AL58" s="1540"/>
      <c r="AM58" s="1540"/>
      <c r="AN58" s="1540"/>
      <c r="AO58" s="1540"/>
      <c r="AP58" s="1540"/>
      <c r="AQ58" s="1540"/>
      <c r="AR58" s="1540"/>
      <c r="AS58" s="1540"/>
      <c r="AT58" s="1540"/>
      <c r="AU58" s="1540"/>
      <c r="AV58" s="1540"/>
      <c r="AW58" s="1540"/>
      <c r="AX58" s="1540"/>
      <c r="AY58" s="1540"/>
      <c r="AZ58" s="1540"/>
      <c r="BA58" s="1540"/>
      <c r="BB58" s="1540"/>
      <c r="BC58" s="1540"/>
      <c r="BD58" s="1540"/>
      <c r="BE58" s="1540"/>
      <c r="BF58" s="1540"/>
      <c r="BG58" s="1540"/>
      <c r="BH58" s="1540"/>
      <c r="BI58" s="1540"/>
      <c r="BJ58" s="1540"/>
      <c r="BK58" s="1540"/>
      <c r="BL58" s="1540"/>
      <c r="BM58" s="1540"/>
      <c r="BN58" s="1540"/>
      <c r="BO58" s="1540"/>
      <c r="BP58" s="1540"/>
      <c r="BQ58" s="1540"/>
      <c r="BR58" s="1540"/>
      <c r="BS58" s="1540"/>
      <c r="BT58" s="1540"/>
    </row>
    <row r="59" spans="1:72" ht="62.25" customHeight="1">
      <c r="A59" s="1426"/>
      <c r="B59" s="2693" t="s">
        <v>1619</v>
      </c>
      <c r="C59" s="2694"/>
      <c r="D59" s="2694"/>
      <c r="E59" s="2694"/>
      <c r="F59" s="2694"/>
      <c r="G59" s="2733"/>
      <c r="H59" s="2692"/>
      <c r="I59" s="2685"/>
      <c r="J59" s="2685"/>
      <c r="K59" s="2685"/>
      <c r="L59" s="2685"/>
      <c r="M59" s="1359"/>
      <c r="N59" s="1388"/>
      <c r="O59" s="1383"/>
      <c r="P59" s="1383"/>
    </row>
    <row r="60" spans="1:72" ht="57" customHeight="1">
      <c r="A60" s="1426"/>
      <c r="B60" s="2693" t="s">
        <v>2188</v>
      </c>
      <c r="C60" s="2694"/>
      <c r="D60" s="2694"/>
      <c r="E60" s="2694"/>
      <c r="F60" s="2694"/>
      <c r="G60" s="2733"/>
      <c r="H60" s="2692"/>
      <c r="I60" s="2685"/>
      <c r="J60" s="2685"/>
      <c r="K60" s="2685"/>
      <c r="L60" s="2685"/>
      <c r="M60" s="1359"/>
      <c r="N60" s="1388"/>
      <c r="O60" s="1383"/>
      <c r="P60" s="1383"/>
    </row>
    <row r="61" spans="1:72" ht="42.75" customHeight="1">
      <c r="A61" s="1426"/>
      <c r="B61" s="2693" t="s">
        <v>2328</v>
      </c>
      <c r="C61" s="2694"/>
      <c r="D61" s="2694"/>
      <c r="E61" s="2694"/>
      <c r="F61" s="2694"/>
      <c r="G61" s="2812"/>
      <c r="H61" s="2692"/>
      <c r="I61" s="2685"/>
      <c r="J61" s="2685"/>
      <c r="K61" s="2685"/>
      <c r="L61" s="2685"/>
      <c r="M61" s="1359"/>
      <c r="N61" s="1388"/>
      <c r="O61" s="1383"/>
      <c r="P61" s="1383"/>
    </row>
    <row r="62" spans="1:72" ht="122.25" customHeight="1">
      <c r="A62" s="1426"/>
      <c r="B62" s="2807" t="s">
        <v>1620</v>
      </c>
      <c r="C62" s="2808"/>
      <c r="D62" s="2808"/>
      <c r="E62" s="2808"/>
      <c r="F62" s="2808"/>
      <c r="G62" s="2808"/>
      <c r="H62" s="2692"/>
      <c r="I62" s="2685"/>
      <c r="J62" s="2685"/>
      <c r="K62" s="2685"/>
      <c r="L62" s="2685"/>
      <c r="M62" s="1359"/>
      <c r="N62" s="1388"/>
      <c r="O62" s="1383"/>
      <c r="P62" s="1383"/>
    </row>
    <row r="63" spans="1:72" ht="62.25" customHeight="1">
      <c r="A63" s="1426"/>
      <c r="B63" s="2813" t="s">
        <v>2187</v>
      </c>
      <c r="C63" s="2813"/>
      <c r="D63" s="2813"/>
      <c r="E63" s="2813"/>
      <c r="F63" s="2813"/>
      <c r="G63" s="2813"/>
      <c r="H63" s="2814"/>
      <c r="I63" s="2814"/>
      <c r="J63" s="2814"/>
      <c r="K63" s="2814"/>
      <c r="L63" s="2814"/>
      <c r="M63" s="2814"/>
      <c r="N63" s="2815"/>
      <c r="O63" s="1383"/>
      <c r="P63" s="1383"/>
    </row>
    <row r="64" spans="1:72" ht="40.5" customHeight="1">
      <c r="A64" s="1426"/>
      <c r="B64" s="2693" t="s">
        <v>1621</v>
      </c>
      <c r="C64" s="2694"/>
      <c r="D64" s="2694"/>
      <c r="E64" s="2694"/>
      <c r="F64" s="2694"/>
      <c r="G64" s="2694"/>
      <c r="H64" s="2694"/>
      <c r="I64" s="2694"/>
      <c r="J64" s="2694"/>
      <c r="K64" s="2694"/>
      <c r="L64" s="2694"/>
      <c r="M64" s="2694"/>
      <c r="N64" s="2733"/>
      <c r="O64" s="1383"/>
      <c r="P64" s="1383"/>
    </row>
    <row r="65" spans="1:72" s="1539" customFormat="1" ht="15.75">
      <c r="A65" s="1533"/>
      <c r="B65" s="2686" t="s">
        <v>1116</v>
      </c>
      <c r="C65" s="2687"/>
      <c r="D65" s="2687"/>
      <c r="E65" s="2687"/>
      <c r="F65" s="2687"/>
      <c r="G65" s="2687"/>
      <c r="H65" s="2688"/>
      <c r="I65" s="2688"/>
      <c r="J65" s="2688"/>
      <c r="K65" s="2688"/>
      <c r="L65" s="2688"/>
      <c r="M65" s="2688"/>
      <c r="N65" s="2688"/>
      <c r="O65" s="2688"/>
      <c r="P65" s="2689"/>
      <c r="Q65" s="1540"/>
      <c r="R65" s="1540"/>
      <c r="S65" s="1540"/>
      <c r="T65" s="1540"/>
      <c r="U65" s="1540"/>
      <c r="V65" s="1540"/>
      <c r="W65" s="1540"/>
      <c r="X65" s="1540"/>
      <c r="Y65" s="1540"/>
      <c r="Z65" s="1540"/>
      <c r="AA65" s="1540"/>
      <c r="AB65" s="1540"/>
      <c r="AC65" s="1540"/>
      <c r="AD65" s="1540"/>
      <c r="AE65" s="1540"/>
      <c r="AF65" s="1540"/>
      <c r="AG65" s="1540"/>
      <c r="AH65" s="1540"/>
      <c r="AI65" s="1540"/>
      <c r="AJ65" s="1540"/>
      <c r="AK65" s="1540"/>
      <c r="AL65" s="1540"/>
      <c r="AM65" s="1540"/>
      <c r="AN65" s="1540"/>
      <c r="AO65" s="1540"/>
      <c r="AP65" s="1540"/>
      <c r="AQ65" s="1540"/>
      <c r="AR65" s="1540"/>
      <c r="AS65" s="1540"/>
      <c r="AT65" s="1540"/>
      <c r="AU65" s="1540"/>
      <c r="AV65" s="1540"/>
      <c r="AW65" s="1540"/>
      <c r="AX65" s="1540"/>
      <c r="AY65" s="1540"/>
      <c r="AZ65" s="1540"/>
      <c r="BA65" s="1540"/>
      <c r="BB65" s="1540"/>
      <c r="BC65" s="1540"/>
      <c r="BD65" s="1540"/>
      <c r="BE65" s="1540"/>
      <c r="BF65" s="1540"/>
      <c r="BG65" s="1540"/>
      <c r="BH65" s="1540"/>
      <c r="BI65" s="1540"/>
      <c r="BJ65" s="1540"/>
      <c r="BK65" s="1540"/>
      <c r="BL65" s="1540"/>
      <c r="BM65" s="1540"/>
      <c r="BN65" s="1540"/>
      <c r="BO65" s="1540"/>
      <c r="BP65" s="1540"/>
      <c r="BQ65" s="1540"/>
      <c r="BR65" s="1540"/>
      <c r="BS65" s="1540"/>
      <c r="BT65" s="1540"/>
    </row>
    <row r="66" spans="1:72" ht="63.75" customHeight="1">
      <c r="A66" s="1666"/>
      <c r="B66" s="2690" t="s">
        <v>1622</v>
      </c>
      <c r="C66" s="2691"/>
      <c r="D66" s="2691"/>
      <c r="E66" s="2691"/>
      <c r="F66" s="2691"/>
      <c r="G66" s="2809"/>
      <c r="H66" s="2692"/>
      <c r="I66" s="2685"/>
      <c r="J66" s="2685"/>
      <c r="K66" s="2685"/>
      <c r="L66" s="2685"/>
      <c r="M66" s="1359"/>
      <c r="N66" s="1388"/>
      <c r="O66" s="1383"/>
      <c r="P66" s="1383"/>
    </row>
    <row r="67" spans="1:72" ht="44.25" customHeight="1">
      <c r="A67" s="1542"/>
      <c r="B67" s="2690" t="s">
        <v>1623</v>
      </c>
      <c r="C67" s="2691"/>
      <c r="D67" s="2691"/>
      <c r="E67" s="2691"/>
      <c r="F67" s="2691"/>
      <c r="G67" s="2809"/>
      <c r="H67" s="2692"/>
      <c r="I67" s="2685"/>
      <c r="J67" s="2685"/>
      <c r="K67" s="2685"/>
      <c r="L67" s="2685"/>
      <c r="M67" s="1359"/>
      <c r="N67" s="1388"/>
      <c r="O67" s="1383"/>
      <c r="P67" s="1383"/>
    </row>
    <row r="68" spans="1:72" ht="189" customHeight="1">
      <c r="A68" s="1535"/>
      <c r="B68" s="2675" t="s">
        <v>2186</v>
      </c>
      <c r="C68" s="2675"/>
      <c r="D68" s="2675"/>
      <c r="E68" s="2675"/>
      <c r="F68" s="2675"/>
      <c r="G68" s="2675"/>
      <c r="H68" s="2692"/>
      <c r="I68" s="2685"/>
      <c r="J68" s="2685"/>
      <c r="K68" s="2685"/>
      <c r="L68" s="2685"/>
      <c r="M68" s="1359"/>
      <c r="N68" s="1388"/>
      <c r="O68" s="1383"/>
      <c r="P68" s="1383"/>
    </row>
    <row r="69" spans="1:72" ht="53.25" customHeight="1">
      <c r="A69" s="1426"/>
      <c r="B69" s="2693" t="s">
        <v>2185</v>
      </c>
      <c r="C69" s="2694"/>
      <c r="D69" s="2694"/>
      <c r="E69" s="2694"/>
      <c r="F69" s="2694"/>
      <c r="G69" s="2733"/>
      <c r="H69" s="2692"/>
      <c r="I69" s="2685"/>
      <c r="J69" s="2685"/>
      <c r="K69" s="2685"/>
      <c r="L69" s="2685"/>
      <c r="M69" s="1359"/>
      <c r="N69" s="1388"/>
      <c r="O69" s="930"/>
      <c r="P69" s="930"/>
    </row>
    <row r="70" spans="1:72" s="1539" customFormat="1" ht="15.75">
      <c r="A70" s="1665"/>
      <c r="B70" s="2819" t="s">
        <v>1125</v>
      </c>
      <c r="C70" s="2820"/>
      <c r="D70" s="2820"/>
      <c r="E70" s="2820"/>
      <c r="F70" s="2820"/>
      <c r="G70" s="2820"/>
      <c r="H70" s="2688"/>
      <c r="I70" s="2688"/>
      <c r="J70" s="2688"/>
      <c r="K70" s="2688"/>
      <c r="L70" s="2688"/>
      <c r="M70" s="2688"/>
      <c r="N70" s="2688"/>
      <c r="O70" s="2820"/>
      <c r="P70" s="2821"/>
      <c r="Q70" s="1540"/>
      <c r="R70" s="1540"/>
      <c r="S70" s="1540"/>
      <c r="T70" s="1540"/>
      <c r="U70" s="1540"/>
      <c r="V70" s="1540"/>
      <c r="W70" s="1540"/>
      <c r="X70" s="1540"/>
      <c r="Y70" s="1540"/>
      <c r="Z70" s="1540"/>
      <c r="AA70" s="1540"/>
      <c r="AB70" s="1540"/>
      <c r="AC70" s="1540"/>
      <c r="AD70" s="1540"/>
      <c r="AE70" s="1540"/>
      <c r="AF70" s="1540"/>
      <c r="AG70" s="1540"/>
      <c r="AH70" s="1540"/>
      <c r="AI70" s="1540"/>
      <c r="AJ70" s="1540"/>
      <c r="AK70" s="1540"/>
      <c r="AL70" s="1540"/>
      <c r="AM70" s="1540"/>
      <c r="AN70" s="1540"/>
      <c r="AO70" s="1540"/>
      <c r="AP70" s="1540"/>
      <c r="AQ70" s="1540"/>
      <c r="AR70" s="1540"/>
      <c r="AS70" s="1540"/>
      <c r="AT70" s="1540"/>
      <c r="AU70" s="1540"/>
      <c r="AV70" s="1540"/>
      <c r="AW70" s="1540"/>
      <c r="AX70" s="1540"/>
      <c r="AY70" s="1540"/>
      <c r="AZ70" s="1540"/>
      <c r="BA70" s="1540"/>
      <c r="BB70" s="1540"/>
      <c r="BC70" s="1540"/>
      <c r="BD70" s="1540"/>
      <c r="BE70" s="1540"/>
      <c r="BF70" s="1540"/>
      <c r="BG70" s="1540"/>
      <c r="BH70" s="1540"/>
      <c r="BI70" s="1540"/>
      <c r="BJ70" s="1540"/>
      <c r="BK70" s="1540"/>
      <c r="BL70" s="1540"/>
      <c r="BM70" s="1540"/>
    </row>
    <row r="71" spans="1:72" ht="50.25" customHeight="1">
      <c r="A71" s="1535"/>
      <c r="B71" s="2693" t="s">
        <v>1624</v>
      </c>
      <c r="C71" s="2694"/>
      <c r="D71" s="2694"/>
      <c r="E71" s="2694"/>
      <c r="F71" s="2694"/>
      <c r="G71" s="2733"/>
      <c r="H71" s="2692"/>
      <c r="I71" s="2705"/>
      <c r="J71" s="2705"/>
      <c r="K71" s="2705"/>
      <c r="L71" s="2705"/>
      <c r="M71" s="1359"/>
      <c r="N71" s="1388"/>
      <c r="O71" s="1383"/>
      <c r="P71" s="1383"/>
    </row>
    <row r="72" spans="1:72" ht="41.25" customHeight="1">
      <c r="B72" s="2695" t="s">
        <v>2184</v>
      </c>
      <c r="C72" s="2695"/>
      <c r="D72" s="2695"/>
      <c r="E72" s="2695"/>
      <c r="F72" s="2695"/>
      <c r="G72" s="2695"/>
      <c r="H72" s="2696"/>
      <c r="I72" s="2696"/>
      <c r="J72" s="2696"/>
      <c r="K72" s="2696"/>
      <c r="L72" s="2696"/>
      <c r="M72" s="2696"/>
      <c r="N72" s="2697"/>
      <c r="O72" s="1383"/>
      <c r="P72" s="1383"/>
    </row>
    <row r="73" spans="1:72" ht="54" customHeight="1">
      <c r="A73" s="1536"/>
      <c r="B73" s="2695" t="s">
        <v>2556</v>
      </c>
      <c r="C73" s="2695"/>
      <c r="D73" s="2695"/>
      <c r="E73" s="2695"/>
      <c r="F73" s="2695"/>
      <c r="G73" s="2695"/>
      <c r="H73" s="2695"/>
      <c r="I73" s="2695"/>
      <c r="J73" s="2695"/>
      <c r="K73" s="2695"/>
      <c r="L73" s="2695"/>
      <c r="M73" s="2695"/>
      <c r="N73" s="2698"/>
      <c r="O73" s="1383"/>
      <c r="P73" s="1383"/>
    </row>
    <row r="74" spans="1:72" ht="52.5" customHeight="1">
      <c r="A74" s="1535"/>
      <c r="B74" s="2695" t="s">
        <v>1461</v>
      </c>
      <c r="C74" s="2695"/>
      <c r="D74" s="2695"/>
      <c r="E74" s="2695"/>
      <c r="F74" s="2695"/>
      <c r="G74" s="2695"/>
      <c r="H74" s="2695"/>
      <c r="I74" s="2695"/>
      <c r="J74" s="2695"/>
      <c r="K74" s="2695"/>
      <c r="L74" s="2695"/>
      <c r="M74" s="2695"/>
      <c r="N74" s="2698"/>
      <c r="O74" s="1383"/>
      <c r="P74" s="1383"/>
    </row>
    <row r="76" spans="1:72">
      <c r="B76" s="1068" t="s">
        <v>2183</v>
      </c>
      <c r="C76" s="790"/>
      <c r="D76" s="790"/>
      <c r="E76" s="790"/>
      <c r="F76" s="790"/>
      <c r="G76" s="790"/>
      <c r="H76" s="790"/>
      <c r="I76" s="790"/>
      <c r="J76" s="790"/>
      <c r="K76" s="790"/>
    </row>
    <row r="78" spans="1:72" s="1552" customFormat="1" ht="91.5" customHeight="1">
      <c r="A78" s="1664"/>
      <c r="B78" s="1325" t="s">
        <v>1625</v>
      </c>
      <c r="C78" s="1325" t="s">
        <v>1626</v>
      </c>
      <c r="D78" s="1325" t="s">
        <v>1627</v>
      </c>
      <c r="E78" s="1325" t="s">
        <v>1628</v>
      </c>
      <c r="F78" s="1325" t="s">
        <v>1629</v>
      </c>
      <c r="G78" s="2802" t="s">
        <v>1980</v>
      </c>
      <c r="H78" s="2803"/>
      <c r="I78" s="1663" t="s">
        <v>2182</v>
      </c>
      <c r="J78" s="1663" t="s">
        <v>2181</v>
      </c>
      <c r="K78" s="1663" t="s">
        <v>2180</v>
      </c>
      <c r="L78" s="2608" t="s">
        <v>2179</v>
      </c>
      <c r="M78" s="2608"/>
      <c r="N78" s="2608" t="s">
        <v>1631</v>
      </c>
      <c r="O78" s="2608"/>
      <c r="P78" s="1373" t="s">
        <v>698</v>
      </c>
      <c r="Q78" s="1529"/>
      <c r="T78" s="1662"/>
      <c r="U78" s="1662"/>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29"/>
      <c r="BF78" s="1529"/>
      <c r="BG78" s="1529"/>
      <c r="BH78" s="1529"/>
      <c r="BI78" s="1529"/>
      <c r="BJ78" s="1529"/>
      <c r="BK78" s="1529"/>
      <c r="BL78" s="1529"/>
      <c r="BM78" s="1529"/>
      <c r="BN78" s="1529"/>
      <c r="BO78" s="1529"/>
      <c r="BP78" s="1529"/>
      <c r="BQ78" s="1529"/>
      <c r="BR78" s="1529"/>
      <c r="BS78" s="1529"/>
      <c r="BT78" s="1529"/>
    </row>
    <row r="79" spans="1:72" s="1552" customFormat="1" ht="29.25" customHeight="1">
      <c r="A79" s="1529"/>
      <c r="B79" s="1385"/>
      <c r="C79" s="1385"/>
      <c r="D79" s="1350"/>
      <c r="E79" s="1350"/>
      <c r="F79" s="1374"/>
      <c r="G79" s="2804"/>
      <c r="H79" s="2804"/>
      <c r="I79" s="1660">
        <f t="shared" ref="I79:I87" si="0">4*F79/100</f>
        <v>0</v>
      </c>
      <c r="J79" s="1659"/>
      <c r="K79" s="1660">
        <f t="shared" ref="K79:K87" si="1">8*F79/100</f>
        <v>0</v>
      </c>
      <c r="L79" s="2801"/>
      <c r="M79" s="2801"/>
      <c r="N79" s="2800" t="e">
        <f t="shared" ref="N79:N87" si="2">L79/(F79)</f>
        <v>#DIV/0!</v>
      </c>
      <c r="O79" s="2800"/>
      <c r="P79" s="1659"/>
      <c r="Q79" s="1529"/>
      <c r="T79" s="1662"/>
      <c r="U79" s="1662"/>
      <c r="V79" s="1529"/>
      <c r="W79" s="1529"/>
      <c r="X79" s="1529"/>
      <c r="Y79" s="1529"/>
      <c r="Z79" s="1529"/>
      <c r="AA79" s="1529"/>
      <c r="AB79" s="1529"/>
      <c r="AC79" s="1529"/>
      <c r="AD79" s="1529"/>
      <c r="AE79" s="1529"/>
      <c r="AF79" s="1529"/>
      <c r="AG79" s="1529"/>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29"/>
      <c r="BF79" s="1529"/>
      <c r="BG79" s="1529"/>
      <c r="BH79" s="1529"/>
      <c r="BI79" s="1529"/>
      <c r="BJ79" s="1529"/>
      <c r="BK79" s="1529"/>
      <c r="BL79" s="1529"/>
      <c r="BM79" s="1529"/>
      <c r="BN79" s="1529"/>
      <c r="BO79" s="1529"/>
      <c r="BP79" s="1529"/>
      <c r="BQ79" s="1529"/>
      <c r="BR79" s="1529"/>
      <c r="BS79" s="1529"/>
      <c r="BT79" s="1529"/>
    </row>
    <row r="80" spans="1:72" s="1552" customFormat="1" ht="29.25" customHeight="1">
      <c r="A80" s="1529"/>
      <c r="B80" s="1385"/>
      <c r="C80" s="1385"/>
      <c r="D80" s="1350"/>
      <c r="E80" s="1350"/>
      <c r="F80" s="1374"/>
      <c r="G80" s="2804"/>
      <c r="H80" s="2804"/>
      <c r="I80" s="1660">
        <f t="shared" si="0"/>
        <v>0</v>
      </c>
      <c r="J80" s="1659"/>
      <c r="K80" s="1660">
        <f t="shared" si="1"/>
        <v>0</v>
      </c>
      <c r="L80" s="2801"/>
      <c r="M80" s="2801"/>
      <c r="N80" s="2800" t="e">
        <f t="shared" si="2"/>
        <v>#DIV/0!</v>
      </c>
      <c r="O80" s="2800"/>
      <c r="P80" s="1659"/>
      <c r="Q80" s="1529"/>
      <c r="T80" s="1662"/>
      <c r="U80" s="1662"/>
      <c r="V80" s="1529"/>
      <c r="W80" s="1529"/>
      <c r="X80" s="1529"/>
      <c r="Y80" s="1529"/>
      <c r="Z80" s="1529"/>
      <c r="AA80" s="1529"/>
      <c r="AB80" s="1529"/>
      <c r="AC80" s="1529"/>
      <c r="AD80" s="1529"/>
      <c r="AE80" s="1529"/>
      <c r="AF80" s="1529"/>
      <c r="AG80" s="1529"/>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29"/>
      <c r="BF80" s="1529"/>
      <c r="BG80" s="1529"/>
      <c r="BH80" s="1529"/>
      <c r="BI80" s="1529"/>
      <c r="BJ80" s="1529"/>
      <c r="BK80" s="1529"/>
      <c r="BL80" s="1529"/>
      <c r="BM80" s="1529"/>
      <c r="BN80" s="1529"/>
      <c r="BO80" s="1529"/>
      <c r="BP80" s="1529"/>
      <c r="BQ80" s="1529"/>
      <c r="BR80" s="1529"/>
      <c r="BS80" s="1529"/>
      <c r="BT80" s="1529"/>
    </row>
    <row r="81" spans="1:72" s="1552" customFormat="1" ht="29.25" customHeight="1">
      <c r="A81" s="1529"/>
      <c r="B81" s="1385"/>
      <c r="C81" s="1385"/>
      <c r="D81" s="1350"/>
      <c r="E81" s="1350"/>
      <c r="F81" s="1374"/>
      <c r="G81" s="2804"/>
      <c r="H81" s="2804"/>
      <c r="I81" s="1660">
        <f t="shared" si="0"/>
        <v>0</v>
      </c>
      <c r="J81" s="1659"/>
      <c r="K81" s="1660">
        <f t="shared" si="1"/>
        <v>0</v>
      </c>
      <c r="L81" s="2801"/>
      <c r="M81" s="2801"/>
      <c r="N81" s="2800" t="e">
        <f t="shared" si="2"/>
        <v>#DIV/0!</v>
      </c>
      <c r="O81" s="2800"/>
      <c r="P81" s="1659"/>
      <c r="Q81" s="1529"/>
      <c r="T81" s="1662"/>
      <c r="U81" s="1662"/>
      <c r="V81" s="1529"/>
      <c r="W81" s="1529"/>
      <c r="X81" s="1529"/>
      <c r="Y81" s="1529"/>
      <c r="Z81" s="1529"/>
      <c r="AA81" s="1529"/>
      <c r="AB81" s="1529"/>
      <c r="AC81" s="1529"/>
      <c r="AD81" s="1529"/>
      <c r="AE81" s="1529"/>
      <c r="AF81" s="1529"/>
      <c r="AG81" s="1529"/>
      <c r="AH81" s="1529"/>
      <c r="AI81" s="1529"/>
      <c r="AJ81" s="1529"/>
      <c r="AK81" s="1529"/>
      <c r="AL81" s="1529"/>
      <c r="AM81" s="1529"/>
      <c r="AN81" s="1529"/>
      <c r="AO81" s="1529"/>
      <c r="AP81" s="1529"/>
      <c r="AQ81" s="1529"/>
      <c r="AR81" s="1529"/>
      <c r="AS81" s="1529"/>
      <c r="AT81" s="1529"/>
      <c r="AU81" s="1529"/>
      <c r="AV81" s="1529"/>
      <c r="AW81" s="1529"/>
      <c r="AX81" s="1529"/>
      <c r="AY81" s="1529"/>
      <c r="AZ81" s="1529"/>
      <c r="BA81" s="1529"/>
      <c r="BB81" s="1529"/>
      <c r="BC81" s="1529"/>
      <c r="BD81" s="1529"/>
      <c r="BE81" s="1529"/>
      <c r="BF81" s="1529"/>
      <c r="BG81" s="1529"/>
      <c r="BH81" s="1529"/>
      <c r="BI81" s="1529"/>
      <c r="BJ81" s="1529"/>
      <c r="BK81" s="1529"/>
      <c r="BL81" s="1529"/>
      <c r="BM81" s="1529"/>
      <c r="BN81" s="1529"/>
      <c r="BO81" s="1529"/>
      <c r="BP81" s="1529"/>
      <c r="BQ81" s="1529"/>
      <c r="BR81" s="1529"/>
      <c r="BS81" s="1529"/>
      <c r="BT81" s="1529"/>
    </row>
    <row r="82" spans="1:72" s="1661" customFormat="1" ht="29.25" customHeight="1">
      <c r="A82" s="1540"/>
      <c r="B82" s="1385"/>
      <c r="C82" s="1385"/>
      <c r="D82" s="1350"/>
      <c r="E82" s="1350"/>
      <c r="F82" s="1374"/>
      <c r="G82" s="2804"/>
      <c r="H82" s="2804"/>
      <c r="I82" s="1660">
        <f t="shared" si="0"/>
        <v>0</v>
      </c>
      <c r="J82" s="1659"/>
      <c r="K82" s="1660">
        <f t="shared" si="1"/>
        <v>0</v>
      </c>
      <c r="L82" s="2801"/>
      <c r="M82" s="2801"/>
      <c r="N82" s="2800" t="e">
        <f t="shared" si="2"/>
        <v>#DIV/0!</v>
      </c>
      <c r="O82" s="2800"/>
      <c r="P82" s="1659"/>
      <c r="Q82" s="1540"/>
      <c r="T82" s="1540"/>
      <c r="U82" s="1540"/>
      <c r="V82" s="1540"/>
      <c r="W82" s="1540"/>
      <c r="X82" s="1540"/>
      <c r="Y82" s="1540"/>
      <c r="Z82" s="1540"/>
      <c r="AA82" s="1540"/>
      <c r="AB82" s="1540"/>
      <c r="AC82" s="1540"/>
      <c r="AD82" s="1540"/>
      <c r="AE82" s="1540"/>
      <c r="AF82" s="1540"/>
      <c r="AG82" s="1540"/>
      <c r="AH82" s="1540"/>
      <c r="AI82" s="1540"/>
      <c r="AJ82" s="1540"/>
      <c r="AK82" s="1540"/>
      <c r="AL82" s="1540"/>
      <c r="AM82" s="1540"/>
      <c r="AN82" s="1540"/>
      <c r="AO82" s="1540"/>
      <c r="AP82" s="1540"/>
      <c r="AQ82" s="1540"/>
      <c r="AR82" s="1540"/>
      <c r="AS82" s="1540"/>
      <c r="AT82" s="1540"/>
      <c r="AU82" s="1540"/>
      <c r="AV82" s="1540"/>
      <c r="AW82" s="1540"/>
      <c r="AX82" s="1540"/>
      <c r="AY82" s="1540"/>
      <c r="AZ82" s="1540"/>
      <c r="BA82" s="1540"/>
      <c r="BB82" s="1540"/>
      <c r="BC82" s="1540"/>
      <c r="BD82" s="1540"/>
      <c r="BE82" s="1540"/>
      <c r="BF82" s="1540"/>
      <c r="BG82" s="1540"/>
      <c r="BH82" s="1540"/>
      <c r="BI82" s="1540"/>
      <c r="BJ82" s="1540"/>
      <c r="BK82" s="1540"/>
      <c r="BL82" s="1540"/>
      <c r="BM82" s="1540"/>
      <c r="BN82" s="1540"/>
      <c r="BO82" s="1540"/>
      <c r="BP82" s="1540"/>
      <c r="BQ82" s="1540"/>
      <c r="BR82" s="1540"/>
      <c r="BS82" s="1540"/>
      <c r="BT82" s="1540"/>
    </row>
    <row r="83" spans="1:72" ht="29.25" customHeight="1">
      <c r="A83" s="795"/>
      <c r="B83" s="1385"/>
      <c r="C83" s="1385"/>
      <c r="D83" s="1350"/>
      <c r="E83" s="1350"/>
      <c r="F83" s="1374"/>
      <c r="G83" s="2804"/>
      <c r="H83" s="2804"/>
      <c r="I83" s="1660">
        <f t="shared" si="0"/>
        <v>0</v>
      </c>
      <c r="J83" s="1659"/>
      <c r="K83" s="1660">
        <f t="shared" si="1"/>
        <v>0</v>
      </c>
      <c r="L83" s="2801"/>
      <c r="M83" s="2801"/>
      <c r="N83" s="2800" t="e">
        <f t="shared" si="2"/>
        <v>#DIV/0!</v>
      </c>
      <c r="O83" s="2800"/>
      <c r="P83" s="1659"/>
      <c r="Q83" s="795"/>
      <c r="T83" s="795"/>
      <c r="U83" s="795"/>
      <c r="V83" s="795"/>
      <c r="W83" s="795"/>
      <c r="X83" s="795"/>
      <c r="Y83" s="795"/>
      <c r="Z83" s="795"/>
      <c r="AA83" s="795"/>
      <c r="AB83" s="795"/>
      <c r="AC83" s="795"/>
      <c r="AD83" s="795"/>
      <c r="AE83" s="795"/>
      <c r="AF83" s="795"/>
      <c r="AG83" s="795"/>
      <c r="AH83" s="795"/>
      <c r="AI83" s="795"/>
      <c r="AJ83" s="795"/>
      <c r="AK83" s="795"/>
      <c r="AL83" s="795"/>
      <c r="AM83" s="795"/>
      <c r="AN83" s="795"/>
      <c r="AO83" s="795"/>
      <c r="AP83" s="795"/>
      <c r="AQ83" s="795"/>
      <c r="AR83" s="795"/>
      <c r="AS83" s="795"/>
      <c r="AT83" s="795"/>
      <c r="AU83" s="795"/>
      <c r="AV83" s="795"/>
      <c r="AW83" s="795"/>
      <c r="AX83" s="795"/>
      <c r="AY83" s="795"/>
      <c r="AZ83" s="795"/>
      <c r="BA83" s="795"/>
      <c r="BB83" s="795"/>
      <c r="BC83" s="795"/>
      <c r="BD83" s="795"/>
      <c r="BE83" s="795"/>
      <c r="BF83" s="795"/>
      <c r="BG83" s="795"/>
      <c r="BH83" s="795"/>
      <c r="BI83" s="795"/>
      <c r="BJ83" s="795"/>
      <c r="BK83" s="795"/>
      <c r="BL83" s="795"/>
      <c r="BM83" s="795"/>
      <c r="BN83" s="795"/>
      <c r="BO83" s="795"/>
      <c r="BP83" s="795"/>
      <c r="BQ83" s="795"/>
      <c r="BR83" s="795"/>
      <c r="BS83" s="795"/>
      <c r="BT83" s="795"/>
    </row>
    <row r="84" spans="1:72" ht="29.25" customHeight="1">
      <c r="A84" s="795"/>
      <c r="B84" s="1385"/>
      <c r="C84" s="1385"/>
      <c r="D84" s="1350"/>
      <c r="E84" s="1350"/>
      <c r="F84" s="1374"/>
      <c r="G84" s="2804"/>
      <c r="H84" s="2804"/>
      <c r="I84" s="1660">
        <f t="shared" si="0"/>
        <v>0</v>
      </c>
      <c r="J84" s="1659"/>
      <c r="K84" s="1660">
        <f t="shared" si="1"/>
        <v>0</v>
      </c>
      <c r="L84" s="2801"/>
      <c r="M84" s="2801"/>
      <c r="N84" s="2800" t="e">
        <f t="shared" si="2"/>
        <v>#DIV/0!</v>
      </c>
      <c r="O84" s="2800"/>
      <c r="P84" s="1659"/>
      <c r="Q84" s="795"/>
      <c r="T84" s="795"/>
      <c r="U84" s="795"/>
      <c r="V84" s="795"/>
      <c r="W84" s="795"/>
      <c r="X84" s="795"/>
      <c r="Y84" s="795"/>
      <c r="Z84" s="795"/>
      <c r="AA84" s="795"/>
      <c r="AB84" s="795"/>
      <c r="AC84" s="795"/>
      <c r="AD84" s="795"/>
      <c r="AE84" s="795"/>
      <c r="AF84" s="795"/>
      <c r="AG84" s="795"/>
      <c r="AH84" s="795"/>
      <c r="AI84" s="795"/>
      <c r="AJ84" s="795"/>
      <c r="AK84" s="795"/>
      <c r="AL84" s="795"/>
      <c r="AM84" s="795"/>
      <c r="AN84" s="795"/>
      <c r="AO84" s="795"/>
      <c r="AP84" s="795"/>
      <c r="AQ84" s="795"/>
      <c r="AR84" s="795"/>
      <c r="AS84" s="795"/>
      <c r="AT84" s="795"/>
      <c r="AU84" s="795"/>
      <c r="AV84" s="795"/>
      <c r="AW84" s="795"/>
      <c r="AX84" s="795"/>
      <c r="AY84" s="795"/>
      <c r="AZ84" s="795"/>
      <c r="BA84" s="795"/>
      <c r="BB84" s="795"/>
      <c r="BC84" s="795"/>
      <c r="BD84" s="795"/>
      <c r="BE84" s="795"/>
      <c r="BF84" s="795"/>
      <c r="BG84" s="795"/>
      <c r="BH84" s="795"/>
      <c r="BI84" s="795"/>
      <c r="BJ84" s="795"/>
      <c r="BK84" s="795"/>
      <c r="BL84" s="795"/>
      <c r="BM84" s="795"/>
      <c r="BN84" s="795"/>
      <c r="BO84" s="795"/>
      <c r="BP84" s="795"/>
      <c r="BQ84" s="795"/>
      <c r="BR84" s="795"/>
      <c r="BS84" s="795"/>
      <c r="BT84" s="795"/>
    </row>
    <row r="85" spans="1:72" ht="29.25" customHeight="1">
      <c r="A85" s="795"/>
      <c r="B85" s="1385"/>
      <c r="C85" s="1385"/>
      <c r="D85" s="1350"/>
      <c r="E85" s="1350"/>
      <c r="F85" s="1374"/>
      <c r="G85" s="2804"/>
      <c r="H85" s="2804"/>
      <c r="I85" s="1660">
        <f t="shared" si="0"/>
        <v>0</v>
      </c>
      <c r="J85" s="1659"/>
      <c r="K85" s="1660">
        <f t="shared" si="1"/>
        <v>0</v>
      </c>
      <c r="L85" s="2801"/>
      <c r="M85" s="2801"/>
      <c r="N85" s="2800" t="e">
        <f t="shared" si="2"/>
        <v>#DIV/0!</v>
      </c>
      <c r="O85" s="2800"/>
      <c r="P85" s="1659"/>
      <c r="Q85" s="795"/>
      <c r="T85" s="795"/>
      <c r="U85" s="795"/>
      <c r="V85" s="795"/>
      <c r="W85" s="795"/>
      <c r="X85" s="795"/>
      <c r="Y85" s="795"/>
      <c r="Z85" s="795"/>
      <c r="AA85" s="795"/>
      <c r="AB85" s="795"/>
      <c r="AC85" s="795"/>
      <c r="AD85" s="795"/>
      <c r="AE85" s="795"/>
      <c r="AF85" s="795"/>
      <c r="AG85" s="795"/>
      <c r="AH85" s="795"/>
      <c r="AI85" s="795"/>
      <c r="AJ85" s="795"/>
      <c r="AK85" s="795"/>
      <c r="AL85" s="795"/>
      <c r="AM85" s="795"/>
      <c r="AN85" s="795"/>
      <c r="AO85" s="795"/>
      <c r="AP85" s="795"/>
      <c r="AQ85" s="795"/>
      <c r="AR85" s="795"/>
      <c r="AS85" s="795"/>
      <c r="AT85" s="795"/>
      <c r="AU85" s="795"/>
      <c r="AV85" s="795"/>
      <c r="AW85" s="795"/>
      <c r="AX85" s="795"/>
      <c r="AY85" s="795"/>
      <c r="AZ85" s="795"/>
      <c r="BA85" s="795"/>
      <c r="BB85" s="795"/>
      <c r="BC85" s="795"/>
      <c r="BD85" s="795"/>
      <c r="BE85" s="795"/>
      <c r="BF85" s="795"/>
      <c r="BG85" s="795"/>
      <c r="BH85" s="795"/>
      <c r="BI85" s="795"/>
      <c r="BJ85" s="795"/>
      <c r="BK85" s="795"/>
      <c r="BL85" s="795"/>
      <c r="BM85" s="795"/>
      <c r="BN85" s="795"/>
      <c r="BO85" s="795"/>
      <c r="BP85" s="795"/>
      <c r="BQ85" s="795"/>
      <c r="BR85" s="795"/>
      <c r="BS85" s="795"/>
      <c r="BT85" s="795"/>
    </row>
    <row r="86" spans="1:72" ht="29.25" customHeight="1">
      <c r="A86" s="795"/>
      <c r="B86" s="1385"/>
      <c r="C86" s="1385"/>
      <c r="D86" s="1350"/>
      <c r="E86" s="1350"/>
      <c r="F86" s="1374"/>
      <c r="G86" s="2804"/>
      <c r="H86" s="2804"/>
      <c r="I86" s="1660">
        <f t="shared" si="0"/>
        <v>0</v>
      </c>
      <c r="J86" s="1659"/>
      <c r="K86" s="1660">
        <f t="shared" si="1"/>
        <v>0</v>
      </c>
      <c r="L86" s="2801"/>
      <c r="M86" s="2801"/>
      <c r="N86" s="2800" t="e">
        <f t="shared" si="2"/>
        <v>#DIV/0!</v>
      </c>
      <c r="O86" s="2800"/>
      <c r="P86" s="1659"/>
      <c r="Q86" s="795"/>
      <c r="T86" s="795"/>
      <c r="U86" s="795"/>
      <c r="V86" s="795"/>
      <c r="W86" s="795"/>
      <c r="X86" s="795"/>
      <c r="Y86" s="795"/>
      <c r="Z86" s="795"/>
      <c r="AA86" s="795"/>
      <c r="AB86" s="795"/>
      <c r="AC86" s="795"/>
      <c r="AD86" s="795"/>
      <c r="AE86" s="795"/>
      <c r="AF86" s="795"/>
      <c r="AG86" s="795"/>
      <c r="AH86" s="795"/>
      <c r="AI86" s="795"/>
      <c r="AJ86" s="795"/>
      <c r="AK86" s="795"/>
      <c r="AL86" s="795"/>
      <c r="AM86" s="795"/>
      <c r="AN86" s="795"/>
      <c r="AO86" s="795"/>
      <c r="AP86" s="795"/>
      <c r="AQ86" s="795"/>
      <c r="AR86" s="795"/>
      <c r="AS86" s="795"/>
      <c r="AT86" s="795"/>
      <c r="AU86" s="795"/>
      <c r="AV86" s="795"/>
      <c r="AW86" s="795"/>
      <c r="AX86" s="795"/>
      <c r="AY86" s="795"/>
      <c r="AZ86" s="795"/>
      <c r="BA86" s="795"/>
      <c r="BB86" s="795"/>
      <c r="BC86" s="795"/>
      <c r="BD86" s="795"/>
      <c r="BE86" s="795"/>
      <c r="BF86" s="795"/>
      <c r="BG86" s="795"/>
      <c r="BH86" s="795"/>
      <c r="BI86" s="795"/>
      <c r="BJ86" s="795"/>
      <c r="BK86" s="795"/>
      <c r="BL86" s="795"/>
      <c r="BM86" s="795"/>
      <c r="BN86" s="795"/>
      <c r="BO86" s="795"/>
      <c r="BP86" s="795"/>
      <c r="BQ86" s="795"/>
      <c r="BR86" s="795"/>
      <c r="BS86" s="795"/>
      <c r="BT86" s="795"/>
    </row>
    <row r="87" spans="1:72" ht="29.25" customHeight="1">
      <c r="A87" s="795"/>
      <c r="B87" s="1385"/>
      <c r="C87" s="1385"/>
      <c r="D87" s="1350"/>
      <c r="E87" s="1350"/>
      <c r="F87" s="1374"/>
      <c r="G87" s="2804"/>
      <c r="H87" s="2804"/>
      <c r="I87" s="1660">
        <f t="shared" si="0"/>
        <v>0</v>
      </c>
      <c r="J87" s="1659"/>
      <c r="K87" s="1660">
        <f t="shared" si="1"/>
        <v>0</v>
      </c>
      <c r="L87" s="2801"/>
      <c r="M87" s="2801"/>
      <c r="N87" s="2800" t="e">
        <f t="shared" si="2"/>
        <v>#DIV/0!</v>
      </c>
      <c r="O87" s="2800"/>
      <c r="P87" s="1659"/>
      <c r="Q87" s="795"/>
      <c r="U87" s="795"/>
      <c r="V87" s="795"/>
      <c r="W87" s="795"/>
      <c r="X87" s="795"/>
      <c r="Y87" s="795"/>
      <c r="Z87" s="795"/>
      <c r="AA87" s="795"/>
      <c r="AB87" s="795"/>
      <c r="AC87" s="795"/>
      <c r="AD87" s="795"/>
      <c r="AE87" s="795"/>
      <c r="AF87" s="795"/>
      <c r="AG87" s="795"/>
      <c r="AH87" s="795"/>
      <c r="AI87" s="795"/>
      <c r="AJ87" s="795"/>
      <c r="AK87" s="795"/>
      <c r="AL87" s="795"/>
      <c r="AM87" s="795"/>
      <c r="AN87" s="795"/>
      <c r="AO87" s="795"/>
      <c r="AP87" s="795"/>
      <c r="AQ87" s="795"/>
      <c r="AR87" s="795"/>
      <c r="AS87" s="795"/>
      <c r="AT87" s="795"/>
      <c r="AU87" s="795"/>
      <c r="AV87" s="795"/>
      <c r="AW87" s="795"/>
      <c r="AX87" s="795"/>
      <c r="AY87" s="795"/>
      <c r="AZ87" s="795"/>
      <c r="BA87" s="795"/>
      <c r="BB87" s="795"/>
      <c r="BC87" s="795"/>
      <c r="BD87" s="795"/>
      <c r="BE87" s="795"/>
      <c r="BF87" s="795"/>
      <c r="BG87" s="795"/>
      <c r="BH87" s="795"/>
      <c r="BI87" s="795"/>
      <c r="BJ87" s="795"/>
      <c r="BK87" s="795"/>
      <c r="BL87" s="795"/>
      <c r="BM87" s="795"/>
      <c r="BN87" s="795"/>
      <c r="BO87" s="795"/>
      <c r="BP87" s="795"/>
      <c r="BQ87" s="795"/>
      <c r="BR87" s="795"/>
      <c r="BS87" s="795"/>
      <c r="BT87" s="795"/>
    </row>
    <row r="90" spans="1:72">
      <c r="V90" s="1426" t="s">
        <v>362</v>
      </c>
    </row>
    <row r="91" spans="1:72">
      <c r="V91" s="1426" t="s">
        <v>364</v>
      </c>
    </row>
    <row r="92" spans="1:72">
      <c r="V92" s="1426" t="s">
        <v>363</v>
      </c>
    </row>
    <row r="170" spans="2:2" ht="18">
      <c r="B170" s="794"/>
    </row>
  </sheetData>
  <sheetProtection formatCells="0" formatColumns="0" formatRows="0" insertColumns="0" insertRows="0"/>
  <mergeCells count="138">
    <mergeCell ref="G85:H85"/>
    <mergeCell ref="G86:H86"/>
    <mergeCell ref="F46:G46"/>
    <mergeCell ref="F47:G47"/>
    <mergeCell ref="F48:G48"/>
    <mergeCell ref="F49:G49"/>
    <mergeCell ref="F50:G50"/>
    <mergeCell ref="H56:L56"/>
    <mergeCell ref="H52:L52"/>
    <mergeCell ref="B52:G52"/>
    <mergeCell ref="H53:L53"/>
    <mergeCell ref="B51:P51"/>
    <mergeCell ref="B60:G60"/>
    <mergeCell ref="B57:G57"/>
    <mergeCell ref="B56:G56"/>
    <mergeCell ref="B59:G59"/>
    <mergeCell ref="B70:P70"/>
    <mergeCell ref="B74:N74"/>
    <mergeCell ref="H69:L69"/>
    <mergeCell ref="B68:G68"/>
    <mergeCell ref="B67:G67"/>
    <mergeCell ref="B72:N72"/>
    <mergeCell ref="H48:L48"/>
    <mergeCell ref="D48:E48"/>
    <mergeCell ref="I7:J7"/>
    <mergeCell ref="I6:J6"/>
    <mergeCell ref="M7:N7"/>
    <mergeCell ref="M8:N8"/>
    <mergeCell ref="M13:N13"/>
    <mergeCell ref="B9:J9"/>
    <mergeCell ref="B10:J10"/>
    <mergeCell ref="B8:J8"/>
    <mergeCell ref="B11:J11"/>
    <mergeCell ref="K9:L9"/>
    <mergeCell ref="M11:N11"/>
    <mergeCell ref="K10:L10"/>
    <mergeCell ref="K8:L8"/>
    <mergeCell ref="B6:E6"/>
    <mergeCell ref="B7:E7"/>
    <mergeCell ref="K7:L7"/>
    <mergeCell ref="M12:N12"/>
    <mergeCell ref="B13:E13"/>
    <mergeCell ref="I13:J13"/>
    <mergeCell ref="O5:P5"/>
    <mergeCell ref="K6:L6"/>
    <mergeCell ref="O7:P7"/>
    <mergeCell ref="K11:L11"/>
    <mergeCell ref="M5:N5"/>
    <mergeCell ref="M6:N6"/>
    <mergeCell ref="O6:P6"/>
    <mergeCell ref="M9:N9"/>
    <mergeCell ref="M10:N10"/>
    <mergeCell ref="O8:P8"/>
    <mergeCell ref="O9:P9"/>
    <mergeCell ref="O10:P10"/>
    <mergeCell ref="O11:P11"/>
    <mergeCell ref="H43:L43"/>
    <mergeCell ref="F43:G43"/>
    <mergeCell ref="F44:G44"/>
    <mergeCell ref="K14:L14"/>
    <mergeCell ref="B44:C44"/>
    <mergeCell ref="D44:E44"/>
    <mergeCell ref="H46:L46"/>
    <mergeCell ref="B20:J20"/>
    <mergeCell ref="B45:P45"/>
    <mergeCell ref="B46:C46"/>
    <mergeCell ref="O12:P12"/>
    <mergeCell ref="H49:L49"/>
    <mergeCell ref="B50:C50"/>
    <mergeCell ref="B23:K23"/>
    <mergeCell ref="B66:G66"/>
    <mergeCell ref="B58:P58"/>
    <mergeCell ref="H59:L59"/>
    <mergeCell ref="B65:P65"/>
    <mergeCell ref="H61:L61"/>
    <mergeCell ref="B55:G55"/>
    <mergeCell ref="B61:G61"/>
    <mergeCell ref="H60:L60"/>
    <mergeCell ref="B63:N63"/>
    <mergeCell ref="K12:L12"/>
    <mergeCell ref="B12:J12"/>
    <mergeCell ref="B47:C47"/>
    <mergeCell ref="B48:C48"/>
    <mergeCell ref="D47:E47"/>
    <mergeCell ref="O13:P13"/>
    <mergeCell ref="I14:J14"/>
    <mergeCell ref="H44:L44"/>
    <mergeCell ref="D46:E46"/>
    <mergeCell ref="B21:J21"/>
    <mergeCell ref="K13:L13"/>
    <mergeCell ref="L85:M85"/>
    <mergeCell ref="H57:L57"/>
    <mergeCell ref="B73:N73"/>
    <mergeCell ref="B64:N64"/>
    <mergeCell ref="N83:O83"/>
    <mergeCell ref="N85:O85"/>
    <mergeCell ref="L79:M79"/>
    <mergeCell ref="N87:O87"/>
    <mergeCell ref="N80:O80"/>
    <mergeCell ref="N81:O81"/>
    <mergeCell ref="N82:O82"/>
    <mergeCell ref="L86:M86"/>
    <mergeCell ref="N86:O86"/>
    <mergeCell ref="L81:M81"/>
    <mergeCell ref="L82:M82"/>
    <mergeCell ref="L87:M87"/>
    <mergeCell ref="L80:M80"/>
    <mergeCell ref="H67:L67"/>
    <mergeCell ref="H62:L62"/>
    <mergeCell ref="B62:G62"/>
    <mergeCell ref="H66:L66"/>
    <mergeCell ref="G87:H87"/>
    <mergeCell ref="G83:H83"/>
    <mergeCell ref="G82:H82"/>
    <mergeCell ref="N79:O79"/>
    <mergeCell ref="H47:L47"/>
    <mergeCell ref="L84:M84"/>
    <mergeCell ref="L78:M78"/>
    <mergeCell ref="N78:O78"/>
    <mergeCell ref="H55:L55"/>
    <mergeCell ref="B53:G53"/>
    <mergeCell ref="H54:L54"/>
    <mergeCell ref="H68:L68"/>
    <mergeCell ref="L83:M83"/>
    <mergeCell ref="D50:E50"/>
    <mergeCell ref="G78:H78"/>
    <mergeCell ref="G81:H81"/>
    <mergeCell ref="G79:H79"/>
    <mergeCell ref="G80:H80"/>
    <mergeCell ref="G84:H84"/>
    <mergeCell ref="B54:G54"/>
    <mergeCell ref="B49:C49"/>
    <mergeCell ref="H50:L50"/>
    <mergeCell ref="D49:E49"/>
    <mergeCell ref="N84:O84"/>
    <mergeCell ref="B71:G71"/>
    <mergeCell ref="B69:G69"/>
    <mergeCell ref="H71:L71"/>
  </mergeCells>
  <conditionalFormatting sqref="N79:N87">
    <cfRule type="cellIs" dxfId="23" priority="3" stopIfTrue="1" operator="greaterThan">
      <formula>8</formula>
    </cfRule>
  </conditionalFormatting>
  <conditionalFormatting sqref="J79:J87">
    <cfRule type="expression" dxfId="22" priority="2" stopIfTrue="1">
      <formula>$I79:$I87&lt;$J79:$J87</formula>
    </cfRule>
  </conditionalFormatting>
  <conditionalFormatting sqref="L79:L87">
    <cfRule type="expression" dxfId="21" priority="1" stopIfTrue="1">
      <formula>$L79&gt;$K79</formula>
    </cfRule>
  </conditionalFormatting>
  <dataValidations count="1">
    <dataValidation type="list" allowBlank="1" showInputMessage="1" showErrorMessage="1" sqref="L25:L40 JH25:JH40 TD25:TD40 ACZ25:ACZ40 AMV25:AMV40 AWR25:AWR40 BGN25:BGN40 BQJ25:BQJ40 CAF25:CAF40 CKB25:CKB40 CTX25:CTX40 DDT25:DDT40 DNP25:DNP40 DXL25:DXL40 EHH25:EHH40 ERD25:ERD40 FAZ25:FAZ40 FKV25:FKV40 FUR25:FUR40 GEN25:GEN40 GOJ25:GOJ40 GYF25:GYF40 HIB25:HIB40 HRX25:HRX40 IBT25:IBT40 ILP25:ILP40 IVL25:IVL40 JFH25:JFH40 JPD25:JPD40 JYZ25:JYZ40 KIV25:KIV40 KSR25:KSR40 LCN25:LCN40 LMJ25:LMJ40 LWF25:LWF40 MGB25:MGB40 MPX25:MPX40 MZT25:MZT40 NJP25:NJP40 NTL25:NTL40 ODH25:ODH40 OND25:OND40 OWZ25:OWZ40 PGV25:PGV40 PQR25:PQR40 QAN25:QAN40 QKJ25:QKJ40 QUF25:QUF40 REB25:REB40 RNX25:RNX40 RXT25:RXT40 SHP25:SHP40 SRL25:SRL40 TBH25:TBH40 TLD25:TLD40 TUZ25:TUZ40 UEV25:UEV40 UOR25:UOR40 UYN25:UYN40 VIJ25:VIJ40 VSF25:VSF40 WCB25:WCB40 WLX25:WLX40 WVT25:WVT40 L65561:L65576 JH65561:JH65576 TD65561:TD65576 ACZ65561:ACZ65576 AMV65561:AMV65576 AWR65561:AWR65576 BGN65561:BGN65576 BQJ65561:BQJ65576 CAF65561:CAF65576 CKB65561:CKB65576 CTX65561:CTX65576 DDT65561:DDT65576 DNP65561:DNP65576 DXL65561:DXL65576 EHH65561:EHH65576 ERD65561:ERD65576 FAZ65561:FAZ65576 FKV65561:FKV65576 FUR65561:FUR65576 GEN65561:GEN65576 GOJ65561:GOJ65576 GYF65561:GYF65576 HIB65561:HIB65576 HRX65561:HRX65576 IBT65561:IBT65576 ILP65561:ILP65576 IVL65561:IVL65576 JFH65561:JFH65576 JPD65561:JPD65576 JYZ65561:JYZ65576 KIV65561:KIV65576 KSR65561:KSR65576 LCN65561:LCN65576 LMJ65561:LMJ65576 LWF65561:LWF65576 MGB65561:MGB65576 MPX65561:MPX65576 MZT65561:MZT65576 NJP65561:NJP65576 NTL65561:NTL65576 ODH65561:ODH65576 OND65561:OND65576 OWZ65561:OWZ65576 PGV65561:PGV65576 PQR65561:PQR65576 QAN65561:QAN65576 QKJ65561:QKJ65576 QUF65561:QUF65576 REB65561:REB65576 RNX65561:RNX65576 RXT65561:RXT65576 SHP65561:SHP65576 SRL65561:SRL65576 TBH65561:TBH65576 TLD65561:TLD65576 TUZ65561:TUZ65576 UEV65561:UEV65576 UOR65561:UOR65576 UYN65561:UYN65576 VIJ65561:VIJ65576 VSF65561:VSF65576 WCB65561:WCB65576 WLX65561:WLX65576 WVT65561:WVT65576 L131097:L131112 JH131097:JH131112 TD131097:TD131112 ACZ131097:ACZ131112 AMV131097:AMV131112 AWR131097:AWR131112 BGN131097:BGN131112 BQJ131097:BQJ131112 CAF131097:CAF131112 CKB131097:CKB131112 CTX131097:CTX131112 DDT131097:DDT131112 DNP131097:DNP131112 DXL131097:DXL131112 EHH131097:EHH131112 ERD131097:ERD131112 FAZ131097:FAZ131112 FKV131097:FKV131112 FUR131097:FUR131112 GEN131097:GEN131112 GOJ131097:GOJ131112 GYF131097:GYF131112 HIB131097:HIB131112 HRX131097:HRX131112 IBT131097:IBT131112 ILP131097:ILP131112 IVL131097:IVL131112 JFH131097:JFH131112 JPD131097:JPD131112 JYZ131097:JYZ131112 KIV131097:KIV131112 KSR131097:KSR131112 LCN131097:LCN131112 LMJ131097:LMJ131112 LWF131097:LWF131112 MGB131097:MGB131112 MPX131097:MPX131112 MZT131097:MZT131112 NJP131097:NJP131112 NTL131097:NTL131112 ODH131097:ODH131112 OND131097:OND131112 OWZ131097:OWZ131112 PGV131097:PGV131112 PQR131097:PQR131112 QAN131097:QAN131112 QKJ131097:QKJ131112 QUF131097:QUF131112 REB131097:REB131112 RNX131097:RNX131112 RXT131097:RXT131112 SHP131097:SHP131112 SRL131097:SRL131112 TBH131097:TBH131112 TLD131097:TLD131112 TUZ131097:TUZ131112 UEV131097:UEV131112 UOR131097:UOR131112 UYN131097:UYN131112 VIJ131097:VIJ131112 VSF131097:VSF131112 WCB131097:WCB131112 WLX131097:WLX131112 WVT131097:WVT131112 L196633:L196648 JH196633:JH196648 TD196633:TD196648 ACZ196633:ACZ196648 AMV196633:AMV196648 AWR196633:AWR196648 BGN196633:BGN196648 BQJ196633:BQJ196648 CAF196633:CAF196648 CKB196633:CKB196648 CTX196633:CTX196648 DDT196633:DDT196648 DNP196633:DNP196648 DXL196633:DXL196648 EHH196633:EHH196648 ERD196633:ERD196648 FAZ196633:FAZ196648 FKV196633:FKV196648 FUR196633:FUR196648 GEN196633:GEN196648 GOJ196633:GOJ196648 GYF196633:GYF196648 HIB196633:HIB196648 HRX196633:HRX196648 IBT196633:IBT196648 ILP196633:ILP196648 IVL196633:IVL196648 JFH196633:JFH196648 JPD196633:JPD196648 JYZ196633:JYZ196648 KIV196633:KIV196648 KSR196633:KSR196648 LCN196633:LCN196648 LMJ196633:LMJ196648 LWF196633:LWF196648 MGB196633:MGB196648 MPX196633:MPX196648 MZT196633:MZT196648 NJP196633:NJP196648 NTL196633:NTL196648 ODH196633:ODH196648 OND196633:OND196648 OWZ196633:OWZ196648 PGV196633:PGV196648 PQR196633:PQR196648 QAN196633:QAN196648 QKJ196633:QKJ196648 QUF196633:QUF196648 REB196633:REB196648 RNX196633:RNX196648 RXT196633:RXT196648 SHP196633:SHP196648 SRL196633:SRL196648 TBH196633:TBH196648 TLD196633:TLD196648 TUZ196633:TUZ196648 UEV196633:UEV196648 UOR196633:UOR196648 UYN196633:UYN196648 VIJ196633:VIJ196648 VSF196633:VSF196648 WCB196633:WCB196648 WLX196633:WLX196648 WVT196633:WVT196648 L262169:L262184 JH262169:JH262184 TD262169:TD262184 ACZ262169:ACZ262184 AMV262169:AMV262184 AWR262169:AWR262184 BGN262169:BGN262184 BQJ262169:BQJ262184 CAF262169:CAF262184 CKB262169:CKB262184 CTX262169:CTX262184 DDT262169:DDT262184 DNP262169:DNP262184 DXL262169:DXL262184 EHH262169:EHH262184 ERD262169:ERD262184 FAZ262169:FAZ262184 FKV262169:FKV262184 FUR262169:FUR262184 GEN262169:GEN262184 GOJ262169:GOJ262184 GYF262169:GYF262184 HIB262169:HIB262184 HRX262169:HRX262184 IBT262169:IBT262184 ILP262169:ILP262184 IVL262169:IVL262184 JFH262169:JFH262184 JPD262169:JPD262184 JYZ262169:JYZ262184 KIV262169:KIV262184 KSR262169:KSR262184 LCN262169:LCN262184 LMJ262169:LMJ262184 LWF262169:LWF262184 MGB262169:MGB262184 MPX262169:MPX262184 MZT262169:MZT262184 NJP262169:NJP262184 NTL262169:NTL262184 ODH262169:ODH262184 OND262169:OND262184 OWZ262169:OWZ262184 PGV262169:PGV262184 PQR262169:PQR262184 QAN262169:QAN262184 QKJ262169:QKJ262184 QUF262169:QUF262184 REB262169:REB262184 RNX262169:RNX262184 RXT262169:RXT262184 SHP262169:SHP262184 SRL262169:SRL262184 TBH262169:TBH262184 TLD262169:TLD262184 TUZ262169:TUZ262184 UEV262169:UEV262184 UOR262169:UOR262184 UYN262169:UYN262184 VIJ262169:VIJ262184 VSF262169:VSF262184 WCB262169:WCB262184 WLX262169:WLX262184 WVT262169:WVT262184 L327705:L327720 JH327705:JH327720 TD327705:TD327720 ACZ327705:ACZ327720 AMV327705:AMV327720 AWR327705:AWR327720 BGN327705:BGN327720 BQJ327705:BQJ327720 CAF327705:CAF327720 CKB327705:CKB327720 CTX327705:CTX327720 DDT327705:DDT327720 DNP327705:DNP327720 DXL327705:DXL327720 EHH327705:EHH327720 ERD327705:ERD327720 FAZ327705:FAZ327720 FKV327705:FKV327720 FUR327705:FUR327720 GEN327705:GEN327720 GOJ327705:GOJ327720 GYF327705:GYF327720 HIB327705:HIB327720 HRX327705:HRX327720 IBT327705:IBT327720 ILP327705:ILP327720 IVL327705:IVL327720 JFH327705:JFH327720 JPD327705:JPD327720 JYZ327705:JYZ327720 KIV327705:KIV327720 KSR327705:KSR327720 LCN327705:LCN327720 LMJ327705:LMJ327720 LWF327705:LWF327720 MGB327705:MGB327720 MPX327705:MPX327720 MZT327705:MZT327720 NJP327705:NJP327720 NTL327705:NTL327720 ODH327705:ODH327720 OND327705:OND327720 OWZ327705:OWZ327720 PGV327705:PGV327720 PQR327705:PQR327720 QAN327705:QAN327720 QKJ327705:QKJ327720 QUF327705:QUF327720 REB327705:REB327720 RNX327705:RNX327720 RXT327705:RXT327720 SHP327705:SHP327720 SRL327705:SRL327720 TBH327705:TBH327720 TLD327705:TLD327720 TUZ327705:TUZ327720 UEV327705:UEV327720 UOR327705:UOR327720 UYN327705:UYN327720 VIJ327705:VIJ327720 VSF327705:VSF327720 WCB327705:WCB327720 WLX327705:WLX327720 WVT327705:WVT327720 L393241:L393256 JH393241:JH393256 TD393241:TD393256 ACZ393241:ACZ393256 AMV393241:AMV393256 AWR393241:AWR393256 BGN393241:BGN393256 BQJ393241:BQJ393256 CAF393241:CAF393256 CKB393241:CKB393256 CTX393241:CTX393256 DDT393241:DDT393256 DNP393241:DNP393256 DXL393241:DXL393256 EHH393241:EHH393256 ERD393241:ERD393256 FAZ393241:FAZ393256 FKV393241:FKV393256 FUR393241:FUR393256 GEN393241:GEN393256 GOJ393241:GOJ393256 GYF393241:GYF393256 HIB393241:HIB393256 HRX393241:HRX393256 IBT393241:IBT393256 ILP393241:ILP393256 IVL393241:IVL393256 JFH393241:JFH393256 JPD393241:JPD393256 JYZ393241:JYZ393256 KIV393241:KIV393256 KSR393241:KSR393256 LCN393241:LCN393256 LMJ393241:LMJ393256 LWF393241:LWF393256 MGB393241:MGB393256 MPX393241:MPX393256 MZT393241:MZT393256 NJP393241:NJP393256 NTL393241:NTL393256 ODH393241:ODH393256 OND393241:OND393256 OWZ393241:OWZ393256 PGV393241:PGV393256 PQR393241:PQR393256 QAN393241:QAN393256 QKJ393241:QKJ393256 QUF393241:QUF393256 REB393241:REB393256 RNX393241:RNX393256 RXT393241:RXT393256 SHP393241:SHP393256 SRL393241:SRL393256 TBH393241:TBH393256 TLD393241:TLD393256 TUZ393241:TUZ393256 UEV393241:UEV393256 UOR393241:UOR393256 UYN393241:UYN393256 VIJ393241:VIJ393256 VSF393241:VSF393256 WCB393241:WCB393256 WLX393241:WLX393256 WVT393241:WVT393256 L458777:L458792 JH458777:JH458792 TD458777:TD458792 ACZ458777:ACZ458792 AMV458777:AMV458792 AWR458777:AWR458792 BGN458777:BGN458792 BQJ458777:BQJ458792 CAF458777:CAF458792 CKB458777:CKB458792 CTX458777:CTX458792 DDT458777:DDT458792 DNP458777:DNP458792 DXL458777:DXL458792 EHH458777:EHH458792 ERD458777:ERD458792 FAZ458777:FAZ458792 FKV458777:FKV458792 FUR458777:FUR458792 GEN458777:GEN458792 GOJ458777:GOJ458792 GYF458777:GYF458792 HIB458777:HIB458792 HRX458777:HRX458792 IBT458777:IBT458792 ILP458777:ILP458792 IVL458777:IVL458792 JFH458777:JFH458792 JPD458777:JPD458792 JYZ458777:JYZ458792 KIV458777:KIV458792 KSR458777:KSR458792 LCN458777:LCN458792 LMJ458777:LMJ458792 LWF458777:LWF458792 MGB458777:MGB458792 MPX458777:MPX458792 MZT458777:MZT458792 NJP458777:NJP458792 NTL458777:NTL458792 ODH458777:ODH458792 OND458777:OND458792 OWZ458777:OWZ458792 PGV458777:PGV458792 PQR458777:PQR458792 QAN458777:QAN458792 QKJ458777:QKJ458792 QUF458777:QUF458792 REB458777:REB458792 RNX458777:RNX458792 RXT458777:RXT458792 SHP458777:SHP458792 SRL458777:SRL458792 TBH458777:TBH458792 TLD458777:TLD458792 TUZ458777:TUZ458792 UEV458777:UEV458792 UOR458777:UOR458792 UYN458777:UYN458792 VIJ458777:VIJ458792 VSF458777:VSF458792 WCB458777:WCB458792 WLX458777:WLX458792 WVT458777:WVT458792 L524313:L524328 JH524313:JH524328 TD524313:TD524328 ACZ524313:ACZ524328 AMV524313:AMV524328 AWR524313:AWR524328 BGN524313:BGN524328 BQJ524313:BQJ524328 CAF524313:CAF524328 CKB524313:CKB524328 CTX524313:CTX524328 DDT524313:DDT524328 DNP524313:DNP524328 DXL524313:DXL524328 EHH524313:EHH524328 ERD524313:ERD524328 FAZ524313:FAZ524328 FKV524313:FKV524328 FUR524313:FUR524328 GEN524313:GEN524328 GOJ524313:GOJ524328 GYF524313:GYF524328 HIB524313:HIB524328 HRX524313:HRX524328 IBT524313:IBT524328 ILP524313:ILP524328 IVL524313:IVL524328 JFH524313:JFH524328 JPD524313:JPD524328 JYZ524313:JYZ524328 KIV524313:KIV524328 KSR524313:KSR524328 LCN524313:LCN524328 LMJ524313:LMJ524328 LWF524313:LWF524328 MGB524313:MGB524328 MPX524313:MPX524328 MZT524313:MZT524328 NJP524313:NJP524328 NTL524313:NTL524328 ODH524313:ODH524328 OND524313:OND524328 OWZ524313:OWZ524328 PGV524313:PGV524328 PQR524313:PQR524328 QAN524313:QAN524328 QKJ524313:QKJ524328 QUF524313:QUF524328 REB524313:REB524328 RNX524313:RNX524328 RXT524313:RXT524328 SHP524313:SHP524328 SRL524313:SRL524328 TBH524313:TBH524328 TLD524313:TLD524328 TUZ524313:TUZ524328 UEV524313:UEV524328 UOR524313:UOR524328 UYN524313:UYN524328 VIJ524313:VIJ524328 VSF524313:VSF524328 WCB524313:WCB524328 WLX524313:WLX524328 WVT524313:WVT524328 L589849:L589864 JH589849:JH589864 TD589849:TD589864 ACZ589849:ACZ589864 AMV589849:AMV589864 AWR589849:AWR589864 BGN589849:BGN589864 BQJ589849:BQJ589864 CAF589849:CAF589864 CKB589849:CKB589864 CTX589849:CTX589864 DDT589849:DDT589864 DNP589849:DNP589864 DXL589849:DXL589864 EHH589849:EHH589864 ERD589849:ERD589864 FAZ589849:FAZ589864 FKV589849:FKV589864 FUR589849:FUR589864 GEN589849:GEN589864 GOJ589849:GOJ589864 GYF589849:GYF589864 HIB589849:HIB589864 HRX589849:HRX589864 IBT589849:IBT589864 ILP589849:ILP589864 IVL589849:IVL589864 JFH589849:JFH589864 JPD589849:JPD589864 JYZ589849:JYZ589864 KIV589849:KIV589864 KSR589849:KSR589864 LCN589849:LCN589864 LMJ589849:LMJ589864 LWF589849:LWF589864 MGB589849:MGB589864 MPX589849:MPX589864 MZT589849:MZT589864 NJP589849:NJP589864 NTL589849:NTL589864 ODH589849:ODH589864 OND589849:OND589864 OWZ589849:OWZ589864 PGV589849:PGV589864 PQR589849:PQR589864 QAN589849:QAN589864 QKJ589849:QKJ589864 QUF589849:QUF589864 REB589849:REB589864 RNX589849:RNX589864 RXT589849:RXT589864 SHP589849:SHP589864 SRL589849:SRL589864 TBH589849:TBH589864 TLD589849:TLD589864 TUZ589849:TUZ589864 UEV589849:UEV589864 UOR589849:UOR589864 UYN589849:UYN589864 VIJ589849:VIJ589864 VSF589849:VSF589864 WCB589849:WCB589864 WLX589849:WLX589864 WVT589849:WVT589864 L655385:L655400 JH655385:JH655400 TD655385:TD655400 ACZ655385:ACZ655400 AMV655385:AMV655400 AWR655385:AWR655400 BGN655385:BGN655400 BQJ655385:BQJ655400 CAF655385:CAF655400 CKB655385:CKB655400 CTX655385:CTX655400 DDT655385:DDT655400 DNP655385:DNP655400 DXL655385:DXL655400 EHH655385:EHH655400 ERD655385:ERD655400 FAZ655385:FAZ655400 FKV655385:FKV655400 FUR655385:FUR655400 GEN655385:GEN655400 GOJ655385:GOJ655400 GYF655385:GYF655400 HIB655385:HIB655400 HRX655385:HRX655400 IBT655385:IBT655400 ILP655385:ILP655400 IVL655385:IVL655400 JFH655385:JFH655400 JPD655385:JPD655400 JYZ655385:JYZ655400 KIV655385:KIV655400 KSR655385:KSR655400 LCN655385:LCN655400 LMJ655385:LMJ655400 LWF655385:LWF655400 MGB655385:MGB655400 MPX655385:MPX655400 MZT655385:MZT655400 NJP655385:NJP655400 NTL655385:NTL655400 ODH655385:ODH655400 OND655385:OND655400 OWZ655385:OWZ655400 PGV655385:PGV655400 PQR655385:PQR655400 QAN655385:QAN655400 QKJ655385:QKJ655400 QUF655385:QUF655400 REB655385:REB655400 RNX655385:RNX655400 RXT655385:RXT655400 SHP655385:SHP655400 SRL655385:SRL655400 TBH655385:TBH655400 TLD655385:TLD655400 TUZ655385:TUZ655400 UEV655385:UEV655400 UOR655385:UOR655400 UYN655385:UYN655400 VIJ655385:VIJ655400 VSF655385:VSF655400 WCB655385:WCB655400 WLX655385:WLX655400 WVT655385:WVT655400 L720921:L720936 JH720921:JH720936 TD720921:TD720936 ACZ720921:ACZ720936 AMV720921:AMV720936 AWR720921:AWR720936 BGN720921:BGN720936 BQJ720921:BQJ720936 CAF720921:CAF720936 CKB720921:CKB720936 CTX720921:CTX720936 DDT720921:DDT720936 DNP720921:DNP720936 DXL720921:DXL720936 EHH720921:EHH720936 ERD720921:ERD720936 FAZ720921:FAZ720936 FKV720921:FKV720936 FUR720921:FUR720936 GEN720921:GEN720936 GOJ720921:GOJ720936 GYF720921:GYF720936 HIB720921:HIB720936 HRX720921:HRX720936 IBT720921:IBT720936 ILP720921:ILP720936 IVL720921:IVL720936 JFH720921:JFH720936 JPD720921:JPD720936 JYZ720921:JYZ720936 KIV720921:KIV720936 KSR720921:KSR720936 LCN720921:LCN720936 LMJ720921:LMJ720936 LWF720921:LWF720936 MGB720921:MGB720936 MPX720921:MPX720936 MZT720921:MZT720936 NJP720921:NJP720936 NTL720921:NTL720936 ODH720921:ODH720936 OND720921:OND720936 OWZ720921:OWZ720936 PGV720921:PGV720936 PQR720921:PQR720936 QAN720921:QAN720936 QKJ720921:QKJ720936 QUF720921:QUF720936 REB720921:REB720936 RNX720921:RNX720936 RXT720921:RXT720936 SHP720921:SHP720936 SRL720921:SRL720936 TBH720921:TBH720936 TLD720921:TLD720936 TUZ720921:TUZ720936 UEV720921:UEV720936 UOR720921:UOR720936 UYN720921:UYN720936 VIJ720921:VIJ720936 VSF720921:VSF720936 WCB720921:WCB720936 WLX720921:WLX720936 WVT720921:WVT720936 L786457:L786472 JH786457:JH786472 TD786457:TD786472 ACZ786457:ACZ786472 AMV786457:AMV786472 AWR786457:AWR786472 BGN786457:BGN786472 BQJ786457:BQJ786472 CAF786457:CAF786472 CKB786457:CKB786472 CTX786457:CTX786472 DDT786457:DDT786472 DNP786457:DNP786472 DXL786457:DXL786472 EHH786457:EHH786472 ERD786457:ERD786472 FAZ786457:FAZ786472 FKV786457:FKV786472 FUR786457:FUR786472 GEN786457:GEN786472 GOJ786457:GOJ786472 GYF786457:GYF786472 HIB786457:HIB786472 HRX786457:HRX786472 IBT786457:IBT786472 ILP786457:ILP786472 IVL786457:IVL786472 JFH786457:JFH786472 JPD786457:JPD786472 JYZ786457:JYZ786472 KIV786457:KIV786472 KSR786457:KSR786472 LCN786457:LCN786472 LMJ786457:LMJ786472 LWF786457:LWF786472 MGB786457:MGB786472 MPX786457:MPX786472 MZT786457:MZT786472 NJP786457:NJP786472 NTL786457:NTL786472 ODH786457:ODH786472 OND786457:OND786472 OWZ786457:OWZ786472 PGV786457:PGV786472 PQR786457:PQR786472 QAN786457:QAN786472 QKJ786457:QKJ786472 QUF786457:QUF786472 REB786457:REB786472 RNX786457:RNX786472 RXT786457:RXT786472 SHP786457:SHP786472 SRL786457:SRL786472 TBH786457:TBH786472 TLD786457:TLD786472 TUZ786457:TUZ786472 UEV786457:UEV786472 UOR786457:UOR786472 UYN786457:UYN786472 VIJ786457:VIJ786472 VSF786457:VSF786472 WCB786457:WCB786472 WLX786457:WLX786472 WVT786457:WVT786472 L851993:L852008 JH851993:JH852008 TD851993:TD852008 ACZ851993:ACZ852008 AMV851993:AMV852008 AWR851993:AWR852008 BGN851993:BGN852008 BQJ851993:BQJ852008 CAF851993:CAF852008 CKB851993:CKB852008 CTX851993:CTX852008 DDT851993:DDT852008 DNP851993:DNP852008 DXL851993:DXL852008 EHH851993:EHH852008 ERD851993:ERD852008 FAZ851993:FAZ852008 FKV851993:FKV852008 FUR851993:FUR852008 GEN851993:GEN852008 GOJ851993:GOJ852008 GYF851993:GYF852008 HIB851993:HIB852008 HRX851993:HRX852008 IBT851993:IBT852008 ILP851993:ILP852008 IVL851993:IVL852008 JFH851993:JFH852008 JPD851993:JPD852008 JYZ851993:JYZ852008 KIV851993:KIV852008 KSR851993:KSR852008 LCN851993:LCN852008 LMJ851993:LMJ852008 LWF851993:LWF852008 MGB851993:MGB852008 MPX851993:MPX852008 MZT851993:MZT852008 NJP851993:NJP852008 NTL851993:NTL852008 ODH851993:ODH852008 OND851993:OND852008 OWZ851993:OWZ852008 PGV851993:PGV852008 PQR851993:PQR852008 QAN851993:QAN852008 QKJ851993:QKJ852008 QUF851993:QUF852008 REB851993:REB852008 RNX851993:RNX852008 RXT851993:RXT852008 SHP851993:SHP852008 SRL851993:SRL852008 TBH851993:TBH852008 TLD851993:TLD852008 TUZ851993:TUZ852008 UEV851993:UEV852008 UOR851993:UOR852008 UYN851993:UYN852008 VIJ851993:VIJ852008 VSF851993:VSF852008 WCB851993:WCB852008 WLX851993:WLX852008 WVT851993:WVT852008 L917529:L917544 JH917529:JH917544 TD917529:TD917544 ACZ917529:ACZ917544 AMV917529:AMV917544 AWR917529:AWR917544 BGN917529:BGN917544 BQJ917529:BQJ917544 CAF917529:CAF917544 CKB917529:CKB917544 CTX917529:CTX917544 DDT917529:DDT917544 DNP917529:DNP917544 DXL917529:DXL917544 EHH917529:EHH917544 ERD917529:ERD917544 FAZ917529:FAZ917544 FKV917529:FKV917544 FUR917529:FUR917544 GEN917529:GEN917544 GOJ917529:GOJ917544 GYF917529:GYF917544 HIB917529:HIB917544 HRX917529:HRX917544 IBT917529:IBT917544 ILP917529:ILP917544 IVL917529:IVL917544 JFH917529:JFH917544 JPD917529:JPD917544 JYZ917529:JYZ917544 KIV917529:KIV917544 KSR917529:KSR917544 LCN917529:LCN917544 LMJ917529:LMJ917544 LWF917529:LWF917544 MGB917529:MGB917544 MPX917529:MPX917544 MZT917529:MZT917544 NJP917529:NJP917544 NTL917529:NTL917544 ODH917529:ODH917544 OND917529:OND917544 OWZ917529:OWZ917544 PGV917529:PGV917544 PQR917529:PQR917544 QAN917529:QAN917544 QKJ917529:QKJ917544 QUF917529:QUF917544 REB917529:REB917544 RNX917529:RNX917544 RXT917529:RXT917544 SHP917529:SHP917544 SRL917529:SRL917544 TBH917529:TBH917544 TLD917529:TLD917544 TUZ917529:TUZ917544 UEV917529:UEV917544 UOR917529:UOR917544 UYN917529:UYN917544 VIJ917529:VIJ917544 VSF917529:VSF917544 WCB917529:WCB917544 WLX917529:WLX917544 WVT917529:WVT917544 L983065:L983080 JH983065:JH983080 TD983065:TD983080 ACZ983065:ACZ983080 AMV983065:AMV983080 AWR983065:AWR983080 BGN983065:BGN983080 BQJ983065:BQJ983080 CAF983065:CAF983080 CKB983065:CKB983080 CTX983065:CTX983080 DDT983065:DDT983080 DNP983065:DNP983080 DXL983065:DXL983080 EHH983065:EHH983080 ERD983065:ERD983080 FAZ983065:FAZ983080 FKV983065:FKV983080 FUR983065:FUR983080 GEN983065:GEN983080 GOJ983065:GOJ983080 GYF983065:GYF983080 HIB983065:HIB983080 HRX983065:HRX983080 IBT983065:IBT983080 ILP983065:ILP983080 IVL983065:IVL983080 JFH983065:JFH983080 JPD983065:JPD983080 JYZ983065:JYZ983080 KIV983065:KIV983080 KSR983065:KSR983080 LCN983065:LCN983080 LMJ983065:LMJ983080 LWF983065:LWF983080 MGB983065:MGB983080 MPX983065:MPX983080 MZT983065:MZT983080 NJP983065:NJP983080 NTL983065:NTL983080 ODH983065:ODH983080 OND983065:OND983080 OWZ983065:OWZ983080 PGV983065:PGV983080 PQR983065:PQR983080 QAN983065:QAN983080 QKJ983065:QKJ983080 QUF983065:QUF983080 REB983065:REB983080 RNX983065:RNX983080 RXT983065:RXT983080 SHP983065:SHP983080 SRL983065:SRL983080 TBH983065:TBH983080 TLD983065:TLD983080 TUZ983065:TUZ983080 UEV983065:UEV983080 UOR983065:UOR983080 UYN983065:UYN983080 VIJ983065:VIJ983080 VSF983065:VSF983080 WCB983065:WCB983080 WLX983065:WLX983080 WVT983065:WVT983080">
      <formula1>"Yes,No"</formula1>
    </dataValidation>
  </dataValidations>
  <hyperlinks>
    <hyperlink ref="A1" location="'Table Of Contents'!A1" display="TOC"/>
  </hyperlinks>
  <pageMargins left="0.75" right="0.75" top="1" bottom="1" header="0.5" footer="0.5"/>
  <pageSetup scale="44" fitToHeight="0" orientation="portrait" r:id="rId1"/>
  <headerFooter alignWithMargins="0">
    <oddFooter>Page &amp;P of &amp;N</oddFooter>
  </headerFooter>
  <rowBreaks count="3" manualBreakCount="3">
    <brk id="42" min="1" max="15" man="1"/>
    <brk id="50" min="1" max="15" man="1"/>
    <brk id="74" min="1" max="15"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"Yes,No,NA"</xm:f>
          </x14:formula1>
          <xm:sqref>N25:O40 JJ25:JK40 TF25:TG40 ADB25:ADC40 AMX25:AMY40 AWT25:AWU40 BGP25:BGQ40 BQL25:BQM40 CAH25:CAI40 CKD25:CKE40 CTZ25:CUA40 DDV25:DDW40 DNR25:DNS40 DXN25:DXO40 EHJ25:EHK40 ERF25:ERG40 FBB25:FBC40 FKX25:FKY40 FUT25:FUU40 GEP25:GEQ40 GOL25:GOM40 GYH25:GYI40 HID25:HIE40 HRZ25:HSA40 IBV25:IBW40 ILR25:ILS40 IVN25:IVO40 JFJ25:JFK40 JPF25:JPG40 JZB25:JZC40 KIX25:KIY40 KST25:KSU40 LCP25:LCQ40 LML25:LMM40 LWH25:LWI40 MGD25:MGE40 MPZ25:MQA40 MZV25:MZW40 NJR25:NJS40 NTN25:NTO40 ODJ25:ODK40 ONF25:ONG40 OXB25:OXC40 PGX25:PGY40 PQT25:PQU40 QAP25:QAQ40 QKL25:QKM40 QUH25:QUI40 RED25:REE40 RNZ25:ROA40 RXV25:RXW40 SHR25:SHS40 SRN25:SRO40 TBJ25:TBK40 TLF25:TLG40 TVB25:TVC40 UEX25:UEY40 UOT25:UOU40 UYP25:UYQ40 VIL25:VIM40 VSH25:VSI40 WCD25:WCE40 WLZ25:WMA40 WVV25:WVW40 N65561:O65576 JJ65561:JK65576 TF65561:TG65576 ADB65561:ADC65576 AMX65561:AMY65576 AWT65561:AWU65576 BGP65561:BGQ65576 BQL65561:BQM65576 CAH65561:CAI65576 CKD65561:CKE65576 CTZ65561:CUA65576 DDV65561:DDW65576 DNR65561:DNS65576 DXN65561:DXO65576 EHJ65561:EHK65576 ERF65561:ERG65576 FBB65561:FBC65576 FKX65561:FKY65576 FUT65561:FUU65576 GEP65561:GEQ65576 GOL65561:GOM65576 GYH65561:GYI65576 HID65561:HIE65576 HRZ65561:HSA65576 IBV65561:IBW65576 ILR65561:ILS65576 IVN65561:IVO65576 JFJ65561:JFK65576 JPF65561:JPG65576 JZB65561:JZC65576 KIX65561:KIY65576 KST65561:KSU65576 LCP65561:LCQ65576 LML65561:LMM65576 LWH65561:LWI65576 MGD65561:MGE65576 MPZ65561:MQA65576 MZV65561:MZW65576 NJR65561:NJS65576 NTN65561:NTO65576 ODJ65561:ODK65576 ONF65561:ONG65576 OXB65561:OXC65576 PGX65561:PGY65576 PQT65561:PQU65576 QAP65561:QAQ65576 QKL65561:QKM65576 QUH65561:QUI65576 RED65561:REE65576 RNZ65561:ROA65576 RXV65561:RXW65576 SHR65561:SHS65576 SRN65561:SRO65576 TBJ65561:TBK65576 TLF65561:TLG65576 TVB65561:TVC65576 UEX65561:UEY65576 UOT65561:UOU65576 UYP65561:UYQ65576 VIL65561:VIM65576 VSH65561:VSI65576 WCD65561:WCE65576 WLZ65561:WMA65576 WVV65561:WVW65576 N131097:O131112 JJ131097:JK131112 TF131097:TG131112 ADB131097:ADC131112 AMX131097:AMY131112 AWT131097:AWU131112 BGP131097:BGQ131112 BQL131097:BQM131112 CAH131097:CAI131112 CKD131097:CKE131112 CTZ131097:CUA131112 DDV131097:DDW131112 DNR131097:DNS131112 DXN131097:DXO131112 EHJ131097:EHK131112 ERF131097:ERG131112 FBB131097:FBC131112 FKX131097:FKY131112 FUT131097:FUU131112 GEP131097:GEQ131112 GOL131097:GOM131112 GYH131097:GYI131112 HID131097:HIE131112 HRZ131097:HSA131112 IBV131097:IBW131112 ILR131097:ILS131112 IVN131097:IVO131112 JFJ131097:JFK131112 JPF131097:JPG131112 JZB131097:JZC131112 KIX131097:KIY131112 KST131097:KSU131112 LCP131097:LCQ131112 LML131097:LMM131112 LWH131097:LWI131112 MGD131097:MGE131112 MPZ131097:MQA131112 MZV131097:MZW131112 NJR131097:NJS131112 NTN131097:NTO131112 ODJ131097:ODK131112 ONF131097:ONG131112 OXB131097:OXC131112 PGX131097:PGY131112 PQT131097:PQU131112 QAP131097:QAQ131112 QKL131097:QKM131112 QUH131097:QUI131112 RED131097:REE131112 RNZ131097:ROA131112 RXV131097:RXW131112 SHR131097:SHS131112 SRN131097:SRO131112 TBJ131097:TBK131112 TLF131097:TLG131112 TVB131097:TVC131112 UEX131097:UEY131112 UOT131097:UOU131112 UYP131097:UYQ131112 VIL131097:VIM131112 VSH131097:VSI131112 WCD131097:WCE131112 WLZ131097:WMA131112 WVV131097:WVW131112 N196633:O196648 JJ196633:JK196648 TF196633:TG196648 ADB196633:ADC196648 AMX196633:AMY196648 AWT196633:AWU196648 BGP196633:BGQ196648 BQL196633:BQM196648 CAH196633:CAI196648 CKD196633:CKE196648 CTZ196633:CUA196648 DDV196633:DDW196648 DNR196633:DNS196648 DXN196633:DXO196648 EHJ196633:EHK196648 ERF196633:ERG196648 FBB196633:FBC196648 FKX196633:FKY196648 FUT196633:FUU196648 GEP196633:GEQ196648 GOL196633:GOM196648 GYH196633:GYI196648 HID196633:HIE196648 HRZ196633:HSA196648 IBV196633:IBW196648 ILR196633:ILS196648 IVN196633:IVO196648 JFJ196633:JFK196648 JPF196633:JPG196648 JZB196633:JZC196648 KIX196633:KIY196648 KST196633:KSU196648 LCP196633:LCQ196648 LML196633:LMM196648 LWH196633:LWI196648 MGD196633:MGE196648 MPZ196633:MQA196648 MZV196633:MZW196648 NJR196633:NJS196648 NTN196633:NTO196648 ODJ196633:ODK196648 ONF196633:ONG196648 OXB196633:OXC196648 PGX196633:PGY196648 PQT196633:PQU196648 QAP196633:QAQ196648 QKL196633:QKM196648 QUH196633:QUI196648 RED196633:REE196648 RNZ196633:ROA196648 RXV196633:RXW196648 SHR196633:SHS196648 SRN196633:SRO196648 TBJ196633:TBK196648 TLF196633:TLG196648 TVB196633:TVC196648 UEX196633:UEY196648 UOT196633:UOU196648 UYP196633:UYQ196648 VIL196633:VIM196648 VSH196633:VSI196648 WCD196633:WCE196648 WLZ196633:WMA196648 WVV196633:WVW196648 N262169:O262184 JJ262169:JK262184 TF262169:TG262184 ADB262169:ADC262184 AMX262169:AMY262184 AWT262169:AWU262184 BGP262169:BGQ262184 BQL262169:BQM262184 CAH262169:CAI262184 CKD262169:CKE262184 CTZ262169:CUA262184 DDV262169:DDW262184 DNR262169:DNS262184 DXN262169:DXO262184 EHJ262169:EHK262184 ERF262169:ERG262184 FBB262169:FBC262184 FKX262169:FKY262184 FUT262169:FUU262184 GEP262169:GEQ262184 GOL262169:GOM262184 GYH262169:GYI262184 HID262169:HIE262184 HRZ262169:HSA262184 IBV262169:IBW262184 ILR262169:ILS262184 IVN262169:IVO262184 JFJ262169:JFK262184 JPF262169:JPG262184 JZB262169:JZC262184 KIX262169:KIY262184 KST262169:KSU262184 LCP262169:LCQ262184 LML262169:LMM262184 LWH262169:LWI262184 MGD262169:MGE262184 MPZ262169:MQA262184 MZV262169:MZW262184 NJR262169:NJS262184 NTN262169:NTO262184 ODJ262169:ODK262184 ONF262169:ONG262184 OXB262169:OXC262184 PGX262169:PGY262184 PQT262169:PQU262184 QAP262169:QAQ262184 QKL262169:QKM262184 QUH262169:QUI262184 RED262169:REE262184 RNZ262169:ROA262184 RXV262169:RXW262184 SHR262169:SHS262184 SRN262169:SRO262184 TBJ262169:TBK262184 TLF262169:TLG262184 TVB262169:TVC262184 UEX262169:UEY262184 UOT262169:UOU262184 UYP262169:UYQ262184 VIL262169:VIM262184 VSH262169:VSI262184 WCD262169:WCE262184 WLZ262169:WMA262184 WVV262169:WVW262184 N327705:O327720 JJ327705:JK327720 TF327705:TG327720 ADB327705:ADC327720 AMX327705:AMY327720 AWT327705:AWU327720 BGP327705:BGQ327720 BQL327705:BQM327720 CAH327705:CAI327720 CKD327705:CKE327720 CTZ327705:CUA327720 DDV327705:DDW327720 DNR327705:DNS327720 DXN327705:DXO327720 EHJ327705:EHK327720 ERF327705:ERG327720 FBB327705:FBC327720 FKX327705:FKY327720 FUT327705:FUU327720 GEP327705:GEQ327720 GOL327705:GOM327720 GYH327705:GYI327720 HID327705:HIE327720 HRZ327705:HSA327720 IBV327705:IBW327720 ILR327705:ILS327720 IVN327705:IVO327720 JFJ327705:JFK327720 JPF327705:JPG327720 JZB327705:JZC327720 KIX327705:KIY327720 KST327705:KSU327720 LCP327705:LCQ327720 LML327705:LMM327720 LWH327705:LWI327720 MGD327705:MGE327720 MPZ327705:MQA327720 MZV327705:MZW327720 NJR327705:NJS327720 NTN327705:NTO327720 ODJ327705:ODK327720 ONF327705:ONG327720 OXB327705:OXC327720 PGX327705:PGY327720 PQT327705:PQU327720 QAP327705:QAQ327720 QKL327705:QKM327720 QUH327705:QUI327720 RED327705:REE327720 RNZ327705:ROA327720 RXV327705:RXW327720 SHR327705:SHS327720 SRN327705:SRO327720 TBJ327705:TBK327720 TLF327705:TLG327720 TVB327705:TVC327720 UEX327705:UEY327720 UOT327705:UOU327720 UYP327705:UYQ327720 VIL327705:VIM327720 VSH327705:VSI327720 WCD327705:WCE327720 WLZ327705:WMA327720 WVV327705:WVW327720 N393241:O393256 JJ393241:JK393256 TF393241:TG393256 ADB393241:ADC393256 AMX393241:AMY393256 AWT393241:AWU393256 BGP393241:BGQ393256 BQL393241:BQM393256 CAH393241:CAI393256 CKD393241:CKE393256 CTZ393241:CUA393256 DDV393241:DDW393256 DNR393241:DNS393256 DXN393241:DXO393256 EHJ393241:EHK393256 ERF393241:ERG393256 FBB393241:FBC393256 FKX393241:FKY393256 FUT393241:FUU393256 GEP393241:GEQ393256 GOL393241:GOM393256 GYH393241:GYI393256 HID393241:HIE393256 HRZ393241:HSA393256 IBV393241:IBW393256 ILR393241:ILS393256 IVN393241:IVO393256 JFJ393241:JFK393256 JPF393241:JPG393256 JZB393241:JZC393256 KIX393241:KIY393256 KST393241:KSU393256 LCP393241:LCQ393256 LML393241:LMM393256 LWH393241:LWI393256 MGD393241:MGE393256 MPZ393241:MQA393256 MZV393241:MZW393256 NJR393241:NJS393256 NTN393241:NTO393256 ODJ393241:ODK393256 ONF393241:ONG393256 OXB393241:OXC393256 PGX393241:PGY393256 PQT393241:PQU393256 QAP393241:QAQ393256 QKL393241:QKM393256 QUH393241:QUI393256 RED393241:REE393256 RNZ393241:ROA393256 RXV393241:RXW393256 SHR393241:SHS393256 SRN393241:SRO393256 TBJ393241:TBK393256 TLF393241:TLG393256 TVB393241:TVC393256 UEX393241:UEY393256 UOT393241:UOU393256 UYP393241:UYQ393256 VIL393241:VIM393256 VSH393241:VSI393256 WCD393241:WCE393256 WLZ393241:WMA393256 WVV393241:WVW393256 N458777:O458792 JJ458777:JK458792 TF458777:TG458792 ADB458777:ADC458792 AMX458777:AMY458792 AWT458777:AWU458792 BGP458777:BGQ458792 BQL458777:BQM458792 CAH458777:CAI458792 CKD458777:CKE458792 CTZ458777:CUA458792 DDV458777:DDW458792 DNR458777:DNS458792 DXN458777:DXO458792 EHJ458777:EHK458792 ERF458777:ERG458792 FBB458777:FBC458792 FKX458777:FKY458792 FUT458777:FUU458792 GEP458777:GEQ458792 GOL458777:GOM458792 GYH458777:GYI458792 HID458777:HIE458792 HRZ458777:HSA458792 IBV458777:IBW458792 ILR458777:ILS458792 IVN458777:IVO458792 JFJ458777:JFK458792 JPF458777:JPG458792 JZB458777:JZC458792 KIX458777:KIY458792 KST458777:KSU458792 LCP458777:LCQ458792 LML458777:LMM458792 LWH458777:LWI458792 MGD458777:MGE458792 MPZ458777:MQA458792 MZV458777:MZW458792 NJR458777:NJS458792 NTN458777:NTO458792 ODJ458777:ODK458792 ONF458777:ONG458792 OXB458777:OXC458792 PGX458777:PGY458792 PQT458777:PQU458792 QAP458777:QAQ458792 QKL458777:QKM458792 QUH458777:QUI458792 RED458777:REE458792 RNZ458777:ROA458792 RXV458777:RXW458792 SHR458777:SHS458792 SRN458777:SRO458792 TBJ458777:TBK458792 TLF458777:TLG458792 TVB458777:TVC458792 UEX458777:UEY458792 UOT458777:UOU458792 UYP458777:UYQ458792 VIL458777:VIM458792 VSH458777:VSI458792 WCD458777:WCE458792 WLZ458777:WMA458792 WVV458777:WVW458792 N524313:O524328 JJ524313:JK524328 TF524313:TG524328 ADB524313:ADC524328 AMX524313:AMY524328 AWT524313:AWU524328 BGP524313:BGQ524328 BQL524313:BQM524328 CAH524313:CAI524328 CKD524313:CKE524328 CTZ524313:CUA524328 DDV524313:DDW524328 DNR524313:DNS524328 DXN524313:DXO524328 EHJ524313:EHK524328 ERF524313:ERG524328 FBB524313:FBC524328 FKX524313:FKY524328 FUT524313:FUU524328 GEP524313:GEQ524328 GOL524313:GOM524328 GYH524313:GYI524328 HID524313:HIE524328 HRZ524313:HSA524328 IBV524313:IBW524328 ILR524313:ILS524328 IVN524313:IVO524328 JFJ524313:JFK524328 JPF524313:JPG524328 JZB524313:JZC524328 KIX524313:KIY524328 KST524313:KSU524328 LCP524313:LCQ524328 LML524313:LMM524328 LWH524313:LWI524328 MGD524313:MGE524328 MPZ524313:MQA524328 MZV524313:MZW524328 NJR524313:NJS524328 NTN524313:NTO524328 ODJ524313:ODK524328 ONF524313:ONG524328 OXB524313:OXC524328 PGX524313:PGY524328 PQT524313:PQU524328 QAP524313:QAQ524328 QKL524313:QKM524328 QUH524313:QUI524328 RED524313:REE524328 RNZ524313:ROA524328 RXV524313:RXW524328 SHR524313:SHS524328 SRN524313:SRO524328 TBJ524313:TBK524328 TLF524313:TLG524328 TVB524313:TVC524328 UEX524313:UEY524328 UOT524313:UOU524328 UYP524313:UYQ524328 VIL524313:VIM524328 VSH524313:VSI524328 WCD524313:WCE524328 WLZ524313:WMA524328 WVV524313:WVW524328 N589849:O589864 JJ589849:JK589864 TF589849:TG589864 ADB589849:ADC589864 AMX589849:AMY589864 AWT589849:AWU589864 BGP589849:BGQ589864 BQL589849:BQM589864 CAH589849:CAI589864 CKD589849:CKE589864 CTZ589849:CUA589864 DDV589849:DDW589864 DNR589849:DNS589864 DXN589849:DXO589864 EHJ589849:EHK589864 ERF589849:ERG589864 FBB589849:FBC589864 FKX589849:FKY589864 FUT589849:FUU589864 GEP589849:GEQ589864 GOL589849:GOM589864 GYH589849:GYI589864 HID589849:HIE589864 HRZ589849:HSA589864 IBV589849:IBW589864 ILR589849:ILS589864 IVN589849:IVO589864 JFJ589849:JFK589864 JPF589849:JPG589864 JZB589849:JZC589864 KIX589849:KIY589864 KST589849:KSU589864 LCP589849:LCQ589864 LML589849:LMM589864 LWH589849:LWI589864 MGD589849:MGE589864 MPZ589849:MQA589864 MZV589849:MZW589864 NJR589849:NJS589864 NTN589849:NTO589864 ODJ589849:ODK589864 ONF589849:ONG589864 OXB589849:OXC589864 PGX589849:PGY589864 PQT589849:PQU589864 QAP589849:QAQ589864 QKL589849:QKM589864 QUH589849:QUI589864 RED589849:REE589864 RNZ589849:ROA589864 RXV589849:RXW589864 SHR589849:SHS589864 SRN589849:SRO589864 TBJ589849:TBK589864 TLF589849:TLG589864 TVB589849:TVC589864 UEX589849:UEY589864 UOT589849:UOU589864 UYP589849:UYQ589864 VIL589849:VIM589864 VSH589849:VSI589864 WCD589849:WCE589864 WLZ589849:WMA589864 WVV589849:WVW589864 N655385:O655400 JJ655385:JK655400 TF655385:TG655400 ADB655385:ADC655400 AMX655385:AMY655400 AWT655385:AWU655400 BGP655385:BGQ655400 BQL655385:BQM655400 CAH655385:CAI655400 CKD655385:CKE655400 CTZ655385:CUA655400 DDV655385:DDW655400 DNR655385:DNS655400 DXN655385:DXO655400 EHJ655385:EHK655400 ERF655385:ERG655400 FBB655385:FBC655400 FKX655385:FKY655400 FUT655385:FUU655400 GEP655385:GEQ655400 GOL655385:GOM655400 GYH655385:GYI655400 HID655385:HIE655400 HRZ655385:HSA655400 IBV655385:IBW655400 ILR655385:ILS655400 IVN655385:IVO655400 JFJ655385:JFK655400 JPF655385:JPG655400 JZB655385:JZC655400 KIX655385:KIY655400 KST655385:KSU655400 LCP655385:LCQ655400 LML655385:LMM655400 LWH655385:LWI655400 MGD655385:MGE655400 MPZ655385:MQA655400 MZV655385:MZW655400 NJR655385:NJS655400 NTN655385:NTO655400 ODJ655385:ODK655400 ONF655385:ONG655400 OXB655385:OXC655400 PGX655385:PGY655400 PQT655385:PQU655400 QAP655385:QAQ655400 QKL655385:QKM655400 QUH655385:QUI655400 RED655385:REE655400 RNZ655385:ROA655400 RXV655385:RXW655400 SHR655385:SHS655400 SRN655385:SRO655400 TBJ655385:TBK655400 TLF655385:TLG655400 TVB655385:TVC655400 UEX655385:UEY655400 UOT655385:UOU655400 UYP655385:UYQ655400 VIL655385:VIM655400 VSH655385:VSI655400 WCD655385:WCE655400 WLZ655385:WMA655400 WVV655385:WVW655400 N720921:O720936 JJ720921:JK720936 TF720921:TG720936 ADB720921:ADC720936 AMX720921:AMY720936 AWT720921:AWU720936 BGP720921:BGQ720936 BQL720921:BQM720936 CAH720921:CAI720936 CKD720921:CKE720936 CTZ720921:CUA720936 DDV720921:DDW720936 DNR720921:DNS720936 DXN720921:DXO720936 EHJ720921:EHK720936 ERF720921:ERG720936 FBB720921:FBC720936 FKX720921:FKY720936 FUT720921:FUU720936 GEP720921:GEQ720936 GOL720921:GOM720936 GYH720921:GYI720936 HID720921:HIE720936 HRZ720921:HSA720936 IBV720921:IBW720936 ILR720921:ILS720936 IVN720921:IVO720936 JFJ720921:JFK720936 JPF720921:JPG720936 JZB720921:JZC720936 KIX720921:KIY720936 KST720921:KSU720936 LCP720921:LCQ720936 LML720921:LMM720936 LWH720921:LWI720936 MGD720921:MGE720936 MPZ720921:MQA720936 MZV720921:MZW720936 NJR720921:NJS720936 NTN720921:NTO720936 ODJ720921:ODK720936 ONF720921:ONG720936 OXB720921:OXC720936 PGX720921:PGY720936 PQT720921:PQU720936 QAP720921:QAQ720936 QKL720921:QKM720936 QUH720921:QUI720936 RED720921:REE720936 RNZ720921:ROA720936 RXV720921:RXW720936 SHR720921:SHS720936 SRN720921:SRO720936 TBJ720921:TBK720936 TLF720921:TLG720936 TVB720921:TVC720936 UEX720921:UEY720936 UOT720921:UOU720936 UYP720921:UYQ720936 VIL720921:VIM720936 VSH720921:VSI720936 WCD720921:WCE720936 WLZ720921:WMA720936 WVV720921:WVW720936 N786457:O786472 JJ786457:JK786472 TF786457:TG786472 ADB786457:ADC786472 AMX786457:AMY786472 AWT786457:AWU786472 BGP786457:BGQ786472 BQL786457:BQM786472 CAH786457:CAI786472 CKD786457:CKE786472 CTZ786457:CUA786472 DDV786457:DDW786472 DNR786457:DNS786472 DXN786457:DXO786472 EHJ786457:EHK786472 ERF786457:ERG786472 FBB786457:FBC786472 FKX786457:FKY786472 FUT786457:FUU786472 GEP786457:GEQ786472 GOL786457:GOM786472 GYH786457:GYI786472 HID786457:HIE786472 HRZ786457:HSA786472 IBV786457:IBW786472 ILR786457:ILS786472 IVN786457:IVO786472 JFJ786457:JFK786472 JPF786457:JPG786472 JZB786457:JZC786472 KIX786457:KIY786472 KST786457:KSU786472 LCP786457:LCQ786472 LML786457:LMM786472 LWH786457:LWI786472 MGD786457:MGE786472 MPZ786457:MQA786472 MZV786457:MZW786472 NJR786457:NJS786472 NTN786457:NTO786472 ODJ786457:ODK786472 ONF786457:ONG786472 OXB786457:OXC786472 PGX786457:PGY786472 PQT786457:PQU786472 QAP786457:QAQ786472 QKL786457:QKM786472 QUH786457:QUI786472 RED786457:REE786472 RNZ786457:ROA786472 RXV786457:RXW786472 SHR786457:SHS786472 SRN786457:SRO786472 TBJ786457:TBK786472 TLF786457:TLG786472 TVB786457:TVC786472 UEX786457:UEY786472 UOT786457:UOU786472 UYP786457:UYQ786472 VIL786457:VIM786472 VSH786457:VSI786472 WCD786457:WCE786472 WLZ786457:WMA786472 WVV786457:WVW786472 N851993:O852008 JJ851993:JK852008 TF851993:TG852008 ADB851993:ADC852008 AMX851993:AMY852008 AWT851993:AWU852008 BGP851993:BGQ852008 BQL851993:BQM852008 CAH851993:CAI852008 CKD851993:CKE852008 CTZ851993:CUA852008 DDV851993:DDW852008 DNR851993:DNS852008 DXN851993:DXO852008 EHJ851993:EHK852008 ERF851993:ERG852008 FBB851993:FBC852008 FKX851993:FKY852008 FUT851993:FUU852008 GEP851993:GEQ852008 GOL851993:GOM852008 GYH851993:GYI852008 HID851993:HIE852008 HRZ851993:HSA852008 IBV851993:IBW852008 ILR851993:ILS852008 IVN851993:IVO852008 JFJ851993:JFK852008 JPF851993:JPG852008 JZB851993:JZC852008 KIX851993:KIY852008 KST851993:KSU852008 LCP851993:LCQ852008 LML851993:LMM852008 LWH851993:LWI852008 MGD851993:MGE852008 MPZ851993:MQA852008 MZV851993:MZW852008 NJR851993:NJS852008 NTN851993:NTO852008 ODJ851993:ODK852008 ONF851993:ONG852008 OXB851993:OXC852008 PGX851993:PGY852008 PQT851993:PQU852008 QAP851993:QAQ852008 QKL851993:QKM852008 QUH851993:QUI852008 RED851993:REE852008 RNZ851993:ROA852008 RXV851993:RXW852008 SHR851993:SHS852008 SRN851993:SRO852008 TBJ851993:TBK852008 TLF851993:TLG852008 TVB851993:TVC852008 UEX851993:UEY852008 UOT851993:UOU852008 UYP851993:UYQ852008 VIL851993:VIM852008 VSH851993:VSI852008 WCD851993:WCE852008 WLZ851993:WMA852008 WVV851993:WVW852008 N917529:O917544 JJ917529:JK917544 TF917529:TG917544 ADB917529:ADC917544 AMX917529:AMY917544 AWT917529:AWU917544 BGP917529:BGQ917544 BQL917529:BQM917544 CAH917529:CAI917544 CKD917529:CKE917544 CTZ917529:CUA917544 DDV917529:DDW917544 DNR917529:DNS917544 DXN917529:DXO917544 EHJ917529:EHK917544 ERF917529:ERG917544 FBB917529:FBC917544 FKX917529:FKY917544 FUT917529:FUU917544 GEP917529:GEQ917544 GOL917529:GOM917544 GYH917529:GYI917544 HID917529:HIE917544 HRZ917529:HSA917544 IBV917529:IBW917544 ILR917529:ILS917544 IVN917529:IVO917544 JFJ917529:JFK917544 JPF917529:JPG917544 JZB917529:JZC917544 KIX917529:KIY917544 KST917529:KSU917544 LCP917529:LCQ917544 LML917529:LMM917544 LWH917529:LWI917544 MGD917529:MGE917544 MPZ917529:MQA917544 MZV917529:MZW917544 NJR917529:NJS917544 NTN917529:NTO917544 ODJ917529:ODK917544 ONF917529:ONG917544 OXB917529:OXC917544 PGX917529:PGY917544 PQT917529:PQU917544 QAP917529:QAQ917544 QKL917529:QKM917544 QUH917529:QUI917544 RED917529:REE917544 RNZ917529:ROA917544 RXV917529:RXW917544 SHR917529:SHS917544 SRN917529:SRO917544 TBJ917529:TBK917544 TLF917529:TLG917544 TVB917529:TVC917544 UEX917529:UEY917544 UOT917529:UOU917544 UYP917529:UYQ917544 VIL917529:VIM917544 VSH917529:VSI917544 WCD917529:WCE917544 WLZ917529:WMA917544 WVV917529:WVW917544 N983065:O983080 JJ983065:JK983080 TF983065:TG983080 ADB983065:ADC983080 AMX983065:AMY983080 AWT983065:AWU983080 BGP983065:BGQ983080 BQL983065:BQM983080 CAH983065:CAI983080 CKD983065:CKE983080 CTZ983065:CUA983080 DDV983065:DDW983080 DNR983065:DNS983080 DXN983065:DXO983080 EHJ983065:EHK983080 ERF983065:ERG983080 FBB983065:FBC983080 FKX983065:FKY983080 FUT983065:FUU983080 GEP983065:GEQ983080 GOL983065:GOM983080 GYH983065:GYI983080 HID983065:HIE983080 HRZ983065:HSA983080 IBV983065:IBW983080 ILR983065:ILS983080 IVN983065:IVO983080 JFJ983065:JFK983080 JPF983065:JPG983080 JZB983065:JZC983080 KIX983065:KIY983080 KST983065:KSU983080 LCP983065:LCQ983080 LML983065:LMM983080 LWH983065:LWI983080 MGD983065:MGE983080 MPZ983065:MQA983080 MZV983065:MZW983080 NJR983065:NJS983080 NTN983065:NTO983080 ODJ983065:ODK983080 ONF983065:ONG983080 OXB983065:OXC983080 PGX983065:PGY983080 PQT983065:PQU983080 QAP983065:QAQ983080 QKL983065:QKM983080 QUH983065:QUI983080 RED983065:REE983080 RNZ983065:ROA983080 RXV983065:RXW983080 SHR983065:SHS983080 SRN983065:SRO983080 TBJ983065:TBK983080 TLF983065:TLG983080 TVB983065:TVC983080 UEX983065:UEY983080 UOT983065:UOU983080 UYP983065:UYQ983080 VIL983065:VIM983080 VSH983065:VSI983080 WCD983065:WCE983080 WLZ983065:WMA983080 WVV983065:WVW983080 N44:O44 JJ44:JK44 TF44:TG44 ADB44:ADC44 AMX44:AMY44 AWT44:AWU44 BGP44:BGQ44 BQL44:BQM44 CAH44:CAI44 CKD44:CKE44 CTZ44:CUA44 DDV44:DDW44 DNR44:DNS44 DXN44:DXO44 EHJ44:EHK44 ERF44:ERG44 FBB44:FBC44 FKX44:FKY44 FUT44:FUU44 GEP44:GEQ44 GOL44:GOM44 GYH44:GYI44 HID44:HIE44 HRZ44:HSA44 IBV44:IBW44 ILR44:ILS44 IVN44:IVO44 JFJ44:JFK44 JPF44:JPG44 JZB44:JZC44 KIX44:KIY44 KST44:KSU44 LCP44:LCQ44 LML44:LMM44 LWH44:LWI44 MGD44:MGE44 MPZ44:MQA44 MZV44:MZW44 NJR44:NJS44 NTN44:NTO44 ODJ44:ODK44 ONF44:ONG44 OXB44:OXC44 PGX44:PGY44 PQT44:PQU44 QAP44:QAQ44 QKL44:QKM44 QUH44:QUI44 RED44:REE44 RNZ44:ROA44 RXV44:RXW44 SHR44:SHS44 SRN44:SRO44 TBJ44:TBK44 TLF44:TLG44 TVB44:TVC44 UEX44:UEY44 UOT44:UOU44 UYP44:UYQ44 VIL44:VIM44 VSH44:VSI44 WCD44:WCE44 WLZ44:WMA44 WVV44:WVW44 N65580:O65580 JJ65580:JK65580 TF65580:TG65580 ADB65580:ADC65580 AMX65580:AMY65580 AWT65580:AWU65580 BGP65580:BGQ65580 BQL65580:BQM65580 CAH65580:CAI65580 CKD65580:CKE65580 CTZ65580:CUA65580 DDV65580:DDW65580 DNR65580:DNS65580 DXN65580:DXO65580 EHJ65580:EHK65580 ERF65580:ERG65580 FBB65580:FBC65580 FKX65580:FKY65580 FUT65580:FUU65580 GEP65580:GEQ65580 GOL65580:GOM65580 GYH65580:GYI65580 HID65580:HIE65580 HRZ65580:HSA65580 IBV65580:IBW65580 ILR65580:ILS65580 IVN65580:IVO65580 JFJ65580:JFK65580 JPF65580:JPG65580 JZB65580:JZC65580 KIX65580:KIY65580 KST65580:KSU65580 LCP65580:LCQ65580 LML65580:LMM65580 LWH65580:LWI65580 MGD65580:MGE65580 MPZ65580:MQA65580 MZV65580:MZW65580 NJR65580:NJS65580 NTN65580:NTO65580 ODJ65580:ODK65580 ONF65580:ONG65580 OXB65580:OXC65580 PGX65580:PGY65580 PQT65580:PQU65580 QAP65580:QAQ65580 QKL65580:QKM65580 QUH65580:QUI65580 RED65580:REE65580 RNZ65580:ROA65580 RXV65580:RXW65580 SHR65580:SHS65580 SRN65580:SRO65580 TBJ65580:TBK65580 TLF65580:TLG65580 TVB65580:TVC65580 UEX65580:UEY65580 UOT65580:UOU65580 UYP65580:UYQ65580 VIL65580:VIM65580 VSH65580:VSI65580 WCD65580:WCE65580 WLZ65580:WMA65580 WVV65580:WVW65580 N131116:O131116 JJ131116:JK131116 TF131116:TG131116 ADB131116:ADC131116 AMX131116:AMY131116 AWT131116:AWU131116 BGP131116:BGQ131116 BQL131116:BQM131116 CAH131116:CAI131116 CKD131116:CKE131116 CTZ131116:CUA131116 DDV131116:DDW131116 DNR131116:DNS131116 DXN131116:DXO131116 EHJ131116:EHK131116 ERF131116:ERG131116 FBB131116:FBC131116 FKX131116:FKY131116 FUT131116:FUU131116 GEP131116:GEQ131116 GOL131116:GOM131116 GYH131116:GYI131116 HID131116:HIE131116 HRZ131116:HSA131116 IBV131116:IBW131116 ILR131116:ILS131116 IVN131116:IVO131116 JFJ131116:JFK131116 JPF131116:JPG131116 JZB131116:JZC131116 KIX131116:KIY131116 KST131116:KSU131116 LCP131116:LCQ131116 LML131116:LMM131116 LWH131116:LWI131116 MGD131116:MGE131116 MPZ131116:MQA131116 MZV131116:MZW131116 NJR131116:NJS131116 NTN131116:NTO131116 ODJ131116:ODK131116 ONF131116:ONG131116 OXB131116:OXC131116 PGX131116:PGY131116 PQT131116:PQU131116 QAP131116:QAQ131116 QKL131116:QKM131116 QUH131116:QUI131116 RED131116:REE131116 RNZ131116:ROA131116 RXV131116:RXW131116 SHR131116:SHS131116 SRN131116:SRO131116 TBJ131116:TBK131116 TLF131116:TLG131116 TVB131116:TVC131116 UEX131116:UEY131116 UOT131116:UOU131116 UYP131116:UYQ131116 VIL131116:VIM131116 VSH131116:VSI131116 WCD131116:WCE131116 WLZ131116:WMA131116 WVV131116:WVW131116 N196652:O196652 JJ196652:JK196652 TF196652:TG196652 ADB196652:ADC196652 AMX196652:AMY196652 AWT196652:AWU196652 BGP196652:BGQ196652 BQL196652:BQM196652 CAH196652:CAI196652 CKD196652:CKE196652 CTZ196652:CUA196652 DDV196652:DDW196652 DNR196652:DNS196652 DXN196652:DXO196652 EHJ196652:EHK196652 ERF196652:ERG196652 FBB196652:FBC196652 FKX196652:FKY196652 FUT196652:FUU196652 GEP196652:GEQ196652 GOL196652:GOM196652 GYH196652:GYI196652 HID196652:HIE196652 HRZ196652:HSA196652 IBV196652:IBW196652 ILR196652:ILS196652 IVN196652:IVO196652 JFJ196652:JFK196652 JPF196652:JPG196652 JZB196652:JZC196652 KIX196652:KIY196652 KST196652:KSU196652 LCP196652:LCQ196652 LML196652:LMM196652 LWH196652:LWI196652 MGD196652:MGE196652 MPZ196652:MQA196652 MZV196652:MZW196652 NJR196652:NJS196652 NTN196652:NTO196652 ODJ196652:ODK196652 ONF196652:ONG196652 OXB196652:OXC196652 PGX196652:PGY196652 PQT196652:PQU196652 QAP196652:QAQ196652 QKL196652:QKM196652 QUH196652:QUI196652 RED196652:REE196652 RNZ196652:ROA196652 RXV196652:RXW196652 SHR196652:SHS196652 SRN196652:SRO196652 TBJ196652:TBK196652 TLF196652:TLG196652 TVB196652:TVC196652 UEX196652:UEY196652 UOT196652:UOU196652 UYP196652:UYQ196652 VIL196652:VIM196652 VSH196652:VSI196652 WCD196652:WCE196652 WLZ196652:WMA196652 WVV196652:WVW196652 N262188:O262188 JJ262188:JK262188 TF262188:TG262188 ADB262188:ADC262188 AMX262188:AMY262188 AWT262188:AWU262188 BGP262188:BGQ262188 BQL262188:BQM262188 CAH262188:CAI262188 CKD262188:CKE262188 CTZ262188:CUA262188 DDV262188:DDW262188 DNR262188:DNS262188 DXN262188:DXO262188 EHJ262188:EHK262188 ERF262188:ERG262188 FBB262188:FBC262188 FKX262188:FKY262188 FUT262188:FUU262188 GEP262188:GEQ262188 GOL262188:GOM262188 GYH262188:GYI262188 HID262188:HIE262188 HRZ262188:HSA262188 IBV262188:IBW262188 ILR262188:ILS262188 IVN262188:IVO262188 JFJ262188:JFK262188 JPF262188:JPG262188 JZB262188:JZC262188 KIX262188:KIY262188 KST262188:KSU262188 LCP262188:LCQ262188 LML262188:LMM262188 LWH262188:LWI262188 MGD262188:MGE262188 MPZ262188:MQA262188 MZV262188:MZW262188 NJR262188:NJS262188 NTN262188:NTO262188 ODJ262188:ODK262188 ONF262188:ONG262188 OXB262188:OXC262188 PGX262188:PGY262188 PQT262188:PQU262188 QAP262188:QAQ262188 QKL262188:QKM262188 QUH262188:QUI262188 RED262188:REE262188 RNZ262188:ROA262188 RXV262188:RXW262188 SHR262188:SHS262188 SRN262188:SRO262188 TBJ262188:TBK262188 TLF262188:TLG262188 TVB262188:TVC262188 UEX262188:UEY262188 UOT262188:UOU262188 UYP262188:UYQ262188 VIL262188:VIM262188 VSH262188:VSI262188 WCD262188:WCE262188 WLZ262188:WMA262188 WVV262188:WVW262188 N327724:O327724 JJ327724:JK327724 TF327724:TG327724 ADB327724:ADC327724 AMX327724:AMY327724 AWT327724:AWU327724 BGP327724:BGQ327724 BQL327724:BQM327724 CAH327724:CAI327724 CKD327724:CKE327724 CTZ327724:CUA327724 DDV327724:DDW327724 DNR327724:DNS327724 DXN327724:DXO327724 EHJ327724:EHK327724 ERF327724:ERG327724 FBB327724:FBC327724 FKX327724:FKY327724 FUT327724:FUU327724 GEP327724:GEQ327724 GOL327724:GOM327724 GYH327724:GYI327724 HID327724:HIE327724 HRZ327724:HSA327724 IBV327724:IBW327724 ILR327724:ILS327724 IVN327724:IVO327724 JFJ327724:JFK327724 JPF327724:JPG327724 JZB327724:JZC327724 KIX327724:KIY327724 KST327724:KSU327724 LCP327724:LCQ327724 LML327724:LMM327724 LWH327724:LWI327724 MGD327724:MGE327724 MPZ327724:MQA327724 MZV327724:MZW327724 NJR327724:NJS327724 NTN327724:NTO327724 ODJ327724:ODK327724 ONF327724:ONG327724 OXB327724:OXC327724 PGX327724:PGY327724 PQT327724:PQU327724 QAP327724:QAQ327724 QKL327724:QKM327724 QUH327724:QUI327724 RED327724:REE327724 RNZ327724:ROA327724 RXV327724:RXW327724 SHR327724:SHS327724 SRN327724:SRO327724 TBJ327724:TBK327724 TLF327724:TLG327724 TVB327724:TVC327724 UEX327724:UEY327724 UOT327724:UOU327724 UYP327724:UYQ327724 VIL327724:VIM327724 VSH327724:VSI327724 WCD327724:WCE327724 WLZ327724:WMA327724 WVV327724:WVW327724 N393260:O393260 JJ393260:JK393260 TF393260:TG393260 ADB393260:ADC393260 AMX393260:AMY393260 AWT393260:AWU393260 BGP393260:BGQ393260 BQL393260:BQM393260 CAH393260:CAI393260 CKD393260:CKE393260 CTZ393260:CUA393260 DDV393260:DDW393260 DNR393260:DNS393260 DXN393260:DXO393260 EHJ393260:EHK393260 ERF393260:ERG393260 FBB393260:FBC393260 FKX393260:FKY393260 FUT393260:FUU393260 GEP393260:GEQ393260 GOL393260:GOM393260 GYH393260:GYI393260 HID393260:HIE393260 HRZ393260:HSA393260 IBV393260:IBW393260 ILR393260:ILS393260 IVN393260:IVO393260 JFJ393260:JFK393260 JPF393260:JPG393260 JZB393260:JZC393260 KIX393260:KIY393260 KST393260:KSU393260 LCP393260:LCQ393260 LML393260:LMM393260 LWH393260:LWI393260 MGD393260:MGE393260 MPZ393260:MQA393260 MZV393260:MZW393260 NJR393260:NJS393260 NTN393260:NTO393260 ODJ393260:ODK393260 ONF393260:ONG393260 OXB393260:OXC393260 PGX393260:PGY393260 PQT393260:PQU393260 QAP393260:QAQ393260 QKL393260:QKM393260 QUH393260:QUI393260 RED393260:REE393260 RNZ393260:ROA393260 RXV393260:RXW393260 SHR393260:SHS393260 SRN393260:SRO393260 TBJ393260:TBK393260 TLF393260:TLG393260 TVB393260:TVC393260 UEX393260:UEY393260 UOT393260:UOU393260 UYP393260:UYQ393260 VIL393260:VIM393260 VSH393260:VSI393260 WCD393260:WCE393260 WLZ393260:WMA393260 WVV393260:WVW393260 N458796:O458796 JJ458796:JK458796 TF458796:TG458796 ADB458796:ADC458796 AMX458796:AMY458796 AWT458796:AWU458796 BGP458796:BGQ458796 BQL458796:BQM458796 CAH458796:CAI458796 CKD458796:CKE458796 CTZ458796:CUA458796 DDV458796:DDW458796 DNR458796:DNS458796 DXN458796:DXO458796 EHJ458796:EHK458796 ERF458796:ERG458796 FBB458796:FBC458796 FKX458796:FKY458796 FUT458796:FUU458796 GEP458796:GEQ458796 GOL458796:GOM458796 GYH458796:GYI458796 HID458796:HIE458796 HRZ458796:HSA458796 IBV458796:IBW458796 ILR458796:ILS458796 IVN458796:IVO458796 JFJ458796:JFK458796 JPF458796:JPG458796 JZB458796:JZC458796 KIX458796:KIY458796 KST458796:KSU458796 LCP458796:LCQ458796 LML458796:LMM458796 LWH458796:LWI458796 MGD458796:MGE458796 MPZ458796:MQA458796 MZV458796:MZW458796 NJR458796:NJS458796 NTN458796:NTO458796 ODJ458796:ODK458796 ONF458796:ONG458796 OXB458796:OXC458796 PGX458796:PGY458796 PQT458796:PQU458796 QAP458796:QAQ458796 QKL458796:QKM458796 QUH458796:QUI458796 RED458796:REE458796 RNZ458796:ROA458796 RXV458796:RXW458796 SHR458796:SHS458796 SRN458796:SRO458796 TBJ458796:TBK458796 TLF458796:TLG458796 TVB458796:TVC458796 UEX458796:UEY458796 UOT458796:UOU458796 UYP458796:UYQ458796 VIL458796:VIM458796 VSH458796:VSI458796 WCD458796:WCE458796 WLZ458796:WMA458796 WVV458796:WVW458796 N524332:O524332 JJ524332:JK524332 TF524332:TG524332 ADB524332:ADC524332 AMX524332:AMY524332 AWT524332:AWU524332 BGP524332:BGQ524332 BQL524332:BQM524332 CAH524332:CAI524332 CKD524332:CKE524332 CTZ524332:CUA524332 DDV524332:DDW524332 DNR524332:DNS524332 DXN524332:DXO524332 EHJ524332:EHK524332 ERF524332:ERG524332 FBB524332:FBC524332 FKX524332:FKY524332 FUT524332:FUU524332 GEP524332:GEQ524332 GOL524332:GOM524332 GYH524332:GYI524332 HID524332:HIE524332 HRZ524332:HSA524332 IBV524332:IBW524332 ILR524332:ILS524332 IVN524332:IVO524332 JFJ524332:JFK524332 JPF524332:JPG524332 JZB524332:JZC524332 KIX524332:KIY524332 KST524332:KSU524332 LCP524332:LCQ524332 LML524332:LMM524332 LWH524332:LWI524332 MGD524332:MGE524332 MPZ524332:MQA524332 MZV524332:MZW524332 NJR524332:NJS524332 NTN524332:NTO524332 ODJ524332:ODK524332 ONF524332:ONG524332 OXB524332:OXC524332 PGX524332:PGY524332 PQT524332:PQU524332 QAP524332:QAQ524332 QKL524332:QKM524332 QUH524332:QUI524332 RED524332:REE524332 RNZ524332:ROA524332 RXV524332:RXW524332 SHR524332:SHS524332 SRN524332:SRO524332 TBJ524332:TBK524332 TLF524332:TLG524332 TVB524332:TVC524332 UEX524332:UEY524332 UOT524332:UOU524332 UYP524332:UYQ524332 VIL524332:VIM524332 VSH524332:VSI524332 WCD524332:WCE524332 WLZ524332:WMA524332 WVV524332:WVW524332 N589868:O589868 JJ589868:JK589868 TF589868:TG589868 ADB589868:ADC589868 AMX589868:AMY589868 AWT589868:AWU589868 BGP589868:BGQ589868 BQL589868:BQM589868 CAH589868:CAI589868 CKD589868:CKE589868 CTZ589868:CUA589868 DDV589868:DDW589868 DNR589868:DNS589868 DXN589868:DXO589868 EHJ589868:EHK589868 ERF589868:ERG589868 FBB589868:FBC589868 FKX589868:FKY589868 FUT589868:FUU589868 GEP589868:GEQ589868 GOL589868:GOM589868 GYH589868:GYI589868 HID589868:HIE589868 HRZ589868:HSA589868 IBV589868:IBW589868 ILR589868:ILS589868 IVN589868:IVO589868 JFJ589868:JFK589868 JPF589868:JPG589868 JZB589868:JZC589868 KIX589868:KIY589868 KST589868:KSU589868 LCP589868:LCQ589868 LML589868:LMM589868 LWH589868:LWI589868 MGD589868:MGE589868 MPZ589868:MQA589868 MZV589868:MZW589868 NJR589868:NJS589868 NTN589868:NTO589868 ODJ589868:ODK589868 ONF589868:ONG589868 OXB589868:OXC589868 PGX589868:PGY589868 PQT589868:PQU589868 QAP589868:QAQ589868 QKL589868:QKM589868 QUH589868:QUI589868 RED589868:REE589868 RNZ589868:ROA589868 RXV589868:RXW589868 SHR589868:SHS589868 SRN589868:SRO589868 TBJ589868:TBK589868 TLF589868:TLG589868 TVB589868:TVC589868 UEX589868:UEY589868 UOT589868:UOU589868 UYP589868:UYQ589868 VIL589868:VIM589868 VSH589868:VSI589868 WCD589868:WCE589868 WLZ589868:WMA589868 WVV589868:WVW589868 N655404:O655404 JJ655404:JK655404 TF655404:TG655404 ADB655404:ADC655404 AMX655404:AMY655404 AWT655404:AWU655404 BGP655404:BGQ655404 BQL655404:BQM655404 CAH655404:CAI655404 CKD655404:CKE655404 CTZ655404:CUA655404 DDV655404:DDW655404 DNR655404:DNS655404 DXN655404:DXO655404 EHJ655404:EHK655404 ERF655404:ERG655404 FBB655404:FBC655404 FKX655404:FKY655404 FUT655404:FUU655404 GEP655404:GEQ655404 GOL655404:GOM655404 GYH655404:GYI655404 HID655404:HIE655404 HRZ655404:HSA655404 IBV655404:IBW655404 ILR655404:ILS655404 IVN655404:IVO655404 JFJ655404:JFK655404 JPF655404:JPG655404 JZB655404:JZC655404 KIX655404:KIY655404 KST655404:KSU655404 LCP655404:LCQ655404 LML655404:LMM655404 LWH655404:LWI655404 MGD655404:MGE655404 MPZ655404:MQA655404 MZV655404:MZW655404 NJR655404:NJS655404 NTN655404:NTO655404 ODJ655404:ODK655404 ONF655404:ONG655404 OXB655404:OXC655404 PGX655404:PGY655404 PQT655404:PQU655404 QAP655404:QAQ655404 QKL655404:QKM655404 QUH655404:QUI655404 RED655404:REE655404 RNZ655404:ROA655404 RXV655404:RXW655404 SHR655404:SHS655404 SRN655404:SRO655404 TBJ655404:TBK655404 TLF655404:TLG655404 TVB655404:TVC655404 UEX655404:UEY655404 UOT655404:UOU655404 UYP655404:UYQ655404 VIL655404:VIM655404 VSH655404:VSI655404 WCD655404:WCE655404 WLZ655404:WMA655404 WVV655404:WVW655404 N720940:O720940 JJ720940:JK720940 TF720940:TG720940 ADB720940:ADC720940 AMX720940:AMY720940 AWT720940:AWU720940 BGP720940:BGQ720940 BQL720940:BQM720940 CAH720940:CAI720940 CKD720940:CKE720940 CTZ720940:CUA720940 DDV720940:DDW720940 DNR720940:DNS720940 DXN720940:DXO720940 EHJ720940:EHK720940 ERF720940:ERG720940 FBB720940:FBC720940 FKX720940:FKY720940 FUT720940:FUU720940 GEP720940:GEQ720940 GOL720940:GOM720940 GYH720940:GYI720940 HID720940:HIE720940 HRZ720940:HSA720940 IBV720940:IBW720940 ILR720940:ILS720940 IVN720940:IVO720940 JFJ720940:JFK720940 JPF720940:JPG720940 JZB720940:JZC720940 KIX720940:KIY720940 KST720940:KSU720940 LCP720940:LCQ720940 LML720940:LMM720940 LWH720940:LWI720940 MGD720940:MGE720940 MPZ720940:MQA720940 MZV720940:MZW720940 NJR720940:NJS720940 NTN720940:NTO720940 ODJ720940:ODK720940 ONF720940:ONG720940 OXB720940:OXC720940 PGX720940:PGY720940 PQT720940:PQU720940 QAP720940:QAQ720940 QKL720940:QKM720940 QUH720940:QUI720940 RED720940:REE720940 RNZ720940:ROA720940 RXV720940:RXW720940 SHR720940:SHS720940 SRN720940:SRO720940 TBJ720940:TBK720940 TLF720940:TLG720940 TVB720940:TVC720940 UEX720940:UEY720940 UOT720940:UOU720940 UYP720940:UYQ720940 VIL720940:VIM720940 VSH720940:VSI720940 WCD720940:WCE720940 WLZ720940:WMA720940 WVV720940:WVW720940 N786476:O786476 JJ786476:JK786476 TF786476:TG786476 ADB786476:ADC786476 AMX786476:AMY786476 AWT786476:AWU786476 BGP786476:BGQ786476 BQL786476:BQM786476 CAH786476:CAI786476 CKD786476:CKE786476 CTZ786476:CUA786476 DDV786476:DDW786476 DNR786476:DNS786476 DXN786476:DXO786476 EHJ786476:EHK786476 ERF786476:ERG786476 FBB786476:FBC786476 FKX786476:FKY786476 FUT786476:FUU786476 GEP786476:GEQ786476 GOL786476:GOM786476 GYH786476:GYI786476 HID786476:HIE786476 HRZ786476:HSA786476 IBV786476:IBW786476 ILR786476:ILS786476 IVN786476:IVO786476 JFJ786476:JFK786476 JPF786476:JPG786476 JZB786476:JZC786476 KIX786476:KIY786476 KST786476:KSU786476 LCP786476:LCQ786476 LML786476:LMM786476 LWH786476:LWI786476 MGD786476:MGE786476 MPZ786476:MQA786476 MZV786476:MZW786476 NJR786476:NJS786476 NTN786476:NTO786476 ODJ786476:ODK786476 ONF786476:ONG786476 OXB786476:OXC786476 PGX786476:PGY786476 PQT786476:PQU786476 QAP786476:QAQ786476 QKL786476:QKM786476 QUH786476:QUI786476 RED786476:REE786476 RNZ786476:ROA786476 RXV786476:RXW786476 SHR786476:SHS786476 SRN786476:SRO786476 TBJ786476:TBK786476 TLF786476:TLG786476 TVB786476:TVC786476 UEX786476:UEY786476 UOT786476:UOU786476 UYP786476:UYQ786476 VIL786476:VIM786476 VSH786476:VSI786476 WCD786476:WCE786476 WLZ786476:WMA786476 WVV786476:WVW786476 N852012:O852012 JJ852012:JK852012 TF852012:TG852012 ADB852012:ADC852012 AMX852012:AMY852012 AWT852012:AWU852012 BGP852012:BGQ852012 BQL852012:BQM852012 CAH852012:CAI852012 CKD852012:CKE852012 CTZ852012:CUA852012 DDV852012:DDW852012 DNR852012:DNS852012 DXN852012:DXO852012 EHJ852012:EHK852012 ERF852012:ERG852012 FBB852012:FBC852012 FKX852012:FKY852012 FUT852012:FUU852012 GEP852012:GEQ852012 GOL852012:GOM852012 GYH852012:GYI852012 HID852012:HIE852012 HRZ852012:HSA852012 IBV852012:IBW852012 ILR852012:ILS852012 IVN852012:IVO852012 JFJ852012:JFK852012 JPF852012:JPG852012 JZB852012:JZC852012 KIX852012:KIY852012 KST852012:KSU852012 LCP852012:LCQ852012 LML852012:LMM852012 LWH852012:LWI852012 MGD852012:MGE852012 MPZ852012:MQA852012 MZV852012:MZW852012 NJR852012:NJS852012 NTN852012:NTO852012 ODJ852012:ODK852012 ONF852012:ONG852012 OXB852012:OXC852012 PGX852012:PGY852012 PQT852012:PQU852012 QAP852012:QAQ852012 QKL852012:QKM852012 QUH852012:QUI852012 RED852012:REE852012 RNZ852012:ROA852012 RXV852012:RXW852012 SHR852012:SHS852012 SRN852012:SRO852012 TBJ852012:TBK852012 TLF852012:TLG852012 TVB852012:TVC852012 UEX852012:UEY852012 UOT852012:UOU852012 UYP852012:UYQ852012 VIL852012:VIM852012 VSH852012:VSI852012 WCD852012:WCE852012 WLZ852012:WMA852012 WVV852012:WVW852012 N917548:O917548 JJ917548:JK917548 TF917548:TG917548 ADB917548:ADC917548 AMX917548:AMY917548 AWT917548:AWU917548 BGP917548:BGQ917548 BQL917548:BQM917548 CAH917548:CAI917548 CKD917548:CKE917548 CTZ917548:CUA917548 DDV917548:DDW917548 DNR917548:DNS917548 DXN917548:DXO917548 EHJ917548:EHK917548 ERF917548:ERG917548 FBB917548:FBC917548 FKX917548:FKY917548 FUT917548:FUU917548 GEP917548:GEQ917548 GOL917548:GOM917548 GYH917548:GYI917548 HID917548:HIE917548 HRZ917548:HSA917548 IBV917548:IBW917548 ILR917548:ILS917548 IVN917548:IVO917548 JFJ917548:JFK917548 JPF917548:JPG917548 JZB917548:JZC917548 KIX917548:KIY917548 KST917548:KSU917548 LCP917548:LCQ917548 LML917548:LMM917548 LWH917548:LWI917548 MGD917548:MGE917548 MPZ917548:MQA917548 MZV917548:MZW917548 NJR917548:NJS917548 NTN917548:NTO917548 ODJ917548:ODK917548 ONF917548:ONG917548 OXB917548:OXC917548 PGX917548:PGY917548 PQT917548:PQU917548 QAP917548:QAQ917548 QKL917548:QKM917548 QUH917548:QUI917548 RED917548:REE917548 RNZ917548:ROA917548 RXV917548:RXW917548 SHR917548:SHS917548 SRN917548:SRO917548 TBJ917548:TBK917548 TLF917548:TLG917548 TVB917548:TVC917548 UEX917548:UEY917548 UOT917548:UOU917548 UYP917548:UYQ917548 VIL917548:VIM917548 VSH917548:VSI917548 WCD917548:WCE917548 WLZ917548:WMA917548 WVV917548:WVW917548 N983084:O983084 JJ983084:JK983084 TF983084:TG983084 ADB983084:ADC983084 AMX983084:AMY983084 AWT983084:AWU983084 BGP983084:BGQ983084 BQL983084:BQM983084 CAH983084:CAI983084 CKD983084:CKE983084 CTZ983084:CUA983084 DDV983084:DDW983084 DNR983084:DNS983084 DXN983084:DXO983084 EHJ983084:EHK983084 ERF983084:ERG983084 FBB983084:FBC983084 FKX983084:FKY983084 FUT983084:FUU983084 GEP983084:GEQ983084 GOL983084:GOM983084 GYH983084:GYI983084 HID983084:HIE983084 HRZ983084:HSA983084 IBV983084:IBW983084 ILR983084:ILS983084 IVN983084:IVO983084 JFJ983084:JFK983084 JPF983084:JPG983084 JZB983084:JZC983084 KIX983084:KIY983084 KST983084:KSU983084 LCP983084:LCQ983084 LML983084:LMM983084 LWH983084:LWI983084 MGD983084:MGE983084 MPZ983084:MQA983084 MZV983084:MZW983084 NJR983084:NJS983084 NTN983084:NTO983084 ODJ983084:ODK983084 ONF983084:ONG983084 OXB983084:OXC983084 PGX983084:PGY983084 PQT983084:PQU983084 QAP983084:QAQ983084 QKL983084:QKM983084 QUH983084:QUI983084 RED983084:REE983084 RNZ983084:ROA983084 RXV983084:RXW983084 SHR983084:SHS983084 SRN983084:SRO983084 TBJ983084:TBK983084 TLF983084:TLG983084 TVB983084:TVC983084 UEX983084:UEY983084 UOT983084:UOU983084 UYP983084:UYQ983084 VIL983084:VIM983084 VSH983084:VSI983084 WCD983084:WCE983084 WLZ983084:WMA983084 WVV983084:WVW983084 N52:O57 JJ52:JK57 TF52:TG57 ADB52:ADC57 AMX52:AMY57 AWT52:AWU57 BGP52:BGQ57 BQL52:BQM57 CAH52:CAI57 CKD52:CKE57 CTZ52:CUA57 DDV52:DDW57 DNR52:DNS57 DXN52:DXO57 EHJ52:EHK57 ERF52:ERG57 FBB52:FBC57 FKX52:FKY57 FUT52:FUU57 GEP52:GEQ57 GOL52:GOM57 GYH52:GYI57 HID52:HIE57 HRZ52:HSA57 IBV52:IBW57 ILR52:ILS57 IVN52:IVO57 JFJ52:JFK57 JPF52:JPG57 JZB52:JZC57 KIX52:KIY57 KST52:KSU57 LCP52:LCQ57 LML52:LMM57 LWH52:LWI57 MGD52:MGE57 MPZ52:MQA57 MZV52:MZW57 NJR52:NJS57 NTN52:NTO57 ODJ52:ODK57 ONF52:ONG57 OXB52:OXC57 PGX52:PGY57 PQT52:PQU57 QAP52:QAQ57 QKL52:QKM57 QUH52:QUI57 RED52:REE57 RNZ52:ROA57 RXV52:RXW57 SHR52:SHS57 SRN52:SRO57 TBJ52:TBK57 TLF52:TLG57 TVB52:TVC57 UEX52:UEY57 UOT52:UOU57 UYP52:UYQ57 VIL52:VIM57 VSH52:VSI57 WCD52:WCE57 WLZ52:WMA57 WVV52:WVW57 N65588:O65593 JJ65588:JK65593 TF65588:TG65593 ADB65588:ADC65593 AMX65588:AMY65593 AWT65588:AWU65593 BGP65588:BGQ65593 BQL65588:BQM65593 CAH65588:CAI65593 CKD65588:CKE65593 CTZ65588:CUA65593 DDV65588:DDW65593 DNR65588:DNS65593 DXN65588:DXO65593 EHJ65588:EHK65593 ERF65588:ERG65593 FBB65588:FBC65593 FKX65588:FKY65593 FUT65588:FUU65593 GEP65588:GEQ65593 GOL65588:GOM65593 GYH65588:GYI65593 HID65588:HIE65593 HRZ65588:HSA65593 IBV65588:IBW65593 ILR65588:ILS65593 IVN65588:IVO65593 JFJ65588:JFK65593 JPF65588:JPG65593 JZB65588:JZC65593 KIX65588:KIY65593 KST65588:KSU65593 LCP65588:LCQ65593 LML65588:LMM65593 LWH65588:LWI65593 MGD65588:MGE65593 MPZ65588:MQA65593 MZV65588:MZW65593 NJR65588:NJS65593 NTN65588:NTO65593 ODJ65588:ODK65593 ONF65588:ONG65593 OXB65588:OXC65593 PGX65588:PGY65593 PQT65588:PQU65593 QAP65588:QAQ65593 QKL65588:QKM65593 QUH65588:QUI65593 RED65588:REE65593 RNZ65588:ROA65593 RXV65588:RXW65593 SHR65588:SHS65593 SRN65588:SRO65593 TBJ65588:TBK65593 TLF65588:TLG65593 TVB65588:TVC65593 UEX65588:UEY65593 UOT65588:UOU65593 UYP65588:UYQ65593 VIL65588:VIM65593 VSH65588:VSI65593 WCD65588:WCE65593 WLZ65588:WMA65593 WVV65588:WVW65593 N131124:O131129 JJ131124:JK131129 TF131124:TG131129 ADB131124:ADC131129 AMX131124:AMY131129 AWT131124:AWU131129 BGP131124:BGQ131129 BQL131124:BQM131129 CAH131124:CAI131129 CKD131124:CKE131129 CTZ131124:CUA131129 DDV131124:DDW131129 DNR131124:DNS131129 DXN131124:DXO131129 EHJ131124:EHK131129 ERF131124:ERG131129 FBB131124:FBC131129 FKX131124:FKY131129 FUT131124:FUU131129 GEP131124:GEQ131129 GOL131124:GOM131129 GYH131124:GYI131129 HID131124:HIE131129 HRZ131124:HSA131129 IBV131124:IBW131129 ILR131124:ILS131129 IVN131124:IVO131129 JFJ131124:JFK131129 JPF131124:JPG131129 JZB131124:JZC131129 KIX131124:KIY131129 KST131124:KSU131129 LCP131124:LCQ131129 LML131124:LMM131129 LWH131124:LWI131129 MGD131124:MGE131129 MPZ131124:MQA131129 MZV131124:MZW131129 NJR131124:NJS131129 NTN131124:NTO131129 ODJ131124:ODK131129 ONF131124:ONG131129 OXB131124:OXC131129 PGX131124:PGY131129 PQT131124:PQU131129 QAP131124:QAQ131129 QKL131124:QKM131129 QUH131124:QUI131129 RED131124:REE131129 RNZ131124:ROA131129 RXV131124:RXW131129 SHR131124:SHS131129 SRN131124:SRO131129 TBJ131124:TBK131129 TLF131124:TLG131129 TVB131124:TVC131129 UEX131124:UEY131129 UOT131124:UOU131129 UYP131124:UYQ131129 VIL131124:VIM131129 VSH131124:VSI131129 WCD131124:WCE131129 WLZ131124:WMA131129 WVV131124:WVW131129 N196660:O196665 JJ196660:JK196665 TF196660:TG196665 ADB196660:ADC196665 AMX196660:AMY196665 AWT196660:AWU196665 BGP196660:BGQ196665 BQL196660:BQM196665 CAH196660:CAI196665 CKD196660:CKE196665 CTZ196660:CUA196665 DDV196660:DDW196665 DNR196660:DNS196665 DXN196660:DXO196665 EHJ196660:EHK196665 ERF196660:ERG196665 FBB196660:FBC196665 FKX196660:FKY196665 FUT196660:FUU196665 GEP196660:GEQ196665 GOL196660:GOM196665 GYH196660:GYI196665 HID196660:HIE196665 HRZ196660:HSA196665 IBV196660:IBW196665 ILR196660:ILS196665 IVN196660:IVO196665 JFJ196660:JFK196665 JPF196660:JPG196665 JZB196660:JZC196665 KIX196660:KIY196665 KST196660:KSU196665 LCP196660:LCQ196665 LML196660:LMM196665 LWH196660:LWI196665 MGD196660:MGE196665 MPZ196660:MQA196665 MZV196660:MZW196665 NJR196660:NJS196665 NTN196660:NTO196665 ODJ196660:ODK196665 ONF196660:ONG196665 OXB196660:OXC196665 PGX196660:PGY196665 PQT196660:PQU196665 QAP196660:QAQ196665 QKL196660:QKM196665 QUH196660:QUI196665 RED196660:REE196665 RNZ196660:ROA196665 RXV196660:RXW196665 SHR196660:SHS196665 SRN196660:SRO196665 TBJ196660:TBK196665 TLF196660:TLG196665 TVB196660:TVC196665 UEX196660:UEY196665 UOT196660:UOU196665 UYP196660:UYQ196665 VIL196660:VIM196665 VSH196660:VSI196665 WCD196660:WCE196665 WLZ196660:WMA196665 WVV196660:WVW196665 N262196:O262201 JJ262196:JK262201 TF262196:TG262201 ADB262196:ADC262201 AMX262196:AMY262201 AWT262196:AWU262201 BGP262196:BGQ262201 BQL262196:BQM262201 CAH262196:CAI262201 CKD262196:CKE262201 CTZ262196:CUA262201 DDV262196:DDW262201 DNR262196:DNS262201 DXN262196:DXO262201 EHJ262196:EHK262201 ERF262196:ERG262201 FBB262196:FBC262201 FKX262196:FKY262201 FUT262196:FUU262201 GEP262196:GEQ262201 GOL262196:GOM262201 GYH262196:GYI262201 HID262196:HIE262201 HRZ262196:HSA262201 IBV262196:IBW262201 ILR262196:ILS262201 IVN262196:IVO262201 JFJ262196:JFK262201 JPF262196:JPG262201 JZB262196:JZC262201 KIX262196:KIY262201 KST262196:KSU262201 LCP262196:LCQ262201 LML262196:LMM262201 LWH262196:LWI262201 MGD262196:MGE262201 MPZ262196:MQA262201 MZV262196:MZW262201 NJR262196:NJS262201 NTN262196:NTO262201 ODJ262196:ODK262201 ONF262196:ONG262201 OXB262196:OXC262201 PGX262196:PGY262201 PQT262196:PQU262201 QAP262196:QAQ262201 QKL262196:QKM262201 QUH262196:QUI262201 RED262196:REE262201 RNZ262196:ROA262201 RXV262196:RXW262201 SHR262196:SHS262201 SRN262196:SRO262201 TBJ262196:TBK262201 TLF262196:TLG262201 TVB262196:TVC262201 UEX262196:UEY262201 UOT262196:UOU262201 UYP262196:UYQ262201 VIL262196:VIM262201 VSH262196:VSI262201 WCD262196:WCE262201 WLZ262196:WMA262201 WVV262196:WVW262201 N327732:O327737 JJ327732:JK327737 TF327732:TG327737 ADB327732:ADC327737 AMX327732:AMY327737 AWT327732:AWU327737 BGP327732:BGQ327737 BQL327732:BQM327737 CAH327732:CAI327737 CKD327732:CKE327737 CTZ327732:CUA327737 DDV327732:DDW327737 DNR327732:DNS327737 DXN327732:DXO327737 EHJ327732:EHK327737 ERF327732:ERG327737 FBB327732:FBC327737 FKX327732:FKY327737 FUT327732:FUU327737 GEP327732:GEQ327737 GOL327732:GOM327737 GYH327732:GYI327737 HID327732:HIE327737 HRZ327732:HSA327737 IBV327732:IBW327737 ILR327732:ILS327737 IVN327732:IVO327737 JFJ327732:JFK327737 JPF327732:JPG327737 JZB327732:JZC327737 KIX327732:KIY327737 KST327732:KSU327737 LCP327732:LCQ327737 LML327732:LMM327737 LWH327732:LWI327737 MGD327732:MGE327737 MPZ327732:MQA327737 MZV327732:MZW327737 NJR327732:NJS327737 NTN327732:NTO327737 ODJ327732:ODK327737 ONF327732:ONG327737 OXB327732:OXC327737 PGX327732:PGY327737 PQT327732:PQU327737 QAP327732:QAQ327737 QKL327732:QKM327737 QUH327732:QUI327737 RED327732:REE327737 RNZ327732:ROA327737 RXV327732:RXW327737 SHR327732:SHS327737 SRN327732:SRO327737 TBJ327732:TBK327737 TLF327732:TLG327737 TVB327732:TVC327737 UEX327732:UEY327737 UOT327732:UOU327737 UYP327732:UYQ327737 VIL327732:VIM327737 VSH327732:VSI327737 WCD327732:WCE327737 WLZ327732:WMA327737 WVV327732:WVW327737 N393268:O393273 JJ393268:JK393273 TF393268:TG393273 ADB393268:ADC393273 AMX393268:AMY393273 AWT393268:AWU393273 BGP393268:BGQ393273 BQL393268:BQM393273 CAH393268:CAI393273 CKD393268:CKE393273 CTZ393268:CUA393273 DDV393268:DDW393273 DNR393268:DNS393273 DXN393268:DXO393273 EHJ393268:EHK393273 ERF393268:ERG393273 FBB393268:FBC393273 FKX393268:FKY393273 FUT393268:FUU393273 GEP393268:GEQ393273 GOL393268:GOM393273 GYH393268:GYI393273 HID393268:HIE393273 HRZ393268:HSA393273 IBV393268:IBW393273 ILR393268:ILS393273 IVN393268:IVO393273 JFJ393268:JFK393273 JPF393268:JPG393273 JZB393268:JZC393273 KIX393268:KIY393273 KST393268:KSU393273 LCP393268:LCQ393273 LML393268:LMM393273 LWH393268:LWI393273 MGD393268:MGE393273 MPZ393268:MQA393273 MZV393268:MZW393273 NJR393268:NJS393273 NTN393268:NTO393273 ODJ393268:ODK393273 ONF393268:ONG393273 OXB393268:OXC393273 PGX393268:PGY393273 PQT393268:PQU393273 QAP393268:QAQ393273 QKL393268:QKM393273 QUH393268:QUI393273 RED393268:REE393273 RNZ393268:ROA393273 RXV393268:RXW393273 SHR393268:SHS393273 SRN393268:SRO393273 TBJ393268:TBK393273 TLF393268:TLG393273 TVB393268:TVC393273 UEX393268:UEY393273 UOT393268:UOU393273 UYP393268:UYQ393273 VIL393268:VIM393273 VSH393268:VSI393273 WCD393268:WCE393273 WLZ393268:WMA393273 WVV393268:WVW393273 N458804:O458809 JJ458804:JK458809 TF458804:TG458809 ADB458804:ADC458809 AMX458804:AMY458809 AWT458804:AWU458809 BGP458804:BGQ458809 BQL458804:BQM458809 CAH458804:CAI458809 CKD458804:CKE458809 CTZ458804:CUA458809 DDV458804:DDW458809 DNR458804:DNS458809 DXN458804:DXO458809 EHJ458804:EHK458809 ERF458804:ERG458809 FBB458804:FBC458809 FKX458804:FKY458809 FUT458804:FUU458809 GEP458804:GEQ458809 GOL458804:GOM458809 GYH458804:GYI458809 HID458804:HIE458809 HRZ458804:HSA458809 IBV458804:IBW458809 ILR458804:ILS458809 IVN458804:IVO458809 JFJ458804:JFK458809 JPF458804:JPG458809 JZB458804:JZC458809 KIX458804:KIY458809 KST458804:KSU458809 LCP458804:LCQ458809 LML458804:LMM458809 LWH458804:LWI458809 MGD458804:MGE458809 MPZ458804:MQA458809 MZV458804:MZW458809 NJR458804:NJS458809 NTN458804:NTO458809 ODJ458804:ODK458809 ONF458804:ONG458809 OXB458804:OXC458809 PGX458804:PGY458809 PQT458804:PQU458809 QAP458804:QAQ458809 QKL458804:QKM458809 QUH458804:QUI458809 RED458804:REE458809 RNZ458804:ROA458809 RXV458804:RXW458809 SHR458804:SHS458809 SRN458804:SRO458809 TBJ458804:TBK458809 TLF458804:TLG458809 TVB458804:TVC458809 UEX458804:UEY458809 UOT458804:UOU458809 UYP458804:UYQ458809 VIL458804:VIM458809 VSH458804:VSI458809 WCD458804:WCE458809 WLZ458804:WMA458809 WVV458804:WVW458809 N524340:O524345 JJ524340:JK524345 TF524340:TG524345 ADB524340:ADC524345 AMX524340:AMY524345 AWT524340:AWU524345 BGP524340:BGQ524345 BQL524340:BQM524345 CAH524340:CAI524345 CKD524340:CKE524345 CTZ524340:CUA524345 DDV524340:DDW524345 DNR524340:DNS524345 DXN524340:DXO524345 EHJ524340:EHK524345 ERF524340:ERG524345 FBB524340:FBC524345 FKX524340:FKY524345 FUT524340:FUU524345 GEP524340:GEQ524345 GOL524340:GOM524345 GYH524340:GYI524345 HID524340:HIE524345 HRZ524340:HSA524345 IBV524340:IBW524345 ILR524340:ILS524345 IVN524340:IVO524345 JFJ524340:JFK524345 JPF524340:JPG524345 JZB524340:JZC524345 KIX524340:KIY524345 KST524340:KSU524345 LCP524340:LCQ524345 LML524340:LMM524345 LWH524340:LWI524345 MGD524340:MGE524345 MPZ524340:MQA524345 MZV524340:MZW524345 NJR524340:NJS524345 NTN524340:NTO524345 ODJ524340:ODK524345 ONF524340:ONG524345 OXB524340:OXC524345 PGX524340:PGY524345 PQT524340:PQU524345 QAP524340:QAQ524345 QKL524340:QKM524345 QUH524340:QUI524345 RED524340:REE524345 RNZ524340:ROA524345 RXV524340:RXW524345 SHR524340:SHS524345 SRN524340:SRO524345 TBJ524340:TBK524345 TLF524340:TLG524345 TVB524340:TVC524345 UEX524340:UEY524345 UOT524340:UOU524345 UYP524340:UYQ524345 VIL524340:VIM524345 VSH524340:VSI524345 WCD524340:WCE524345 WLZ524340:WMA524345 WVV524340:WVW524345 N589876:O589881 JJ589876:JK589881 TF589876:TG589881 ADB589876:ADC589881 AMX589876:AMY589881 AWT589876:AWU589881 BGP589876:BGQ589881 BQL589876:BQM589881 CAH589876:CAI589881 CKD589876:CKE589881 CTZ589876:CUA589881 DDV589876:DDW589881 DNR589876:DNS589881 DXN589876:DXO589881 EHJ589876:EHK589881 ERF589876:ERG589881 FBB589876:FBC589881 FKX589876:FKY589881 FUT589876:FUU589881 GEP589876:GEQ589881 GOL589876:GOM589881 GYH589876:GYI589881 HID589876:HIE589881 HRZ589876:HSA589881 IBV589876:IBW589881 ILR589876:ILS589881 IVN589876:IVO589881 JFJ589876:JFK589881 JPF589876:JPG589881 JZB589876:JZC589881 KIX589876:KIY589881 KST589876:KSU589881 LCP589876:LCQ589881 LML589876:LMM589881 LWH589876:LWI589881 MGD589876:MGE589881 MPZ589876:MQA589881 MZV589876:MZW589881 NJR589876:NJS589881 NTN589876:NTO589881 ODJ589876:ODK589881 ONF589876:ONG589881 OXB589876:OXC589881 PGX589876:PGY589881 PQT589876:PQU589881 QAP589876:QAQ589881 QKL589876:QKM589881 QUH589876:QUI589881 RED589876:REE589881 RNZ589876:ROA589881 RXV589876:RXW589881 SHR589876:SHS589881 SRN589876:SRO589881 TBJ589876:TBK589881 TLF589876:TLG589881 TVB589876:TVC589881 UEX589876:UEY589881 UOT589876:UOU589881 UYP589876:UYQ589881 VIL589876:VIM589881 VSH589876:VSI589881 WCD589876:WCE589881 WLZ589876:WMA589881 WVV589876:WVW589881 N655412:O655417 JJ655412:JK655417 TF655412:TG655417 ADB655412:ADC655417 AMX655412:AMY655417 AWT655412:AWU655417 BGP655412:BGQ655417 BQL655412:BQM655417 CAH655412:CAI655417 CKD655412:CKE655417 CTZ655412:CUA655417 DDV655412:DDW655417 DNR655412:DNS655417 DXN655412:DXO655417 EHJ655412:EHK655417 ERF655412:ERG655417 FBB655412:FBC655417 FKX655412:FKY655417 FUT655412:FUU655417 GEP655412:GEQ655417 GOL655412:GOM655417 GYH655412:GYI655417 HID655412:HIE655417 HRZ655412:HSA655417 IBV655412:IBW655417 ILR655412:ILS655417 IVN655412:IVO655417 JFJ655412:JFK655417 JPF655412:JPG655417 JZB655412:JZC655417 KIX655412:KIY655417 KST655412:KSU655417 LCP655412:LCQ655417 LML655412:LMM655417 LWH655412:LWI655417 MGD655412:MGE655417 MPZ655412:MQA655417 MZV655412:MZW655417 NJR655412:NJS655417 NTN655412:NTO655417 ODJ655412:ODK655417 ONF655412:ONG655417 OXB655412:OXC655417 PGX655412:PGY655417 PQT655412:PQU655417 QAP655412:QAQ655417 QKL655412:QKM655417 QUH655412:QUI655417 RED655412:REE655417 RNZ655412:ROA655417 RXV655412:RXW655417 SHR655412:SHS655417 SRN655412:SRO655417 TBJ655412:TBK655417 TLF655412:TLG655417 TVB655412:TVC655417 UEX655412:UEY655417 UOT655412:UOU655417 UYP655412:UYQ655417 VIL655412:VIM655417 VSH655412:VSI655417 WCD655412:WCE655417 WLZ655412:WMA655417 WVV655412:WVW655417 N720948:O720953 JJ720948:JK720953 TF720948:TG720953 ADB720948:ADC720953 AMX720948:AMY720953 AWT720948:AWU720953 BGP720948:BGQ720953 BQL720948:BQM720953 CAH720948:CAI720953 CKD720948:CKE720953 CTZ720948:CUA720953 DDV720948:DDW720953 DNR720948:DNS720953 DXN720948:DXO720953 EHJ720948:EHK720953 ERF720948:ERG720953 FBB720948:FBC720953 FKX720948:FKY720953 FUT720948:FUU720953 GEP720948:GEQ720953 GOL720948:GOM720953 GYH720948:GYI720953 HID720948:HIE720953 HRZ720948:HSA720953 IBV720948:IBW720953 ILR720948:ILS720953 IVN720948:IVO720953 JFJ720948:JFK720953 JPF720948:JPG720953 JZB720948:JZC720953 KIX720948:KIY720953 KST720948:KSU720953 LCP720948:LCQ720953 LML720948:LMM720953 LWH720948:LWI720953 MGD720948:MGE720953 MPZ720948:MQA720953 MZV720948:MZW720953 NJR720948:NJS720953 NTN720948:NTO720953 ODJ720948:ODK720953 ONF720948:ONG720953 OXB720948:OXC720953 PGX720948:PGY720953 PQT720948:PQU720953 QAP720948:QAQ720953 QKL720948:QKM720953 QUH720948:QUI720953 RED720948:REE720953 RNZ720948:ROA720953 RXV720948:RXW720953 SHR720948:SHS720953 SRN720948:SRO720953 TBJ720948:TBK720953 TLF720948:TLG720953 TVB720948:TVC720953 UEX720948:UEY720953 UOT720948:UOU720953 UYP720948:UYQ720953 VIL720948:VIM720953 VSH720948:VSI720953 WCD720948:WCE720953 WLZ720948:WMA720953 WVV720948:WVW720953 N786484:O786489 JJ786484:JK786489 TF786484:TG786489 ADB786484:ADC786489 AMX786484:AMY786489 AWT786484:AWU786489 BGP786484:BGQ786489 BQL786484:BQM786489 CAH786484:CAI786489 CKD786484:CKE786489 CTZ786484:CUA786489 DDV786484:DDW786489 DNR786484:DNS786489 DXN786484:DXO786489 EHJ786484:EHK786489 ERF786484:ERG786489 FBB786484:FBC786489 FKX786484:FKY786489 FUT786484:FUU786489 GEP786484:GEQ786489 GOL786484:GOM786489 GYH786484:GYI786489 HID786484:HIE786489 HRZ786484:HSA786489 IBV786484:IBW786489 ILR786484:ILS786489 IVN786484:IVO786489 JFJ786484:JFK786489 JPF786484:JPG786489 JZB786484:JZC786489 KIX786484:KIY786489 KST786484:KSU786489 LCP786484:LCQ786489 LML786484:LMM786489 LWH786484:LWI786489 MGD786484:MGE786489 MPZ786484:MQA786489 MZV786484:MZW786489 NJR786484:NJS786489 NTN786484:NTO786489 ODJ786484:ODK786489 ONF786484:ONG786489 OXB786484:OXC786489 PGX786484:PGY786489 PQT786484:PQU786489 QAP786484:QAQ786489 QKL786484:QKM786489 QUH786484:QUI786489 RED786484:REE786489 RNZ786484:ROA786489 RXV786484:RXW786489 SHR786484:SHS786489 SRN786484:SRO786489 TBJ786484:TBK786489 TLF786484:TLG786489 TVB786484:TVC786489 UEX786484:UEY786489 UOT786484:UOU786489 UYP786484:UYQ786489 VIL786484:VIM786489 VSH786484:VSI786489 WCD786484:WCE786489 WLZ786484:WMA786489 WVV786484:WVW786489 N852020:O852025 JJ852020:JK852025 TF852020:TG852025 ADB852020:ADC852025 AMX852020:AMY852025 AWT852020:AWU852025 BGP852020:BGQ852025 BQL852020:BQM852025 CAH852020:CAI852025 CKD852020:CKE852025 CTZ852020:CUA852025 DDV852020:DDW852025 DNR852020:DNS852025 DXN852020:DXO852025 EHJ852020:EHK852025 ERF852020:ERG852025 FBB852020:FBC852025 FKX852020:FKY852025 FUT852020:FUU852025 GEP852020:GEQ852025 GOL852020:GOM852025 GYH852020:GYI852025 HID852020:HIE852025 HRZ852020:HSA852025 IBV852020:IBW852025 ILR852020:ILS852025 IVN852020:IVO852025 JFJ852020:JFK852025 JPF852020:JPG852025 JZB852020:JZC852025 KIX852020:KIY852025 KST852020:KSU852025 LCP852020:LCQ852025 LML852020:LMM852025 LWH852020:LWI852025 MGD852020:MGE852025 MPZ852020:MQA852025 MZV852020:MZW852025 NJR852020:NJS852025 NTN852020:NTO852025 ODJ852020:ODK852025 ONF852020:ONG852025 OXB852020:OXC852025 PGX852020:PGY852025 PQT852020:PQU852025 QAP852020:QAQ852025 QKL852020:QKM852025 QUH852020:QUI852025 RED852020:REE852025 RNZ852020:ROA852025 RXV852020:RXW852025 SHR852020:SHS852025 SRN852020:SRO852025 TBJ852020:TBK852025 TLF852020:TLG852025 TVB852020:TVC852025 UEX852020:UEY852025 UOT852020:UOU852025 UYP852020:UYQ852025 VIL852020:VIM852025 VSH852020:VSI852025 WCD852020:WCE852025 WLZ852020:WMA852025 WVV852020:WVW852025 N917556:O917561 JJ917556:JK917561 TF917556:TG917561 ADB917556:ADC917561 AMX917556:AMY917561 AWT917556:AWU917561 BGP917556:BGQ917561 BQL917556:BQM917561 CAH917556:CAI917561 CKD917556:CKE917561 CTZ917556:CUA917561 DDV917556:DDW917561 DNR917556:DNS917561 DXN917556:DXO917561 EHJ917556:EHK917561 ERF917556:ERG917561 FBB917556:FBC917561 FKX917556:FKY917561 FUT917556:FUU917561 GEP917556:GEQ917561 GOL917556:GOM917561 GYH917556:GYI917561 HID917556:HIE917561 HRZ917556:HSA917561 IBV917556:IBW917561 ILR917556:ILS917561 IVN917556:IVO917561 JFJ917556:JFK917561 JPF917556:JPG917561 JZB917556:JZC917561 KIX917556:KIY917561 KST917556:KSU917561 LCP917556:LCQ917561 LML917556:LMM917561 LWH917556:LWI917561 MGD917556:MGE917561 MPZ917556:MQA917561 MZV917556:MZW917561 NJR917556:NJS917561 NTN917556:NTO917561 ODJ917556:ODK917561 ONF917556:ONG917561 OXB917556:OXC917561 PGX917556:PGY917561 PQT917556:PQU917561 QAP917556:QAQ917561 QKL917556:QKM917561 QUH917556:QUI917561 RED917556:REE917561 RNZ917556:ROA917561 RXV917556:RXW917561 SHR917556:SHS917561 SRN917556:SRO917561 TBJ917556:TBK917561 TLF917556:TLG917561 TVB917556:TVC917561 UEX917556:UEY917561 UOT917556:UOU917561 UYP917556:UYQ917561 VIL917556:VIM917561 VSH917556:VSI917561 WCD917556:WCE917561 WLZ917556:WMA917561 WVV917556:WVW917561 N983092:O983097 JJ983092:JK983097 TF983092:TG983097 ADB983092:ADC983097 AMX983092:AMY983097 AWT983092:AWU983097 BGP983092:BGQ983097 BQL983092:BQM983097 CAH983092:CAI983097 CKD983092:CKE983097 CTZ983092:CUA983097 DDV983092:DDW983097 DNR983092:DNS983097 DXN983092:DXO983097 EHJ983092:EHK983097 ERF983092:ERG983097 FBB983092:FBC983097 FKX983092:FKY983097 FUT983092:FUU983097 GEP983092:GEQ983097 GOL983092:GOM983097 GYH983092:GYI983097 HID983092:HIE983097 HRZ983092:HSA983097 IBV983092:IBW983097 ILR983092:ILS983097 IVN983092:IVO983097 JFJ983092:JFK983097 JPF983092:JPG983097 JZB983092:JZC983097 KIX983092:KIY983097 KST983092:KSU983097 LCP983092:LCQ983097 LML983092:LMM983097 LWH983092:LWI983097 MGD983092:MGE983097 MPZ983092:MQA983097 MZV983092:MZW983097 NJR983092:NJS983097 NTN983092:NTO983097 ODJ983092:ODK983097 ONF983092:ONG983097 OXB983092:OXC983097 PGX983092:PGY983097 PQT983092:PQU983097 QAP983092:QAQ983097 QKL983092:QKM983097 QUH983092:QUI983097 RED983092:REE983097 RNZ983092:ROA983097 RXV983092:RXW983097 SHR983092:SHS983097 SRN983092:SRO983097 TBJ983092:TBK983097 TLF983092:TLG983097 TVB983092:TVC983097 UEX983092:UEY983097 UOT983092:UOU983097 UYP983092:UYQ983097 VIL983092:VIM983097 VSH983092:VSI983097 WCD983092:WCE983097 WLZ983092:WMA983097 WVV983092:WVW983097 N59:O62 JJ59:JK62 TF59:TG62 ADB59:ADC62 AMX59:AMY62 AWT59:AWU62 BGP59:BGQ62 BQL59:BQM62 CAH59:CAI62 CKD59:CKE62 CTZ59:CUA62 DDV59:DDW62 DNR59:DNS62 DXN59:DXO62 EHJ59:EHK62 ERF59:ERG62 FBB59:FBC62 FKX59:FKY62 FUT59:FUU62 GEP59:GEQ62 GOL59:GOM62 GYH59:GYI62 HID59:HIE62 HRZ59:HSA62 IBV59:IBW62 ILR59:ILS62 IVN59:IVO62 JFJ59:JFK62 JPF59:JPG62 JZB59:JZC62 KIX59:KIY62 KST59:KSU62 LCP59:LCQ62 LML59:LMM62 LWH59:LWI62 MGD59:MGE62 MPZ59:MQA62 MZV59:MZW62 NJR59:NJS62 NTN59:NTO62 ODJ59:ODK62 ONF59:ONG62 OXB59:OXC62 PGX59:PGY62 PQT59:PQU62 QAP59:QAQ62 QKL59:QKM62 QUH59:QUI62 RED59:REE62 RNZ59:ROA62 RXV59:RXW62 SHR59:SHS62 SRN59:SRO62 TBJ59:TBK62 TLF59:TLG62 TVB59:TVC62 UEX59:UEY62 UOT59:UOU62 UYP59:UYQ62 VIL59:VIM62 VSH59:VSI62 WCD59:WCE62 WLZ59:WMA62 WVV59:WVW62 N65595:O65598 JJ65595:JK65598 TF65595:TG65598 ADB65595:ADC65598 AMX65595:AMY65598 AWT65595:AWU65598 BGP65595:BGQ65598 BQL65595:BQM65598 CAH65595:CAI65598 CKD65595:CKE65598 CTZ65595:CUA65598 DDV65595:DDW65598 DNR65595:DNS65598 DXN65595:DXO65598 EHJ65595:EHK65598 ERF65595:ERG65598 FBB65595:FBC65598 FKX65595:FKY65598 FUT65595:FUU65598 GEP65595:GEQ65598 GOL65595:GOM65598 GYH65595:GYI65598 HID65595:HIE65598 HRZ65595:HSA65598 IBV65595:IBW65598 ILR65595:ILS65598 IVN65595:IVO65598 JFJ65595:JFK65598 JPF65595:JPG65598 JZB65595:JZC65598 KIX65595:KIY65598 KST65595:KSU65598 LCP65595:LCQ65598 LML65595:LMM65598 LWH65595:LWI65598 MGD65595:MGE65598 MPZ65595:MQA65598 MZV65595:MZW65598 NJR65595:NJS65598 NTN65595:NTO65598 ODJ65595:ODK65598 ONF65595:ONG65598 OXB65595:OXC65598 PGX65595:PGY65598 PQT65595:PQU65598 QAP65595:QAQ65598 QKL65595:QKM65598 QUH65595:QUI65598 RED65595:REE65598 RNZ65595:ROA65598 RXV65595:RXW65598 SHR65595:SHS65598 SRN65595:SRO65598 TBJ65595:TBK65598 TLF65595:TLG65598 TVB65595:TVC65598 UEX65595:UEY65598 UOT65595:UOU65598 UYP65595:UYQ65598 VIL65595:VIM65598 VSH65595:VSI65598 WCD65595:WCE65598 WLZ65595:WMA65598 WVV65595:WVW65598 N131131:O131134 JJ131131:JK131134 TF131131:TG131134 ADB131131:ADC131134 AMX131131:AMY131134 AWT131131:AWU131134 BGP131131:BGQ131134 BQL131131:BQM131134 CAH131131:CAI131134 CKD131131:CKE131134 CTZ131131:CUA131134 DDV131131:DDW131134 DNR131131:DNS131134 DXN131131:DXO131134 EHJ131131:EHK131134 ERF131131:ERG131134 FBB131131:FBC131134 FKX131131:FKY131134 FUT131131:FUU131134 GEP131131:GEQ131134 GOL131131:GOM131134 GYH131131:GYI131134 HID131131:HIE131134 HRZ131131:HSA131134 IBV131131:IBW131134 ILR131131:ILS131134 IVN131131:IVO131134 JFJ131131:JFK131134 JPF131131:JPG131134 JZB131131:JZC131134 KIX131131:KIY131134 KST131131:KSU131134 LCP131131:LCQ131134 LML131131:LMM131134 LWH131131:LWI131134 MGD131131:MGE131134 MPZ131131:MQA131134 MZV131131:MZW131134 NJR131131:NJS131134 NTN131131:NTO131134 ODJ131131:ODK131134 ONF131131:ONG131134 OXB131131:OXC131134 PGX131131:PGY131134 PQT131131:PQU131134 QAP131131:QAQ131134 QKL131131:QKM131134 QUH131131:QUI131134 RED131131:REE131134 RNZ131131:ROA131134 RXV131131:RXW131134 SHR131131:SHS131134 SRN131131:SRO131134 TBJ131131:TBK131134 TLF131131:TLG131134 TVB131131:TVC131134 UEX131131:UEY131134 UOT131131:UOU131134 UYP131131:UYQ131134 VIL131131:VIM131134 VSH131131:VSI131134 WCD131131:WCE131134 WLZ131131:WMA131134 WVV131131:WVW131134 N196667:O196670 JJ196667:JK196670 TF196667:TG196670 ADB196667:ADC196670 AMX196667:AMY196670 AWT196667:AWU196670 BGP196667:BGQ196670 BQL196667:BQM196670 CAH196667:CAI196670 CKD196667:CKE196670 CTZ196667:CUA196670 DDV196667:DDW196670 DNR196667:DNS196670 DXN196667:DXO196670 EHJ196667:EHK196670 ERF196667:ERG196670 FBB196667:FBC196670 FKX196667:FKY196670 FUT196667:FUU196670 GEP196667:GEQ196670 GOL196667:GOM196670 GYH196667:GYI196670 HID196667:HIE196670 HRZ196667:HSA196670 IBV196667:IBW196670 ILR196667:ILS196670 IVN196667:IVO196670 JFJ196667:JFK196670 JPF196667:JPG196670 JZB196667:JZC196670 KIX196667:KIY196670 KST196667:KSU196670 LCP196667:LCQ196670 LML196667:LMM196670 LWH196667:LWI196670 MGD196667:MGE196670 MPZ196667:MQA196670 MZV196667:MZW196670 NJR196667:NJS196670 NTN196667:NTO196670 ODJ196667:ODK196670 ONF196667:ONG196670 OXB196667:OXC196670 PGX196667:PGY196670 PQT196667:PQU196670 QAP196667:QAQ196670 QKL196667:QKM196670 QUH196667:QUI196670 RED196667:REE196670 RNZ196667:ROA196670 RXV196667:RXW196670 SHR196667:SHS196670 SRN196667:SRO196670 TBJ196667:TBK196670 TLF196667:TLG196670 TVB196667:TVC196670 UEX196667:UEY196670 UOT196667:UOU196670 UYP196667:UYQ196670 VIL196667:VIM196670 VSH196667:VSI196670 WCD196667:WCE196670 WLZ196667:WMA196670 WVV196667:WVW196670 N262203:O262206 JJ262203:JK262206 TF262203:TG262206 ADB262203:ADC262206 AMX262203:AMY262206 AWT262203:AWU262206 BGP262203:BGQ262206 BQL262203:BQM262206 CAH262203:CAI262206 CKD262203:CKE262206 CTZ262203:CUA262206 DDV262203:DDW262206 DNR262203:DNS262206 DXN262203:DXO262206 EHJ262203:EHK262206 ERF262203:ERG262206 FBB262203:FBC262206 FKX262203:FKY262206 FUT262203:FUU262206 GEP262203:GEQ262206 GOL262203:GOM262206 GYH262203:GYI262206 HID262203:HIE262206 HRZ262203:HSA262206 IBV262203:IBW262206 ILR262203:ILS262206 IVN262203:IVO262206 JFJ262203:JFK262206 JPF262203:JPG262206 JZB262203:JZC262206 KIX262203:KIY262206 KST262203:KSU262206 LCP262203:LCQ262206 LML262203:LMM262206 LWH262203:LWI262206 MGD262203:MGE262206 MPZ262203:MQA262206 MZV262203:MZW262206 NJR262203:NJS262206 NTN262203:NTO262206 ODJ262203:ODK262206 ONF262203:ONG262206 OXB262203:OXC262206 PGX262203:PGY262206 PQT262203:PQU262206 QAP262203:QAQ262206 QKL262203:QKM262206 QUH262203:QUI262206 RED262203:REE262206 RNZ262203:ROA262206 RXV262203:RXW262206 SHR262203:SHS262206 SRN262203:SRO262206 TBJ262203:TBK262206 TLF262203:TLG262206 TVB262203:TVC262206 UEX262203:UEY262206 UOT262203:UOU262206 UYP262203:UYQ262206 VIL262203:VIM262206 VSH262203:VSI262206 WCD262203:WCE262206 WLZ262203:WMA262206 WVV262203:WVW262206 N327739:O327742 JJ327739:JK327742 TF327739:TG327742 ADB327739:ADC327742 AMX327739:AMY327742 AWT327739:AWU327742 BGP327739:BGQ327742 BQL327739:BQM327742 CAH327739:CAI327742 CKD327739:CKE327742 CTZ327739:CUA327742 DDV327739:DDW327742 DNR327739:DNS327742 DXN327739:DXO327742 EHJ327739:EHK327742 ERF327739:ERG327742 FBB327739:FBC327742 FKX327739:FKY327742 FUT327739:FUU327742 GEP327739:GEQ327742 GOL327739:GOM327742 GYH327739:GYI327742 HID327739:HIE327742 HRZ327739:HSA327742 IBV327739:IBW327742 ILR327739:ILS327742 IVN327739:IVO327742 JFJ327739:JFK327742 JPF327739:JPG327742 JZB327739:JZC327742 KIX327739:KIY327742 KST327739:KSU327742 LCP327739:LCQ327742 LML327739:LMM327742 LWH327739:LWI327742 MGD327739:MGE327742 MPZ327739:MQA327742 MZV327739:MZW327742 NJR327739:NJS327742 NTN327739:NTO327742 ODJ327739:ODK327742 ONF327739:ONG327742 OXB327739:OXC327742 PGX327739:PGY327742 PQT327739:PQU327742 QAP327739:QAQ327742 QKL327739:QKM327742 QUH327739:QUI327742 RED327739:REE327742 RNZ327739:ROA327742 RXV327739:RXW327742 SHR327739:SHS327742 SRN327739:SRO327742 TBJ327739:TBK327742 TLF327739:TLG327742 TVB327739:TVC327742 UEX327739:UEY327742 UOT327739:UOU327742 UYP327739:UYQ327742 VIL327739:VIM327742 VSH327739:VSI327742 WCD327739:WCE327742 WLZ327739:WMA327742 WVV327739:WVW327742 N393275:O393278 JJ393275:JK393278 TF393275:TG393278 ADB393275:ADC393278 AMX393275:AMY393278 AWT393275:AWU393278 BGP393275:BGQ393278 BQL393275:BQM393278 CAH393275:CAI393278 CKD393275:CKE393278 CTZ393275:CUA393278 DDV393275:DDW393278 DNR393275:DNS393278 DXN393275:DXO393278 EHJ393275:EHK393278 ERF393275:ERG393278 FBB393275:FBC393278 FKX393275:FKY393278 FUT393275:FUU393278 GEP393275:GEQ393278 GOL393275:GOM393278 GYH393275:GYI393278 HID393275:HIE393278 HRZ393275:HSA393278 IBV393275:IBW393278 ILR393275:ILS393278 IVN393275:IVO393278 JFJ393275:JFK393278 JPF393275:JPG393278 JZB393275:JZC393278 KIX393275:KIY393278 KST393275:KSU393278 LCP393275:LCQ393278 LML393275:LMM393278 LWH393275:LWI393278 MGD393275:MGE393278 MPZ393275:MQA393278 MZV393275:MZW393278 NJR393275:NJS393278 NTN393275:NTO393278 ODJ393275:ODK393278 ONF393275:ONG393278 OXB393275:OXC393278 PGX393275:PGY393278 PQT393275:PQU393278 QAP393275:QAQ393278 QKL393275:QKM393278 QUH393275:QUI393278 RED393275:REE393278 RNZ393275:ROA393278 RXV393275:RXW393278 SHR393275:SHS393278 SRN393275:SRO393278 TBJ393275:TBK393278 TLF393275:TLG393278 TVB393275:TVC393278 UEX393275:UEY393278 UOT393275:UOU393278 UYP393275:UYQ393278 VIL393275:VIM393278 VSH393275:VSI393278 WCD393275:WCE393278 WLZ393275:WMA393278 WVV393275:WVW393278 N458811:O458814 JJ458811:JK458814 TF458811:TG458814 ADB458811:ADC458814 AMX458811:AMY458814 AWT458811:AWU458814 BGP458811:BGQ458814 BQL458811:BQM458814 CAH458811:CAI458814 CKD458811:CKE458814 CTZ458811:CUA458814 DDV458811:DDW458814 DNR458811:DNS458814 DXN458811:DXO458814 EHJ458811:EHK458814 ERF458811:ERG458814 FBB458811:FBC458814 FKX458811:FKY458814 FUT458811:FUU458814 GEP458811:GEQ458814 GOL458811:GOM458814 GYH458811:GYI458814 HID458811:HIE458814 HRZ458811:HSA458814 IBV458811:IBW458814 ILR458811:ILS458814 IVN458811:IVO458814 JFJ458811:JFK458814 JPF458811:JPG458814 JZB458811:JZC458814 KIX458811:KIY458814 KST458811:KSU458814 LCP458811:LCQ458814 LML458811:LMM458814 LWH458811:LWI458814 MGD458811:MGE458814 MPZ458811:MQA458814 MZV458811:MZW458814 NJR458811:NJS458814 NTN458811:NTO458814 ODJ458811:ODK458814 ONF458811:ONG458814 OXB458811:OXC458814 PGX458811:PGY458814 PQT458811:PQU458814 QAP458811:QAQ458814 QKL458811:QKM458814 QUH458811:QUI458814 RED458811:REE458814 RNZ458811:ROA458814 RXV458811:RXW458814 SHR458811:SHS458814 SRN458811:SRO458814 TBJ458811:TBK458814 TLF458811:TLG458814 TVB458811:TVC458814 UEX458811:UEY458814 UOT458811:UOU458814 UYP458811:UYQ458814 VIL458811:VIM458814 VSH458811:VSI458814 WCD458811:WCE458814 WLZ458811:WMA458814 WVV458811:WVW458814 N524347:O524350 JJ524347:JK524350 TF524347:TG524350 ADB524347:ADC524350 AMX524347:AMY524350 AWT524347:AWU524350 BGP524347:BGQ524350 BQL524347:BQM524350 CAH524347:CAI524350 CKD524347:CKE524350 CTZ524347:CUA524350 DDV524347:DDW524350 DNR524347:DNS524350 DXN524347:DXO524350 EHJ524347:EHK524350 ERF524347:ERG524350 FBB524347:FBC524350 FKX524347:FKY524350 FUT524347:FUU524350 GEP524347:GEQ524350 GOL524347:GOM524350 GYH524347:GYI524350 HID524347:HIE524350 HRZ524347:HSA524350 IBV524347:IBW524350 ILR524347:ILS524350 IVN524347:IVO524350 JFJ524347:JFK524350 JPF524347:JPG524350 JZB524347:JZC524350 KIX524347:KIY524350 KST524347:KSU524350 LCP524347:LCQ524350 LML524347:LMM524350 LWH524347:LWI524350 MGD524347:MGE524350 MPZ524347:MQA524350 MZV524347:MZW524350 NJR524347:NJS524350 NTN524347:NTO524350 ODJ524347:ODK524350 ONF524347:ONG524350 OXB524347:OXC524350 PGX524347:PGY524350 PQT524347:PQU524350 QAP524347:QAQ524350 QKL524347:QKM524350 QUH524347:QUI524350 RED524347:REE524350 RNZ524347:ROA524350 RXV524347:RXW524350 SHR524347:SHS524350 SRN524347:SRO524350 TBJ524347:TBK524350 TLF524347:TLG524350 TVB524347:TVC524350 UEX524347:UEY524350 UOT524347:UOU524350 UYP524347:UYQ524350 VIL524347:VIM524350 VSH524347:VSI524350 WCD524347:WCE524350 WLZ524347:WMA524350 WVV524347:WVW524350 N589883:O589886 JJ589883:JK589886 TF589883:TG589886 ADB589883:ADC589886 AMX589883:AMY589886 AWT589883:AWU589886 BGP589883:BGQ589886 BQL589883:BQM589886 CAH589883:CAI589886 CKD589883:CKE589886 CTZ589883:CUA589886 DDV589883:DDW589886 DNR589883:DNS589886 DXN589883:DXO589886 EHJ589883:EHK589886 ERF589883:ERG589886 FBB589883:FBC589886 FKX589883:FKY589886 FUT589883:FUU589886 GEP589883:GEQ589886 GOL589883:GOM589886 GYH589883:GYI589886 HID589883:HIE589886 HRZ589883:HSA589886 IBV589883:IBW589886 ILR589883:ILS589886 IVN589883:IVO589886 JFJ589883:JFK589886 JPF589883:JPG589886 JZB589883:JZC589886 KIX589883:KIY589886 KST589883:KSU589886 LCP589883:LCQ589886 LML589883:LMM589886 LWH589883:LWI589886 MGD589883:MGE589886 MPZ589883:MQA589886 MZV589883:MZW589886 NJR589883:NJS589886 NTN589883:NTO589886 ODJ589883:ODK589886 ONF589883:ONG589886 OXB589883:OXC589886 PGX589883:PGY589886 PQT589883:PQU589886 QAP589883:QAQ589886 QKL589883:QKM589886 QUH589883:QUI589886 RED589883:REE589886 RNZ589883:ROA589886 RXV589883:RXW589886 SHR589883:SHS589886 SRN589883:SRO589886 TBJ589883:TBK589886 TLF589883:TLG589886 TVB589883:TVC589886 UEX589883:UEY589886 UOT589883:UOU589886 UYP589883:UYQ589886 VIL589883:VIM589886 VSH589883:VSI589886 WCD589883:WCE589886 WLZ589883:WMA589886 WVV589883:WVW589886 N655419:O655422 JJ655419:JK655422 TF655419:TG655422 ADB655419:ADC655422 AMX655419:AMY655422 AWT655419:AWU655422 BGP655419:BGQ655422 BQL655419:BQM655422 CAH655419:CAI655422 CKD655419:CKE655422 CTZ655419:CUA655422 DDV655419:DDW655422 DNR655419:DNS655422 DXN655419:DXO655422 EHJ655419:EHK655422 ERF655419:ERG655422 FBB655419:FBC655422 FKX655419:FKY655422 FUT655419:FUU655422 GEP655419:GEQ655422 GOL655419:GOM655422 GYH655419:GYI655422 HID655419:HIE655422 HRZ655419:HSA655422 IBV655419:IBW655422 ILR655419:ILS655422 IVN655419:IVO655422 JFJ655419:JFK655422 JPF655419:JPG655422 JZB655419:JZC655422 KIX655419:KIY655422 KST655419:KSU655422 LCP655419:LCQ655422 LML655419:LMM655422 LWH655419:LWI655422 MGD655419:MGE655422 MPZ655419:MQA655422 MZV655419:MZW655422 NJR655419:NJS655422 NTN655419:NTO655422 ODJ655419:ODK655422 ONF655419:ONG655422 OXB655419:OXC655422 PGX655419:PGY655422 PQT655419:PQU655422 QAP655419:QAQ655422 QKL655419:QKM655422 QUH655419:QUI655422 RED655419:REE655422 RNZ655419:ROA655422 RXV655419:RXW655422 SHR655419:SHS655422 SRN655419:SRO655422 TBJ655419:TBK655422 TLF655419:TLG655422 TVB655419:TVC655422 UEX655419:UEY655422 UOT655419:UOU655422 UYP655419:UYQ655422 VIL655419:VIM655422 VSH655419:VSI655422 WCD655419:WCE655422 WLZ655419:WMA655422 WVV655419:WVW655422 N720955:O720958 JJ720955:JK720958 TF720955:TG720958 ADB720955:ADC720958 AMX720955:AMY720958 AWT720955:AWU720958 BGP720955:BGQ720958 BQL720955:BQM720958 CAH720955:CAI720958 CKD720955:CKE720958 CTZ720955:CUA720958 DDV720955:DDW720958 DNR720955:DNS720958 DXN720955:DXO720958 EHJ720955:EHK720958 ERF720955:ERG720958 FBB720955:FBC720958 FKX720955:FKY720958 FUT720955:FUU720958 GEP720955:GEQ720958 GOL720955:GOM720958 GYH720955:GYI720958 HID720955:HIE720958 HRZ720955:HSA720958 IBV720955:IBW720958 ILR720955:ILS720958 IVN720955:IVO720958 JFJ720955:JFK720958 JPF720955:JPG720958 JZB720955:JZC720958 KIX720955:KIY720958 KST720955:KSU720958 LCP720955:LCQ720958 LML720955:LMM720958 LWH720955:LWI720958 MGD720955:MGE720958 MPZ720955:MQA720958 MZV720955:MZW720958 NJR720955:NJS720958 NTN720955:NTO720958 ODJ720955:ODK720958 ONF720955:ONG720958 OXB720955:OXC720958 PGX720955:PGY720958 PQT720955:PQU720958 QAP720955:QAQ720958 QKL720955:QKM720958 QUH720955:QUI720958 RED720955:REE720958 RNZ720955:ROA720958 RXV720955:RXW720958 SHR720955:SHS720958 SRN720955:SRO720958 TBJ720955:TBK720958 TLF720955:TLG720958 TVB720955:TVC720958 UEX720955:UEY720958 UOT720955:UOU720958 UYP720955:UYQ720958 VIL720955:VIM720958 VSH720955:VSI720958 WCD720955:WCE720958 WLZ720955:WMA720958 WVV720955:WVW720958 N786491:O786494 JJ786491:JK786494 TF786491:TG786494 ADB786491:ADC786494 AMX786491:AMY786494 AWT786491:AWU786494 BGP786491:BGQ786494 BQL786491:BQM786494 CAH786491:CAI786494 CKD786491:CKE786494 CTZ786491:CUA786494 DDV786491:DDW786494 DNR786491:DNS786494 DXN786491:DXO786494 EHJ786491:EHK786494 ERF786491:ERG786494 FBB786491:FBC786494 FKX786491:FKY786494 FUT786491:FUU786494 GEP786491:GEQ786494 GOL786491:GOM786494 GYH786491:GYI786494 HID786491:HIE786494 HRZ786491:HSA786494 IBV786491:IBW786494 ILR786491:ILS786494 IVN786491:IVO786494 JFJ786491:JFK786494 JPF786491:JPG786494 JZB786491:JZC786494 KIX786491:KIY786494 KST786491:KSU786494 LCP786491:LCQ786494 LML786491:LMM786494 LWH786491:LWI786494 MGD786491:MGE786494 MPZ786491:MQA786494 MZV786491:MZW786494 NJR786491:NJS786494 NTN786491:NTO786494 ODJ786491:ODK786494 ONF786491:ONG786494 OXB786491:OXC786494 PGX786491:PGY786494 PQT786491:PQU786494 QAP786491:QAQ786494 QKL786491:QKM786494 QUH786491:QUI786494 RED786491:REE786494 RNZ786491:ROA786494 RXV786491:RXW786494 SHR786491:SHS786494 SRN786491:SRO786494 TBJ786491:TBK786494 TLF786491:TLG786494 TVB786491:TVC786494 UEX786491:UEY786494 UOT786491:UOU786494 UYP786491:UYQ786494 VIL786491:VIM786494 VSH786491:VSI786494 WCD786491:WCE786494 WLZ786491:WMA786494 WVV786491:WVW786494 N852027:O852030 JJ852027:JK852030 TF852027:TG852030 ADB852027:ADC852030 AMX852027:AMY852030 AWT852027:AWU852030 BGP852027:BGQ852030 BQL852027:BQM852030 CAH852027:CAI852030 CKD852027:CKE852030 CTZ852027:CUA852030 DDV852027:DDW852030 DNR852027:DNS852030 DXN852027:DXO852030 EHJ852027:EHK852030 ERF852027:ERG852030 FBB852027:FBC852030 FKX852027:FKY852030 FUT852027:FUU852030 GEP852027:GEQ852030 GOL852027:GOM852030 GYH852027:GYI852030 HID852027:HIE852030 HRZ852027:HSA852030 IBV852027:IBW852030 ILR852027:ILS852030 IVN852027:IVO852030 JFJ852027:JFK852030 JPF852027:JPG852030 JZB852027:JZC852030 KIX852027:KIY852030 KST852027:KSU852030 LCP852027:LCQ852030 LML852027:LMM852030 LWH852027:LWI852030 MGD852027:MGE852030 MPZ852027:MQA852030 MZV852027:MZW852030 NJR852027:NJS852030 NTN852027:NTO852030 ODJ852027:ODK852030 ONF852027:ONG852030 OXB852027:OXC852030 PGX852027:PGY852030 PQT852027:PQU852030 QAP852027:QAQ852030 QKL852027:QKM852030 QUH852027:QUI852030 RED852027:REE852030 RNZ852027:ROA852030 RXV852027:RXW852030 SHR852027:SHS852030 SRN852027:SRO852030 TBJ852027:TBK852030 TLF852027:TLG852030 TVB852027:TVC852030 UEX852027:UEY852030 UOT852027:UOU852030 UYP852027:UYQ852030 VIL852027:VIM852030 VSH852027:VSI852030 WCD852027:WCE852030 WLZ852027:WMA852030 WVV852027:WVW852030 N917563:O917566 JJ917563:JK917566 TF917563:TG917566 ADB917563:ADC917566 AMX917563:AMY917566 AWT917563:AWU917566 BGP917563:BGQ917566 BQL917563:BQM917566 CAH917563:CAI917566 CKD917563:CKE917566 CTZ917563:CUA917566 DDV917563:DDW917566 DNR917563:DNS917566 DXN917563:DXO917566 EHJ917563:EHK917566 ERF917563:ERG917566 FBB917563:FBC917566 FKX917563:FKY917566 FUT917563:FUU917566 GEP917563:GEQ917566 GOL917563:GOM917566 GYH917563:GYI917566 HID917563:HIE917566 HRZ917563:HSA917566 IBV917563:IBW917566 ILR917563:ILS917566 IVN917563:IVO917566 JFJ917563:JFK917566 JPF917563:JPG917566 JZB917563:JZC917566 KIX917563:KIY917566 KST917563:KSU917566 LCP917563:LCQ917566 LML917563:LMM917566 LWH917563:LWI917566 MGD917563:MGE917566 MPZ917563:MQA917566 MZV917563:MZW917566 NJR917563:NJS917566 NTN917563:NTO917566 ODJ917563:ODK917566 ONF917563:ONG917566 OXB917563:OXC917566 PGX917563:PGY917566 PQT917563:PQU917566 QAP917563:QAQ917566 QKL917563:QKM917566 QUH917563:QUI917566 RED917563:REE917566 RNZ917563:ROA917566 RXV917563:RXW917566 SHR917563:SHS917566 SRN917563:SRO917566 TBJ917563:TBK917566 TLF917563:TLG917566 TVB917563:TVC917566 UEX917563:UEY917566 UOT917563:UOU917566 UYP917563:UYQ917566 VIL917563:VIM917566 VSH917563:VSI917566 WCD917563:WCE917566 WLZ917563:WMA917566 WVV917563:WVW917566 N983099:O983102 JJ983099:JK983102 TF983099:TG983102 ADB983099:ADC983102 AMX983099:AMY983102 AWT983099:AWU983102 BGP983099:BGQ983102 BQL983099:BQM983102 CAH983099:CAI983102 CKD983099:CKE983102 CTZ983099:CUA983102 DDV983099:DDW983102 DNR983099:DNS983102 DXN983099:DXO983102 EHJ983099:EHK983102 ERF983099:ERG983102 FBB983099:FBC983102 FKX983099:FKY983102 FUT983099:FUU983102 GEP983099:GEQ983102 GOL983099:GOM983102 GYH983099:GYI983102 HID983099:HIE983102 HRZ983099:HSA983102 IBV983099:IBW983102 ILR983099:ILS983102 IVN983099:IVO983102 JFJ983099:JFK983102 JPF983099:JPG983102 JZB983099:JZC983102 KIX983099:KIY983102 KST983099:KSU983102 LCP983099:LCQ983102 LML983099:LMM983102 LWH983099:LWI983102 MGD983099:MGE983102 MPZ983099:MQA983102 MZV983099:MZW983102 NJR983099:NJS983102 NTN983099:NTO983102 ODJ983099:ODK983102 ONF983099:ONG983102 OXB983099:OXC983102 PGX983099:PGY983102 PQT983099:PQU983102 QAP983099:QAQ983102 QKL983099:QKM983102 QUH983099:QUI983102 RED983099:REE983102 RNZ983099:ROA983102 RXV983099:RXW983102 SHR983099:SHS983102 SRN983099:SRO983102 TBJ983099:TBK983102 TLF983099:TLG983102 TVB983099:TVC983102 UEX983099:UEY983102 UOT983099:UOU983102 UYP983099:UYQ983102 VIL983099:VIM983102 VSH983099:VSI983102 WCD983099:WCE983102 WLZ983099:WMA983102 WVV983099:WVW983102 O63:O64 JK63:JK64 TG63:TG64 ADC63:ADC64 AMY63:AMY64 AWU63:AWU64 BGQ63:BGQ64 BQM63:BQM64 CAI63:CAI64 CKE63:CKE64 CUA63:CUA64 DDW63:DDW64 DNS63:DNS64 DXO63:DXO64 EHK63:EHK64 ERG63:ERG64 FBC63:FBC64 FKY63:FKY64 FUU63:FUU64 GEQ63:GEQ64 GOM63:GOM64 GYI63:GYI64 HIE63:HIE64 HSA63:HSA64 IBW63:IBW64 ILS63:ILS64 IVO63:IVO64 JFK63:JFK64 JPG63:JPG64 JZC63:JZC64 KIY63:KIY64 KSU63:KSU64 LCQ63:LCQ64 LMM63:LMM64 LWI63:LWI64 MGE63:MGE64 MQA63:MQA64 MZW63:MZW64 NJS63:NJS64 NTO63:NTO64 ODK63:ODK64 ONG63:ONG64 OXC63:OXC64 PGY63:PGY64 PQU63:PQU64 QAQ63:QAQ64 QKM63:QKM64 QUI63:QUI64 REE63:REE64 ROA63:ROA64 RXW63:RXW64 SHS63:SHS64 SRO63:SRO64 TBK63:TBK64 TLG63:TLG64 TVC63:TVC64 UEY63:UEY64 UOU63:UOU64 UYQ63:UYQ64 VIM63:VIM64 VSI63:VSI64 WCE63:WCE64 WMA63:WMA64 WVW63:WVW64 O65599:O65600 JK65599:JK65600 TG65599:TG65600 ADC65599:ADC65600 AMY65599:AMY65600 AWU65599:AWU65600 BGQ65599:BGQ65600 BQM65599:BQM65600 CAI65599:CAI65600 CKE65599:CKE65600 CUA65599:CUA65600 DDW65599:DDW65600 DNS65599:DNS65600 DXO65599:DXO65600 EHK65599:EHK65600 ERG65599:ERG65600 FBC65599:FBC65600 FKY65599:FKY65600 FUU65599:FUU65600 GEQ65599:GEQ65600 GOM65599:GOM65600 GYI65599:GYI65600 HIE65599:HIE65600 HSA65599:HSA65600 IBW65599:IBW65600 ILS65599:ILS65600 IVO65599:IVO65600 JFK65599:JFK65600 JPG65599:JPG65600 JZC65599:JZC65600 KIY65599:KIY65600 KSU65599:KSU65600 LCQ65599:LCQ65600 LMM65599:LMM65600 LWI65599:LWI65600 MGE65599:MGE65600 MQA65599:MQA65600 MZW65599:MZW65600 NJS65599:NJS65600 NTO65599:NTO65600 ODK65599:ODK65600 ONG65599:ONG65600 OXC65599:OXC65600 PGY65599:PGY65600 PQU65599:PQU65600 QAQ65599:QAQ65600 QKM65599:QKM65600 QUI65599:QUI65600 REE65599:REE65600 ROA65599:ROA65600 RXW65599:RXW65600 SHS65599:SHS65600 SRO65599:SRO65600 TBK65599:TBK65600 TLG65599:TLG65600 TVC65599:TVC65600 UEY65599:UEY65600 UOU65599:UOU65600 UYQ65599:UYQ65600 VIM65599:VIM65600 VSI65599:VSI65600 WCE65599:WCE65600 WMA65599:WMA65600 WVW65599:WVW65600 O131135:O131136 JK131135:JK131136 TG131135:TG131136 ADC131135:ADC131136 AMY131135:AMY131136 AWU131135:AWU131136 BGQ131135:BGQ131136 BQM131135:BQM131136 CAI131135:CAI131136 CKE131135:CKE131136 CUA131135:CUA131136 DDW131135:DDW131136 DNS131135:DNS131136 DXO131135:DXO131136 EHK131135:EHK131136 ERG131135:ERG131136 FBC131135:FBC131136 FKY131135:FKY131136 FUU131135:FUU131136 GEQ131135:GEQ131136 GOM131135:GOM131136 GYI131135:GYI131136 HIE131135:HIE131136 HSA131135:HSA131136 IBW131135:IBW131136 ILS131135:ILS131136 IVO131135:IVO131136 JFK131135:JFK131136 JPG131135:JPG131136 JZC131135:JZC131136 KIY131135:KIY131136 KSU131135:KSU131136 LCQ131135:LCQ131136 LMM131135:LMM131136 LWI131135:LWI131136 MGE131135:MGE131136 MQA131135:MQA131136 MZW131135:MZW131136 NJS131135:NJS131136 NTO131135:NTO131136 ODK131135:ODK131136 ONG131135:ONG131136 OXC131135:OXC131136 PGY131135:PGY131136 PQU131135:PQU131136 QAQ131135:QAQ131136 QKM131135:QKM131136 QUI131135:QUI131136 REE131135:REE131136 ROA131135:ROA131136 RXW131135:RXW131136 SHS131135:SHS131136 SRO131135:SRO131136 TBK131135:TBK131136 TLG131135:TLG131136 TVC131135:TVC131136 UEY131135:UEY131136 UOU131135:UOU131136 UYQ131135:UYQ131136 VIM131135:VIM131136 VSI131135:VSI131136 WCE131135:WCE131136 WMA131135:WMA131136 WVW131135:WVW131136 O196671:O196672 JK196671:JK196672 TG196671:TG196672 ADC196671:ADC196672 AMY196671:AMY196672 AWU196671:AWU196672 BGQ196671:BGQ196672 BQM196671:BQM196672 CAI196671:CAI196672 CKE196671:CKE196672 CUA196671:CUA196672 DDW196671:DDW196672 DNS196671:DNS196672 DXO196671:DXO196672 EHK196671:EHK196672 ERG196671:ERG196672 FBC196671:FBC196672 FKY196671:FKY196672 FUU196671:FUU196672 GEQ196671:GEQ196672 GOM196671:GOM196672 GYI196671:GYI196672 HIE196671:HIE196672 HSA196671:HSA196672 IBW196671:IBW196672 ILS196671:ILS196672 IVO196671:IVO196672 JFK196671:JFK196672 JPG196671:JPG196672 JZC196671:JZC196672 KIY196671:KIY196672 KSU196671:KSU196672 LCQ196671:LCQ196672 LMM196671:LMM196672 LWI196671:LWI196672 MGE196671:MGE196672 MQA196671:MQA196672 MZW196671:MZW196672 NJS196671:NJS196672 NTO196671:NTO196672 ODK196671:ODK196672 ONG196671:ONG196672 OXC196671:OXC196672 PGY196671:PGY196672 PQU196671:PQU196672 QAQ196671:QAQ196672 QKM196671:QKM196672 QUI196671:QUI196672 REE196671:REE196672 ROA196671:ROA196672 RXW196671:RXW196672 SHS196671:SHS196672 SRO196671:SRO196672 TBK196671:TBK196672 TLG196671:TLG196672 TVC196671:TVC196672 UEY196671:UEY196672 UOU196671:UOU196672 UYQ196671:UYQ196672 VIM196671:VIM196672 VSI196671:VSI196672 WCE196671:WCE196672 WMA196671:WMA196672 WVW196671:WVW196672 O262207:O262208 JK262207:JK262208 TG262207:TG262208 ADC262207:ADC262208 AMY262207:AMY262208 AWU262207:AWU262208 BGQ262207:BGQ262208 BQM262207:BQM262208 CAI262207:CAI262208 CKE262207:CKE262208 CUA262207:CUA262208 DDW262207:DDW262208 DNS262207:DNS262208 DXO262207:DXO262208 EHK262207:EHK262208 ERG262207:ERG262208 FBC262207:FBC262208 FKY262207:FKY262208 FUU262207:FUU262208 GEQ262207:GEQ262208 GOM262207:GOM262208 GYI262207:GYI262208 HIE262207:HIE262208 HSA262207:HSA262208 IBW262207:IBW262208 ILS262207:ILS262208 IVO262207:IVO262208 JFK262207:JFK262208 JPG262207:JPG262208 JZC262207:JZC262208 KIY262207:KIY262208 KSU262207:KSU262208 LCQ262207:LCQ262208 LMM262207:LMM262208 LWI262207:LWI262208 MGE262207:MGE262208 MQA262207:MQA262208 MZW262207:MZW262208 NJS262207:NJS262208 NTO262207:NTO262208 ODK262207:ODK262208 ONG262207:ONG262208 OXC262207:OXC262208 PGY262207:PGY262208 PQU262207:PQU262208 QAQ262207:QAQ262208 QKM262207:QKM262208 QUI262207:QUI262208 REE262207:REE262208 ROA262207:ROA262208 RXW262207:RXW262208 SHS262207:SHS262208 SRO262207:SRO262208 TBK262207:TBK262208 TLG262207:TLG262208 TVC262207:TVC262208 UEY262207:UEY262208 UOU262207:UOU262208 UYQ262207:UYQ262208 VIM262207:VIM262208 VSI262207:VSI262208 WCE262207:WCE262208 WMA262207:WMA262208 WVW262207:WVW262208 O327743:O327744 JK327743:JK327744 TG327743:TG327744 ADC327743:ADC327744 AMY327743:AMY327744 AWU327743:AWU327744 BGQ327743:BGQ327744 BQM327743:BQM327744 CAI327743:CAI327744 CKE327743:CKE327744 CUA327743:CUA327744 DDW327743:DDW327744 DNS327743:DNS327744 DXO327743:DXO327744 EHK327743:EHK327744 ERG327743:ERG327744 FBC327743:FBC327744 FKY327743:FKY327744 FUU327743:FUU327744 GEQ327743:GEQ327744 GOM327743:GOM327744 GYI327743:GYI327744 HIE327743:HIE327744 HSA327743:HSA327744 IBW327743:IBW327744 ILS327743:ILS327744 IVO327743:IVO327744 JFK327743:JFK327744 JPG327743:JPG327744 JZC327743:JZC327744 KIY327743:KIY327744 KSU327743:KSU327744 LCQ327743:LCQ327744 LMM327743:LMM327744 LWI327743:LWI327744 MGE327743:MGE327744 MQA327743:MQA327744 MZW327743:MZW327744 NJS327743:NJS327744 NTO327743:NTO327744 ODK327743:ODK327744 ONG327743:ONG327744 OXC327743:OXC327744 PGY327743:PGY327744 PQU327743:PQU327744 QAQ327743:QAQ327744 QKM327743:QKM327744 QUI327743:QUI327744 REE327743:REE327744 ROA327743:ROA327744 RXW327743:RXW327744 SHS327743:SHS327744 SRO327743:SRO327744 TBK327743:TBK327744 TLG327743:TLG327744 TVC327743:TVC327744 UEY327743:UEY327744 UOU327743:UOU327744 UYQ327743:UYQ327744 VIM327743:VIM327744 VSI327743:VSI327744 WCE327743:WCE327744 WMA327743:WMA327744 WVW327743:WVW327744 O393279:O393280 JK393279:JK393280 TG393279:TG393280 ADC393279:ADC393280 AMY393279:AMY393280 AWU393279:AWU393280 BGQ393279:BGQ393280 BQM393279:BQM393280 CAI393279:CAI393280 CKE393279:CKE393280 CUA393279:CUA393280 DDW393279:DDW393280 DNS393279:DNS393280 DXO393279:DXO393280 EHK393279:EHK393280 ERG393279:ERG393280 FBC393279:FBC393280 FKY393279:FKY393280 FUU393279:FUU393280 GEQ393279:GEQ393280 GOM393279:GOM393280 GYI393279:GYI393280 HIE393279:HIE393280 HSA393279:HSA393280 IBW393279:IBW393280 ILS393279:ILS393280 IVO393279:IVO393280 JFK393279:JFK393280 JPG393279:JPG393280 JZC393279:JZC393280 KIY393279:KIY393280 KSU393279:KSU393280 LCQ393279:LCQ393280 LMM393279:LMM393280 LWI393279:LWI393280 MGE393279:MGE393280 MQA393279:MQA393280 MZW393279:MZW393280 NJS393279:NJS393280 NTO393279:NTO393280 ODK393279:ODK393280 ONG393279:ONG393280 OXC393279:OXC393280 PGY393279:PGY393280 PQU393279:PQU393280 QAQ393279:QAQ393280 QKM393279:QKM393280 QUI393279:QUI393280 REE393279:REE393280 ROA393279:ROA393280 RXW393279:RXW393280 SHS393279:SHS393280 SRO393279:SRO393280 TBK393279:TBK393280 TLG393279:TLG393280 TVC393279:TVC393280 UEY393279:UEY393280 UOU393279:UOU393280 UYQ393279:UYQ393280 VIM393279:VIM393280 VSI393279:VSI393280 WCE393279:WCE393280 WMA393279:WMA393280 WVW393279:WVW393280 O458815:O458816 JK458815:JK458816 TG458815:TG458816 ADC458815:ADC458816 AMY458815:AMY458816 AWU458815:AWU458816 BGQ458815:BGQ458816 BQM458815:BQM458816 CAI458815:CAI458816 CKE458815:CKE458816 CUA458815:CUA458816 DDW458815:DDW458816 DNS458815:DNS458816 DXO458815:DXO458816 EHK458815:EHK458816 ERG458815:ERG458816 FBC458815:FBC458816 FKY458815:FKY458816 FUU458815:FUU458816 GEQ458815:GEQ458816 GOM458815:GOM458816 GYI458815:GYI458816 HIE458815:HIE458816 HSA458815:HSA458816 IBW458815:IBW458816 ILS458815:ILS458816 IVO458815:IVO458816 JFK458815:JFK458816 JPG458815:JPG458816 JZC458815:JZC458816 KIY458815:KIY458816 KSU458815:KSU458816 LCQ458815:LCQ458816 LMM458815:LMM458816 LWI458815:LWI458816 MGE458815:MGE458816 MQA458815:MQA458816 MZW458815:MZW458816 NJS458815:NJS458816 NTO458815:NTO458816 ODK458815:ODK458816 ONG458815:ONG458816 OXC458815:OXC458816 PGY458815:PGY458816 PQU458815:PQU458816 QAQ458815:QAQ458816 QKM458815:QKM458816 QUI458815:QUI458816 REE458815:REE458816 ROA458815:ROA458816 RXW458815:RXW458816 SHS458815:SHS458816 SRO458815:SRO458816 TBK458815:TBK458816 TLG458815:TLG458816 TVC458815:TVC458816 UEY458815:UEY458816 UOU458815:UOU458816 UYQ458815:UYQ458816 VIM458815:VIM458816 VSI458815:VSI458816 WCE458815:WCE458816 WMA458815:WMA458816 WVW458815:WVW458816 O524351:O524352 JK524351:JK524352 TG524351:TG524352 ADC524351:ADC524352 AMY524351:AMY524352 AWU524351:AWU524352 BGQ524351:BGQ524352 BQM524351:BQM524352 CAI524351:CAI524352 CKE524351:CKE524352 CUA524351:CUA524352 DDW524351:DDW524352 DNS524351:DNS524352 DXO524351:DXO524352 EHK524351:EHK524352 ERG524351:ERG524352 FBC524351:FBC524352 FKY524351:FKY524352 FUU524351:FUU524352 GEQ524351:GEQ524352 GOM524351:GOM524352 GYI524351:GYI524352 HIE524351:HIE524352 HSA524351:HSA524352 IBW524351:IBW524352 ILS524351:ILS524352 IVO524351:IVO524352 JFK524351:JFK524352 JPG524351:JPG524352 JZC524351:JZC524352 KIY524351:KIY524352 KSU524351:KSU524352 LCQ524351:LCQ524352 LMM524351:LMM524352 LWI524351:LWI524352 MGE524351:MGE524352 MQA524351:MQA524352 MZW524351:MZW524352 NJS524351:NJS524352 NTO524351:NTO524352 ODK524351:ODK524352 ONG524351:ONG524352 OXC524351:OXC524352 PGY524351:PGY524352 PQU524351:PQU524352 QAQ524351:QAQ524352 QKM524351:QKM524352 QUI524351:QUI524352 REE524351:REE524352 ROA524351:ROA524352 RXW524351:RXW524352 SHS524351:SHS524352 SRO524351:SRO524352 TBK524351:TBK524352 TLG524351:TLG524352 TVC524351:TVC524352 UEY524351:UEY524352 UOU524351:UOU524352 UYQ524351:UYQ524352 VIM524351:VIM524352 VSI524351:VSI524352 WCE524351:WCE524352 WMA524351:WMA524352 WVW524351:WVW524352 O589887:O589888 JK589887:JK589888 TG589887:TG589888 ADC589887:ADC589888 AMY589887:AMY589888 AWU589887:AWU589888 BGQ589887:BGQ589888 BQM589887:BQM589888 CAI589887:CAI589888 CKE589887:CKE589888 CUA589887:CUA589888 DDW589887:DDW589888 DNS589887:DNS589888 DXO589887:DXO589888 EHK589887:EHK589888 ERG589887:ERG589888 FBC589887:FBC589888 FKY589887:FKY589888 FUU589887:FUU589888 GEQ589887:GEQ589888 GOM589887:GOM589888 GYI589887:GYI589888 HIE589887:HIE589888 HSA589887:HSA589888 IBW589887:IBW589888 ILS589887:ILS589888 IVO589887:IVO589888 JFK589887:JFK589888 JPG589887:JPG589888 JZC589887:JZC589888 KIY589887:KIY589888 KSU589887:KSU589888 LCQ589887:LCQ589888 LMM589887:LMM589888 LWI589887:LWI589888 MGE589887:MGE589888 MQA589887:MQA589888 MZW589887:MZW589888 NJS589887:NJS589888 NTO589887:NTO589888 ODK589887:ODK589888 ONG589887:ONG589888 OXC589887:OXC589888 PGY589887:PGY589888 PQU589887:PQU589888 QAQ589887:QAQ589888 QKM589887:QKM589888 QUI589887:QUI589888 REE589887:REE589888 ROA589887:ROA589888 RXW589887:RXW589888 SHS589887:SHS589888 SRO589887:SRO589888 TBK589887:TBK589888 TLG589887:TLG589888 TVC589887:TVC589888 UEY589887:UEY589888 UOU589887:UOU589888 UYQ589887:UYQ589888 VIM589887:VIM589888 VSI589887:VSI589888 WCE589887:WCE589888 WMA589887:WMA589888 WVW589887:WVW589888 O655423:O655424 JK655423:JK655424 TG655423:TG655424 ADC655423:ADC655424 AMY655423:AMY655424 AWU655423:AWU655424 BGQ655423:BGQ655424 BQM655423:BQM655424 CAI655423:CAI655424 CKE655423:CKE655424 CUA655423:CUA655424 DDW655423:DDW655424 DNS655423:DNS655424 DXO655423:DXO655424 EHK655423:EHK655424 ERG655423:ERG655424 FBC655423:FBC655424 FKY655423:FKY655424 FUU655423:FUU655424 GEQ655423:GEQ655424 GOM655423:GOM655424 GYI655423:GYI655424 HIE655423:HIE655424 HSA655423:HSA655424 IBW655423:IBW655424 ILS655423:ILS655424 IVO655423:IVO655424 JFK655423:JFK655424 JPG655423:JPG655424 JZC655423:JZC655424 KIY655423:KIY655424 KSU655423:KSU655424 LCQ655423:LCQ655424 LMM655423:LMM655424 LWI655423:LWI655424 MGE655423:MGE655424 MQA655423:MQA655424 MZW655423:MZW655424 NJS655423:NJS655424 NTO655423:NTO655424 ODK655423:ODK655424 ONG655423:ONG655424 OXC655423:OXC655424 PGY655423:PGY655424 PQU655423:PQU655424 QAQ655423:QAQ655424 QKM655423:QKM655424 QUI655423:QUI655424 REE655423:REE655424 ROA655423:ROA655424 RXW655423:RXW655424 SHS655423:SHS655424 SRO655423:SRO655424 TBK655423:TBK655424 TLG655423:TLG655424 TVC655423:TVC655424 UEY655423:UEY655424 UOU655423:UOU655424 UYQ655423:UYQ655424 VIM655423:VIM655424 VSI655423:VSI655424 WCE655423:WCE655424 WMA655423:WMA655424 WVW655423:WVW655424 O720959:O720960 JK720959:JK720960 TG720959:TG720960 ADC720959:ADC720960 AMY720959:AMY720960 AWU720959:AWU720960 BGQ720959:BGQ720960 BQM720959:BQM720960 CAI720959:CAI720960 CKE720959:CKE720960 CUA720959:CUA720960 DDW720959:DDW720960 DNS720959:DNS720960 DXO720959:DXO720960 EHK720959:EHK720960 ERG720959:ERG720960 FBC720959:FBC720960 FKY720959:FKY720960 FUU720959:FUU720960 GEQ720959:GEQ720960 GOM720959:GOM720960 GYI720959:GYI720960 HIE720959:HIE720960 HSA720959:HSA720960 IBW720959:IBW720960 ILS720959:ILS720960 IVO720959:IVO720960 JFK720959:JFK720960 JPG720959:JPG720960 JZC720959:JZC720960 KIY720959:KIY720960 KSU720959:KSU720960 LCQ720959:LCQ720960 LMM720959:LMM720960 LWI720959:LWI720960 MGE720959:MGE720960 MQA720959:MQA720960 MZW720959:MZW720960 NJS720959:NJS720960 NTO720959:NTO720960 ODK720959:ODK720960 ONG720959:ONG720960 OXC720959:OXC720960 PGY720959:PGY720960 PQU720959:PQU720960 QAQ720959:QAQ720960 QKM720959:QKM720960 QUI720959:QUI720960 REE720959:REE720960 ROA720959:ROA720960 RXW720959:RXW720960 SHS720959:SHS720960 SRO720959:SRO720960 TBK720959:TBK720960 TLG720959:TLG720960 TVC720959:TVC720960 UEY720959:UEY720960 UOU720959:UOU720960 UYQ720959:UYQ720960 VIM720959:VIM720960 VSI720959:VSI720960 WCE720959:WCE720960 WMA720959:WMA720960 WVW720959:WVW720960 O786495:O786496 JK786495:JK786496 TG786495:TG786496 ADC786495:ADC786496 AMY786495:AMY786496 AWU786495:AWU786496 BGQ786495:BGQ786496 BQM786495:BQM786496 CAI786495:CAI786496 CKE786495:CKE786496 CUA786495:CUA786496 DDW786495:DDW786496 DNS786495:DNS786496 DXO786495:DXO786496 EHK786495:EHK786496 ERG786495:ERG786496 FBC786495:FBC786496 FKY786495:FKY786496 FUU786495:FUU786496 GEQ786495:GEQ786496 GOM786495:GOM786496 GYI786495:GYI786496 HIE786495:HIE786496 HSA786495:HSA786496 IBW786495:IBW786496 ILS786495:ILS786496 IVO786495:IVO786496 JFK786495:JFK786496 JPG786495:JPG786496 JZC786495:JZC786496 KIY786495:KIY786496 KSU786495:KSU786496 LCQ786495:LCQ786496 LMM786495:LMM786496 LWI786495:LWI786496 MGE786495:MGE786496 MQA786495:MQA786496 MZW786495:MZW786496 NJS786495:NJS786496 NTO786495:NTO786496 ODK786495:ODK786496 ONG786495:ONG786496 OXC786495:OXC786496 PGY786495:PGY786496 PQU786495:PQU786496 QAQ786495:QAQ786496 QKM786495:QKM786496 QUI786495:QUI786496 REE786495:REE786496 ROA786495:ROA786496 RXW786495:RXW786496 SHS786495:SHS786496 SRO786495:SRO786496 TBK786495:TBK786496 TLG786495:TLG786496 TVC786495:TVC786496 UEY786495:UEY786496 UOU786495:UOU786496 UYQ786495:UYQ786496 VIM786495:VIM786496 VSI786495:VSI786496 WCE786495:WCE786496 WMA786495:WMA786496 WVW786495:WVW786496 O852031:O852032 JK852031:JK852032 TG852031:TG852032 ADC852031:ADC852032 AMY852031:AMY852032 AWU852031:AWU852032 BGQ852031:BGQ852032 BQM852031:BQM852032 CAI852031:CAI852032 CKE852031:CKE852032 CUA852031:CUA852032 DDW852031:DDW852032 DNS852031:DNS852032 DXO852031:DXO852032 EHK852031:EHK852032 ERG852031:ERG852032 FBC852031:FBC852032 FKY852031:FKY852032 FUU852031:FUU852032 GEQ852031:GEQ852032 GOM852031:GOM852032 GYI852031:GYI852032 HIE852031:HIE852032 HSA852031:HSA852032 IBW852031:IBW852032 ILS852031:ILS852032 IVO852031:IVO852032 JFK852031:JFK852032 JPG852031:JPG852032 JZC852031:JZC852032 KIY852031:KIY852032 KSU852031:KSU852032 LCQ852031:LCQ852032 LMM852031:LMM852032 LWI852031:LWI852032 MGE852031:MGE852032 MQA852031:MQA852032 MZW852031:MZW852032 NJS852031:NJS852032 NTO852031:NTO852032 ODK852031:ODK852032 ONG852031:ONG852032 OXC852031:OXC852032 PGY852031:PGY852032 PQU852031:PQU852032 QAQ852031:QAQ852032 QKM852031:QKM852032 QUI852031:QUI852032 REE852031:REE852032 ROA852031:ROA852032 RXW852031:RXW852032 SHS852031:SHS852032 SRO852031:SRO852032 TBK852031:TBK852032 TLG852031:TLG852032 TVC852031:TVC852032 UEY852031:UEY852032 UOU852031:UOU852032 UYQ852031:UYQ852032 VIM852031:VIM852032 VSI852031:VSI852032 WCE852031:WCE852032 WMA852031:WMA852032 WVW852031:WVW852032 O917567:O917568 JK917567:JK917568 TG917567:TG917568 ADC917567:ADC917568 AMY917567:AMY917568 AWU917567:AWU917568 BGQ917567:BGQ917568 BQM917567:BQM917568 CAI917567:CAI917568 CKE917567:CKE917568 CUA917567:CUA917568 DDW917567:DDW917568 DNS917567:DNS917568 DXO917567:DXO917568 EHK917567:EHK917568 ERG917567:ERG917568 FBC917567:FBC917568 FKY917567:FKY917568 FUU917567:FUU917568 GEQ917567:GEQ917568 GOM917567:GOM917568 GYI917567:GYI917568 HIE917567:HIE917568 HSA917567:HSA917568 IBW917567:IBW917568 ILS917567:ILS917568 IVO917567:IVO917568 JFK917567:JFK917568 JPG917567:JPG917568 JZC917567:JZC917568 KIY917567:KIY917568 KSU917567:KSU917568 LCQ917567:LCQ917568 LMM917567:LMM917568 LWI917567:LWI917568 MGE917567:MGE917568 MQA917567:MQA917568 MZW917567:MZW917568 NJS917567:NJS917568 NTO917567:NTO917568 ODK917567:ODK917568 ONG917567:ONG917568 OXC917567:OXC917568 PGY917567:PGY917568 PQU917567:PQU917568 QAQ917567:QAQ917568 QKM917567:QKM917568 QUI917567:QUI917568 REE917567:REE917568 ROA917567:ROA917568 RXW917567:RXW917568 SHS917567:SHS917568 SRO917567:SRO917568 TBK917567:TBK917568 TLG917567:TLG917568 TVC917567:TVC917568 UEY917567:UEY917568 UOU917567:UOU917568 UYQ917567:UYQ917568 VIM917567:VIM917568 VSI917567:VSI917568 WCE917567:WCE917568 WMA917567:WMA917568 WVW917567:WVW917568 O983103:O983104 JK983103:JK983104 TG983103:TG983104 ADC983103:ADC983104 AMY983103:AMY983104 AWU983103:AWU983104 BGQ983103:BGQ983104 BQM983103:BQM983104 CAI983103:CAI983104 CKE983103:CKE983104 CUA983103:CUA983104 DDW983103:DDW983104 DNS983103:DNS983104 DXO983103:DXO983104 EHK983103:EHK983104 ERG983103:ERG983104 FBC983103:FBC983104 FKY983103:FKY983104 FUU983103:FUU983104 GEQ983103:GEQ983104 GOM983103:GOM983104 GYI983103:GYI983104 HIE983103:HIE983104 HSA983103:HSA983104 IBW983103:IBW983104 ILS983103:ILS983104 IVO983103:IVO983104 JFK983103:JFK983104 JPG983103:JPG983104 JZC983103:JZC983104 KIY983103:KIY983104 KSU983103:KSU983104 LCQ983103:LCQ983104 LMM983103:LMM983104 LWI983103:LWI983104 MGE983103:MGE983104 MQA983103:MQA983104 MZW983103:MZW983104 NJS983103:NJS983104 NTO983103:NTO983104 ODK983103:ODK983104 ONG983103:ONG983104 OXC983103:OXC983104 PGY983103:PGY983104 PQU983103:PQU983104 QAQ983103:QAQ983104 QKM983103:QKM983104 QUI983103:QUI983104 REE983103:REE983104 ROA983103:ROA983104 RXW983103:RXW983104 SHS983103:SHS983104 SRO983103:SRO983104 TBK983103:TBK983104 TLG983103:TLG983104 TVC983103:TVC983104 UEY983103:UEY983104 UOU983103:UOU983104 UYQ983103:UYQ983104 VIM983103:VIM983104 VSI983103:VSI983104 WCE983103:WCE983104 WMA983103:WMA983104 WVW983103:WVW983104 N66:O69 JJ66:JK69 TF66:TG69 ADB66:ADC69 AMX66:AMY69 AWT66:AWU69 BGP66:BGQ69 BQL66:BQM69 CAH66:CAI69 CKD66:CKE69 CTZ66:CUA69 DDV66:DDW69 DNR66:DNS69 DXN66:DXO69 EHJ66:EHK69 ERF66:ERG69 FBB66:FBC69 FKX66:FKY69 FUT66:FUU69 GEP66:GEQ69 GOL66:GOM69 GYH66:GYI69 HID66:HIE69 HRZ66:HSA69 IBV66:IBW69 ILR66:ILS69 IVN66:IVO69 JFJ66:JFK69 JPF66:JPG69 JZB66:JZC69 KIX66:KIY69 KST66:KSU69 LCP66:LCQ69 LML66:LMM69 LWH66:LWI69 MGD66:MGE69 MPZ66:MQA69 MZV66:MZW69 NJR66:NJS69 NTN66:NTO69 ODJ66:ODK69 ONF66:ONG69 OXB66:OXC69 PGX66:PGY69 PQT66:PQU69 QAP66:QAQ69 QKL66:QKM69 QUH66:QUI69 RED66:REE69 RNZ66:ROA69 RXV66:RXW69 SHR66:SHS69 SRN66:SRO69 TBJ66:TBK69 TLF66:TLG69 TVB66:TVC69 UEX66:UEY69 UOT66:UOU69 UYP66:UYQ69 VIL66:VIM69 VSH66:VSI69 WCD66:WCE69 WLZ66:WMA69 WVV66:WVW69 N65602:O65605 JJ65602:JK65605 TF65602:TG65605 ADB65602:ADC65605 AMX65602:AMY65605 AWT65602:AWU65605 BGP65602:BGQ65605 BQL65602:BQM65605 CAH65602:CAI65605 CKD65602:CKE65605 CTZ65602:CUA65605 DDV65602:DDW65605 DNR65602:DNS65605 DXN65602:DXO65605 EHJ65602:EHK65605 ERF65602:ERG65605 FBB65602:FBC65605 FKX65602:FKY65605 FUT65602:FUU65605 GEP65602:GEQ65605 GOL65602:GOM65605 GYH65602:GYI65605 HID65602:HIE65605 HRZ65602:HSA65605 IBV65602:IBW65605 ILR65602:ILS65605 IVN65602:IVO65605 JFJ65602:JFK65605 JPF65602:JPG65605 JZB65602:JZC65605 KIX65602:KIY65605 KST65602:KSU65605 LCP65602:LCQ65605 LML65602:LMM65605 LWH65602:LWI65605 MGD65602:MGE65605 MPZ65602:MQA65605 MZV65602:MZW65605 NJR65602:NJS65605 NTN65602:NTO65605 ODJ65602:ODK65605 ONF65602:ONG65605 OXB65602:OXC65605 PGX65602:PGY65605 PQT65602:PQU65605 QAP65602:QAQ65605 QKL65602:QKM65605 QUH65602:QUI65605 RED65602:REE65605 RNZ65602:ROA65605 RXV65602:RXW65605 SHR65602:SHS65605 SRN65602:SRO65605 TBJ65602:TBK65605 TLF65602:TLG65605 TVB65602:TVC65605 UEX65602:UEY65605 UOT65602:UOU65605 UYP65602:UYQ65605 VIL65602:VIM65605 VSH65602:VSI65605 WCD65602:WCE65605 WLZ65602:WMA65605 WVV65602:WVW65605 N131138:O131141 JJ131138:JK131141 TF131138:TG131141 ADB131138:ADC131141 AMX131138:AMY131141 AWT131138:AWU131141 BGP131138:BGQ131141 BQL131138:BQM131141 CAH131138:CAI131141 CKD131138:CKE131141 CTZ131138:CUA131141 DDV131138:DDW131141 DNR131138:DNS131141 DXN131138:DXO131141 EHJ131138:EHK131141 ERF131138:ERG131141 FBB131138:FBC131141 FKX131138:FKY131141 FUT131138:FUU131141 GEP131138:GEQ131141 GOL131138:GOM131141 GYH131138:GYI131141 HID131138:HIE131141 HRZ131138:HSA131141 IBV131138:IBW131141 ILR131138:ILS131141 IVN131138:IVO131141 JFJ131138:JFK131141 JPF131138:JPG131141 JZB131138:JZC131141 KIX131138:KIY131141 KST131138:KSU131141 LCP131138:LCQ131141 LML131138:LMM131141 LWH131138:LWI131141 MGD131138:MGE131141 MPZ131138:MQA131141 MZV131138:MZW131141 NJR131138:NJS131141 NTN131138:NTO131141 ODJ131138:ODK131141 ONF131138:ONG131141 OXB131138:OXC131141 PGX131138:PGY131141 PQT131138:PQU131141 QAP131138:QAQ131141 QKL131138:QKM131141 QUH131138:QUI131141 RED131138:REE131141 RNZ131138:ROA131141 RXV131138:RXW131141 SHR131138:SHS131141 SRN131138:SRO131141 TBJ131138:TBK131141 TLF131138:TLG131141 TVB131138:TVC131141 UEX131138:UEY131141 UOT131138:UOU131141 UYP131138:UYQ131141 VIL131138:VIM131141 VSH131138:VSI131141 WCD131138:WCE131141 WLZ131138:WMA131141 WVV131138:WVW131141 N196674:O196677 JJ196674:JK196677 TF196674:TG196677 ADB196674:ADC196677 AMX196674:AMY196677 AWT196674:AWU196677 BGP196674:BGQ196677 BQL196674:BQM196677 CAH196674:CAI196677 CKD196674:CKE196677 CTZ196674:CUA196677 DDV196674:DDW196677 DNR196674:DNS196677 DXN196674:DXO196677 EHJ196674:EHK196677 ERF196674:ERG196677 FBB196674:FBC196677 FKX196674:FKY196677 FUT196674:FUU196677 GEP196674:GEQ196677 GOL196674:GOM196677 GYH196674:GYI196677 HID196674:HIE196677 HRZ196674:HSA196677 IBV196674:IBW196677 ILR196674:ILS196677 IVN196674:IVO196677 JFJ196674:JFK196677 JPF196674:JPG196677 JZB196674:JZC196677 KIX196674:KIY196677 KST196674:KSU196677 LCP196674:LCQ196677 LML196674:LMM196677 LWH196674:LWI196677 MGD196674:MGE196677 MPZ196674:MQA196677 MZV196674:MZW196677 NJR196674:NJS196677 NTN196674:NTO196677 ODJ196674:ODK196677 ONF196674:ONG196677 OXB196674:OXC196677 PGX196674:PGY196677 PQT196674:PQU196677 QAP196674:QAQ196677 QKL196674:QKM196677 QUH196674:QUI196677 RED196674:REE196677 RNZ196674:ROA196677 RXV196674:RXW196677 SHR196674:SHS196677 SRN196674:SRO196677 TBJ196674:TBK196677 TLF196674:TLG196677 TVB196674:TVC196677 UEX196674:UEY196677 UOT196674:UOU196677 UYP196674:UYQ196677 VIL196674:VIM196677 VSH196674:VSI196677 WCD196674:WCE196677 WLZ196674:WMA196677 WVV196674:WVW196677 N262210:O262213 JJ262210:JK262213 TF262210:TG262213 ADB262210:ADC262213 AMX262210:AMY262213 AWT262210:AWU262213 BGP262210:BGQ262213 BQL262210:BQM262213 CAH262210:CAI262213 CKD262210:CKE262213 CTZ262210:CUA262213 DDV262210:DDW262213 DNR262210:DNS262213 DXN262210:DXO262213 EHJ262210:EHK262213 ERF262210:ERG262213 FBB262210:FBC262213 FKX262210:FKY262213 FUT262210:FUU262213 GEP262210:GEQ262213 GOL262210:GOM262213 GYH262210:GYI262213 HID262210:HIE262213 HRZ262210:HSA262213 IBV262210:IBW262213 ILR262210:ILS262213 IVN262210:IVO262213 JFJ262210:JFK262213 JPF262210:JPG262213 JZB262210:JZC262213 KIX262210:KIY262213 KST262210:KSU262213 LCP262210:LCQ262213 LML262210:LMM262213 LWH262210:LWI262213 MGD262210:MGE262213 MPZ262210:MQA262213 MZV262210:MZW262213 NJR262210:NJS262213 NTN262210:NTO262213 ODJ262210:ODK262213 ONF262210:ONG262213 OXB262210:OXC262213 PGX262210:PGY262213 PQT262210:PQU262213 QAP262210:QAQ262213 QKL262210:QKM262213 QUH262210:QUI262213 RED262210:REE262213 RNZ262210:ROA262213 RXV262210:RXW262213 SHR262210:SHS262213 SRN262210:SRO262213 TBJ262210:TBK262213 TLF262210:TLG262213 TVB262210:TVC262213 UEX262210:UEY262213 UOT262210:UOU262213 UYP262210:UYQ262213 VIL262210:VIM262213 VSH262210:VSI262213 WCD262210:WCE262213 WLZ262210:WMA262213 WVV262210:WVW262213 N327746:O327749 JJ327746:JK327749 TF327746:TG327749 ADB327746:ADC327749 AMX327746:AMY327749 AWT327746:AWU327749 BGP327746:BGQ327749 BQL327746:BQM327749 CAH327746:CAI327749 CKD327746:CKE327749 CTZ327746:CUA327749 DDV327746:DDW327749 DNR327746:DNS327749 DXN327746:DXO327749 EHJ327746:EHK327749 ERF327746:ERG327749 FBB327746:FBC327749 FKX327746:FKY327749 FUT327746:FUU327749 GEP327746:GEQ327749 GOL327746:GOM327749 GYH327746:GYI327749 HID327746:HIE327749 HRZ327746:HSA327749 IBV327746:IBW327749 ILR327746:ILS327749 IVN327746:IVO327749 JFJ327746:JFK327749 JPF327746:JPG327749 JZB327746:JZC327749 KIX327746:KIY327749 KST327746:KSU327749 LCP327746:LCQ327749 LML327746:LMM327749 LWH327746:LWI327749 MGD327746:MGE327749 MPZ327746:MQA327749 MZV327746:MZW327749 NJR327746:NJS327749 NTN327746:NTO327749 ODJ327746:ODK327749 ONF327746:ONG327749 OXB327746:OXC327749 PGX327746:PGY327749 PQT327746:PQU327749 QAP327746:QAQ327749 QKL327746:QKM327749 QUH327746:QUI327749 RED327746:REE327749 RNZ327746:ROA327749 RXV327746:RXW327749 SHR327746:SHS327749 SRN327746:SRO327749 TBJ327746:TBK327749 TLF327746:TLG327749 TVB327746:TVC327749 UEX327746:UEY327749 UOT327746:UOU327749 UYP327746:UYQ327749 VIL327746:VIM327749 VSH327746:VSI327749 WCD327746:WCE327749 WLZ327746:WMA327749 WVV327746:WVW327749 N393282:O393285 JJ393282:JK393285 TF393282:TG393285 ADB393282:ADC393285 AMX393282:AMY393285 AWT393282:AWU393285 BGP393282:BGQ393285 BQL393282:BQM393285 CAH393282:CAI393285 CKD393282:CKE393285 CTZ393282:CUA393285 DDV393282:DDW393285 DNR393282:DNS393285 DXN393282:DXO393285 EHJ393282:EHK393285 ERF393282:ERG393285 FBB393282:FBC393285 FKX393282:FKY393285 FUT393282:FUU393285 GEP393282:GEQ393285 GOL393282:GOM393285 GYH393282:GYI393285 HID393282:HIE393285 HRZ393282:HSA393285 IBV393282:IBW393285 ILR393282:ILS393285 IVN393282:IVO393285 JFJ393282:JFK393285 JPF393282:JPG393285 JZB393282:JZC393285 KIX393282:KIY393285 KST393282:KSU393285 LCP393282:LCQ393285 LML393282:LMM393285 LWH393282:LWI393285 MGD393282:MGE393285 MPZ393282:MQA393285 MZV393282:MZW393285 NJR393282:NJS393285 NTN393282:NTO393285 ODJ393282:ODK393285 ONF393282:ONG393285 OXB393282:OXC393285 PGX393282:PGY393285 PQT393282:PQU393285 QAP393282:QAQ393285 QKL393282:QKM393285 QUH393282:QUI393285 RED393282:REE393285 RNZ393282:ROA393285 RXV393282:RXW393285 SHR393282:SHS393285 SRN393282:SRO393285 TBJ393282:TBK393285 TLF393282:TLG393285 TVB393282:TVC393285 UEX393282:UEY393285 UOT393282:UOU393285 UYP393282:UYQ393285 VIL393282:VIM393285 VSH393282:VSI393285 WCD393282:WCE393285 WLZ393282:WMA393285 WVV393282:WVW393285 N458818:O458821 JJ458818:JK458821 TF458818:TG458821 ADB458818:ADC458821 AMX458818:AMY458821 AWT458818:AWU458821 BGP458818:BGQ458821 BQL458818:BQM458821 CAH458818:CAI458821 CKD458818:CKE458821 CTZ458818:CUA458821 DDV458818:DDW458821 DNR458818:DNS458821 DXN458818:DXO458821 EHJ458818:EHK458821 ERF458818:ERG458821 FBB458818:FBC458821 FKX458818:FKY458821 FUT458818:FUU458821 GEP458818:GEQ458821 GOL458818:GOM458821 GYH458818:GYI458821 HID458818:HIE458821 HRZ458818:HSA458821 IBV458818:IBW458821 ILR458818:ILS458821 IVN458818:IVO458821 JFJ458818:JFK458821 JPF458818:JPG458821 JZB458818:JZC458821 KIX458818:KIY458821 KST458818:KSU458821 LCP458818:LCQ458821 LML458818:LMM458821 LWH458818:LWI458821 MGD458818:MGE458821 MPZ458818:MQA458821 MZV458818:MZW458821 NJR458818:NJS458821 NTN458818:NTO458821 ODJ458818:ODK458821 ONF458818:ONG458821 OXB458818:OXC458821 PGX458818:PGY458821 PQT458818:PQU458821 QAP458818:QAQ458821 QKL458818:QKM458821 QUH458818:QUI458821 RED458818:REE458821 RNZ458818:ROA458821 RXV458818:RXW458821 SHR458818:SHS458821 SRN458818:SRO458821 TBJ458818:TBK458821 TLF458818:TLG458821 TVB458818:TVC458821 UEX458818:UEY458821 UOT458818:UOU458821 UYP458818:UYQ458821 VIL458818:VIM458821 VSH458818:VSI458821 WCD458818:WCE458821 WLZ458818:WMA458821 WVV458818:WVW458821 N524354:O524357 JJ524354:JK524357 TF524354:TG524357 ADB524354:ADC524357 AMX524354:AMY524357 AWT524354:AWU524357 BGP524354:BGQ524357 BQL524354:BQM524357 CAH524354:CAI524357 CKD524354:CKE524357 CTZ524354:CUA524357 DDV524354:DDW524357 DNR524354:DNS524357 DXN524354:DXO524357 EHJ524354:EHK524357 ERF524354:ERG524357 FBB524354:FBC524357 FKX524354:FKY524357 FUT524354:FUU524357 GEP524354:GEQ524357 GOL524354:GOM524357 GYH524354:GYI524357 HID524354:HIE524357 HRZ524354:HSA524357 IBV524354:IBW524357 ILR524354:ILS524357 IVN524354:IVO524357 JFJ524354:JFK524357 JPF524354:JPG524357 JZB524354:JZC524357 KIX524354:KIY524357 KST524354:KSU524357 LCP524354:LCQ524357 LML524354:LMM524357 LWH524354:LWI524357 MGD524354:MGE524357 MPZ524354:MQA524357 MZV524354:MZW524357 NJR524354:NJS524357 NTN524354:NTO524357 ODJ524354:ODK524357 ONF524354:ONG524357 OXB524354:OXC524357 PGX524354:PGY524357 PQT524354:PQU524357 QAP524354:QAQ524357 QKL524354:QKM524357 QUH524354:QUI524357 RED524354:REE524357 RNZ524354:ROA524357 RXV524354:RXW524357 SHR524354:SHS524357 SRN524354:SRO524357 TBJ524354:TBK524357 TLF524354:TLG524357 TVB524354:TVC524357 UEX524354:UEY524357 UOT524354:UOU524357 UYP524354:UYQ524357 VIL524354:VIM524357 VSH524354:VSI524357 WCD524354:WCE524357 WLZ524354:WMA524357 WVV524354:WVW524357 N589890:O589893 JJ589890:JK589893 TF589890:TG589893 ADB589890:ADC589893 AMX589890:AMY589893 AWT589890:AWU589893 BGP589890:BGQ589893 BQL589890:BQM589893 CAH589890:CAI589893 CKD589890:CKE589893 CTZ589890:CUA589893 DDV589890:DDW589893 DNR589890:DNS589893 DXN589890:DXO589893 EHJ589890:EHK589893 ERF589890:ERG589893 FBB589890:FBC589893 FKX589890:FKY589893 FUT589890:FUU589893 GEP589890:GEQ589893 GOL589890:GOM589893 GYH589890:GYI589893 HID589890:HIE589893 HRZ589890:HSA589893 IBV589890:IBW589893 ILR589890:ILS589893 IVN589890:IVO589893 JFJ589890:JFK589893 JPF589890:JPG589893 JZB589890:JZC589893 KIX589890:KIY589893 KST589890:KSU589893 LCP589890:LCQ589893 LML589890:LMM589893 LWH589890:LWI589893 MGD589890:MGE589893 MPZ589890:MQA589893 MZV589890:MZW589893 NJR589890:NJS589893 NTN589890:NTO589893 ODJ589890:ODK589893 ONF589890:ONG589893 OXB589890:OXC589893 PGX589890:PGY589893 PQT589890:PQU589893 QAP589890:QAQ589893 QKL589890:QKM589893 QUH589890:QUI589893 RED589890:REE589893 RNZ589890:ROA589893 RXV589890:RXW589893 SHR589890:SHS589893 SRN589890:SRO589893 TBJ589890:TBK589893 TLF589890:TLG589893 TVB589890:TVC589893 UEX589890:UEY589893 UOT589890:UOU589893 UYP589890:UYQ589893 VIL589890:VIM589893 VSH589890:VSI589893 WCD589890:WCE589893 WLZ589890:WMA589893 WVV589890:WVW589893 N655426:O655429 JJ655426:JK655429 TF655426:TG655429 ADB655426:ADC655429 AMX655426:AMY655429 AWT655426:AWU655429 BGP655426:BGQ655429 BQL655426:BQM655429 CAH655426:CAI655429 CKD655426:CKE655429 CTZ655426:CUA655429 DDV655426:DDW655429 DNR655426:DNS655429 DXN655426:DXO655429 EHJ655426:EHK655429 ERF655426:ERG655429 FBB655426:FBC655429 FKX655426:FKY655429 FUT655426:FUU655429 GEP655426:GEQ655429 GOL655426:GOM655429 GYH655426:GYI655429 HID655426:HIE655429 HRZ655426:HSA655429 IBV655426:IBW655429 ILR655426:ILS655429 IVN655426:IVO655429 JFJ655426:JFK655429 JPF655426:JPG655429 JZB655426:JZC655429 KIX655426:KIY655429 KST655426:KSU655429 LCP655426:LCQ655429 LML655426:LMM655429 LWH655426:LWI655429 MGD655426:MGE655429 MPZ655426:MQA655429 MZV655426:MZW655429 NJR655426:NJS655429 NTN655426:NTO655429 ODJ655426:ODK655429 ONF655426:ONG655429 OXB655426:OXC655429 PGX655426:PGY655429 PQT655426:PQU655429 QAP655426:QAQ655429 QKL655426:QKM655429 QUH655426:QUI655429 RED655426:REE655429 RNZ655426:ROA655429 RXV655426:RXW655429 SHR655426:SHS655429 SRN655426:SRO655429 TBJ655426:TBK655429 TLF655426:TLG655429 TVB655426:TVC655429 UEX655426:UEY655429 UOT655426:UOU655429 UYP655426:UYQ655429 VIL655426:VIM655429 VSH655426:VSI655429 WCD655426:WCE655429 WLZ655426:WMA655429 WVV655426:WVW655429 N720962:O720965 JJ720962:JK720965 TF720962:TG720965 ADB720962:ADC720965 AMX720962:AMY720965 AWT720962:AWU720965 BGP720962:BGQ720965 BQL720962:BQM720965 CAH720962:CAI720965 CKD720962:CKE720965 CTZ720962:CUA720965 DDV720962:DDW720965 DNR720962:DNS720965 DXN720962:DXO720965 EHJ720962:EHK720965 ERF720962:ERG720965 FBB720962:FBC720965 FKX720962:FKY720965 FUT720962:FUU720965 GEP720962:GEQ720965 GOL720962:GOM720965 GYH720962:GYI720965 HID720962:HIE720965 HRZ720962:HSA720965 IBV720962:IBW720965 ILR720962:ILS720965 IVN720962:IVO720965 JFJ720962:JFK720965 JPF720962:JPG720965 JZB720962:JZC720965 KIX720962:KIY720965 KST720962:KSU720965 LCP720962:LCQ720965 LML720962:LMM720965 LWH720962:LWI720965 MGD720962:MGE720965 MPZ720962:MQA720965 MZV720962:MZW720965 NJR720962:NJS720965 NTN720962:NTO720965 ODJ720962:ODK720965 ONF720962:ONG720965 OXB720962:OXC720965 PGX720962:PGY720965 PQT720962:PQU720965 QAP720962:QAQ720965 QKL720962:QKM720965 QUH720962:QUI720965 RED720962:REE720965 RNZ720962:ROA720965 RXV720962:RXW720965 SHR720962:SHS720965 SRN720962:SRO720965 TBJ720962:TBK720965 TLF720962:TLG720965 TVB720962:TVC720965 UEX720962:UEY720965 UOT720962:UOU720965 UYP720962:UYQ720965 VIL720962:VIM720965 VSH720962:VSI720965 WCD720962:WCE720965 WLZ720962:WMA720965 WVV720962:WVW720965 N786498:O786501 JJ786498:JK786501 TF786498:TG786501 ADB786498:ADC786501 AMX786498:AMY786501 AWT786498:AWU786501 BGP786498:BGQ786501 BQL786498:BQM786501 CAH786498:CAI786501 CKD786498:CKE786501 CTZ786498:CUA786501 DDV786498:DDW786501 DNR786498:DNS786501 DXN786498:DXO786501 EHJ786498:EHK786501 ERF786498:ERG786501 FBB786498:FBC786501 FKX786498:FKY786501 FUT786498:FUU786501 GEP786498:GEQ786501 GOL786498:GOM786501 GYH786498:GYI786501 HID786498:HIE786501 HRZ786498:HSA786501 IBV786498:IBW786501 ILR786498:ILS786501 IVN786498:IVO786501 JFJ786498:JFK786501 JPF786498:JPG786501 JZB786498:JZC786501 KIX786498:KIY786501 KST786498:KSU786501 LCP786498:LCQ786501 LML786498:LMM786501 LWH786498:LWI786501 MGD786498:MGE786501 MPZ786498:MQA786501 MZV786498:MZW786501 NJR786498:NJS786501 NTN786498:NTO786501 ODJ786498:ODK786501 ONF786498:ONG786501 OXB786498:OXC786501 PGX786498:PGY786501 PQT786498:PQU786501 QAP786498:QAQ786501 QKL786498:QKM786501 QUH786498:QUI786501 RED786498:REE786501 RNZ786498:ROA786501 RXV786498:RXW786501 SHR786498:SHS786501 SRN786498:SRO786501 TBJ786498:TBK786501 TLF786498:TLG786501 TVB786498:TVC786501 UEX786498:UEY786501 UOT786498:UOU786501 UYP786498:UYQ786501 VIL786498:VIM786501 VSH786498:VSI786501 WCD786498:WCE786501 WLZ786498:WMA786501 WVV786498:WVW786501 N852034:O852037 JJ852034:JK852037 TF852034:TG852037 ADB852034:ADC852037 AMX852034:AMY852037 AWT852034:AWU852037 BGP852034:BGQ852037 BQL852034:BQM852037 CAH852034:CAI852037 CKD852034:CKE852037 CTZ852034:CUA852037 DDV852034:DDW852037 DNR852034:DNS852037 DXN852034:DXO852037 EHJ852034:EHK852037 ERF852034:ERG852037 FBB852034:FBC852037 FKX852034:FKY852037 FUT852034:FUU852037 GEP852034:GEQ852037 GOL852034:GOM852037 GYH852034:GYI852037 HID852034:HIE852037 HRZ852034:HSA852037 IBV852034:IBW852037 ILR852034:ILS852037 IVN852034:IVO852037 JFJ852034:JFK852037 JPF852034:JPG852037 JZB852034:JZC852037 KIX852034:KIY852037 KST852034:KSU852037 LCP852034:LCQ852037 LML852034:LMM852037 LWH852034:LWI852037 MGD852034:MGE852037 MPZ852034:MQA852037 MZV852034:MZW852037 NJR852034:NJS852037 NTN852034:NTO852037 ODJ852034:ODK852037 ONF852034:ONG852037 OXB852034:OXC852037 PGX852034:PGY852037 PQT852034:PQU852037 QAP852034:QAQ852037 QKL852034:QKM852037 QUH852034:QUI852037 RED852034:REE852037 RNZ852034:ROA852037 RXV852034:RXW852037 SHR852034:SHS852037 SRN852034:SRO852037 TBJ852034:TBK852037 TLF852034:TLG852037 TVB852034:TVC852037 UEX852034:UEY852037 UOT852034:UOU852037 UYP852034:UYQ852037 VIL852034:VIM852037 VSH852034:VSI852037 WCD852034:WCE852037 WLZ852034:WMA852037 WVV852034:WVW852037 N917570:O917573 JJ917570:JK917573 TF917570:TG917573 ADB917570:ADC917573 AMX917570:AMY917573 AWT917570:AWU917573 BGP917570:BGQ917573 BQL917570:BQM917573 CAH917570:CAI917573 CKD917570:CKE917573 CTZ917570:CUA917573 DDV917570:DDW917573 DNR917570:DNS917573 DXN917570:DXO917573 EHJ917570:EHK917573 ERF917570:ERG917573 FBB917570:FBC917573 FKX917570:FKY917573 FUT917570:FUU917573 GEP917570:GEQ917573 GOL917570:GOM917573 GYH917570:GYI917573 HID917570:HIE917573 HRZ917570:HSA917573 IBV917570:IBW917573 ILR917570:ILS917573 IVN917570:IVO917573 JFJ917570:JFK917573 JPF917570:JPG917573 JZB917570:JZC917573 KIX917570:KIY917573 KST917570:KSU917573 LCP917570:LCQ917573 LML917570:LMM917573 LWH917570:LWI917573 MGD917570:MGE917573 MPZ917570:MQA917573 MZV917570:MZW917573 NJR917570:NJS917573 NTN917570:NTO917573 ODJ917570:ODK917573 ONF917570:ONG917573 OXB917570:OXC917573 PGX917570:PGY917573 PQT917570:PQU917573 QAP917570:QAQ917573 QKL917570:QKM917573 QUH917570:QUI917573 RED917570:REE917573 RNZ917570:ROA917573 RXV917570:RXW917573 SHR917570:SHS917573 SRN917570:SRO917573 TBJ917570:TBK917573 TLF917570:TLG917573 TVB917570:TVC917573 UEX917570:UEY917573 UOT917570:UOU917573 UYP917570:UYQ917573 VIL917570:VIM917573 VSH917570:VSI917573 WCD917570:WCE917573 WLZ917570:WMA917573 WVV917570:WVW917573 N983106:O983109 JJ983106:JK983109 TF983106:TG983109 ADB983106:ADC983109 AMX983106:AMY983109 AWT983106:AWU983109 BGP983106:BGQ983109 BQL983106:BQM983109 CAH983106:CAI983109 CKD983106:CKE983109 CTZ983106:CUA983109 DDV983106:DDW983109 DNR983106:DNS983109 DXN983106:DXO983109 EHJ983106:EHK983109 ERF983106:ERG983109 FBB983106:FBC983109 FKX983106:FKY983109 FUT983106:FUU983109 GEP983106:GEQ983109 GOL983106:GOM983109 GYH983106:GYI983109 HID983106:HIE983109 HRZ983106:HSA983109 IBV983106:IBW983109 ILR983106:ILS983109 IVN983106:IVO983109 JFJ983106:JFK983109 JPF983106:JPG983109 JZB983106:JZC983109 KIX983106:KIY983109 KST983106:KSU983109 LCP983106:LCQ983109 LML983106:LMM983109 LWH983106:LWI983109 MGD983106:MGE983109 MPZ983106:MQA983109 MZV983106:MZW983109 NJR983106:NJS983109 NTN983106:NTO983109 ODJ983106:ODK983109 ONF983106:ONG983109 OXB983106:OXC983109 PGX983106:PGY983109 PQT983106:PQU983109 QAP983106:QAQ983109 QKL983106:QKM983109 QUH983106:QUI983109 RED983106:REE983109 RNZ983106:ROA983109 RXV983106:RXW983109 SHR983106:SHS983109 SRN983106:SRO983109 TBJ983106:TBK983109 TLF983106:TLG983109 TVB983106:TVC983109 UEX983106:UEY983109 UOT983106:UOU983109 UYP983106:UYQ983109 VIL983106:VIM983109 VSH983106:VSI983109 WCD983106:WCE983109 WLZ983106:WMA983109 WVV983106:WVW983109 N71:O71 JJ71:JK71 TF71:TG71 ADB71:ADC71 AMX71:AMY71 AWT71:AWU71 BGP71:BGQ71 BQL71:BQM71 CAH71:CAI71 CKD71:CKE71 CTZ71:CUA71 DDV71:DDW71 DNR71:DNS71 DXN71:DXO71 EHJ71:EHK71 ERF71:ERG71 FBB71:FBC71 FKX71:FKY71 FUT71:FUU71 GEP71:GEQ71 GOL71:GOM71 GYH71:GYI71 HID71:HIE71 HRZ71:HSA71 IBV71:IBW71 ILR71:ILS71 IVN71:IVO71 JFJ71:JFK71 JPF71:JPG71 JZB71:JZC71 KIX71:KIY71 KST71:KSU71 LCP71:LCQ71 LML71:LMM71 LWH71:LWI71 MGD71:MGE71 MPZ71:MQA71 MZV71:MZW71 NJR71:NJS71 NTN71:NTO71 ODJ71:ODK71 ONF71:ONG71 OXB71:OXC71 PGX71:PGY71 PQT71:PQU71 QAP71:QAQ71 QKL71:QKM71 QUH71:QUI71 RED71:REE71 RNZ71:ROA71 RXV71:RXW71 SHR71:SHS71 SRN71:SRO71 TBJ71:TBK71 TLF71:TLG71 TVB71:TVC71 UEX71:UEY71 UOT71:UOU71 UYP71:UYQ71 VIL71:VIM71 VSH71:VSI71 WCD71:WCE71 WLZ71:WMA71 WVV71:WVW71 N65607:O65607 JJ65607:JK65607 TF65607:TG65607 ADB65607:ADC65607 AMX65607:AMY65607 AWT65607:AWU65607 BGP65607:BGQ65607 BQL65607:BQM65607 CAH65607:CAI65607 CKD65607:CKE65607 CTZ65607:CUA65607 DDV65607:DDW65607 DNR65607:DNS65607 DXN65607:DXO65607 EHJ65607:EHK65607 ERF65607:ERG65607 FBB65607:FBC65607 FKX65607:FKY65607 FUT65607:FUU65607 GEP65607:GEQ65607 GOL65607:GOM65607 GYH65607:GYI65607 HID65607:HIE65607 HRZ65607:HSA65607 IBV65607:IBW65607 ILR65607:ILS65607 IVN65607:IVO65607 JFJ65607:JFK65607 JPF65607:JPG65607 JZB65607:JZC65607 KIX65607:KIY65607 KST65607:KSU65607 LCP65607:LCQ65607 LML65607:LMM65607 LWH65607:LWI65607 MGD65607:MGE65607 MPZ65607:MQA65607 MZV65607:MZW65607 NJR65607:NJS65607 NTN65607:NTO65607 ODJ65607:ODK65607 ONF65607:ONG65607 OXB65607:OXC65607 PGX65607:PGY65607 PQT65607:PQU65607 QAP65607:QAQ65607 QKL65607:QKM65607 QUH65607:QUI65607 RED65607:REE65607 RNZ65607:ROA65607 RXV65607:RXW65607 SHR65607:SHS65607 SRN65607:SRO65607 TBJ65607:TBK65607 TLF65607:TLG65607 TVB65607:TVC65607 UEX65607:UEY65607 UOT65607:UOU65607 UYP65607:UYQ65607 VIL65607:VIM65607 VSH65607:VSI65607 WCD65607:WCE65607 WLZ65607:WMA65607 WVV65607:WVW65607 N131143:O131143 JJ131143:JK131143 TF131143:TG131143 ADB131143:ADC131143 AMX131143:AMY131143 AWT131143:AWU131143 BGP131143:BGQ131143 BQL131143:BQM131143 CAH131143:CAI131143 CKD131143:CKE131143 CTZ131143:CUA131143 DDV131143:DDW131143 DNR131143:DNS131143 DXN131143:DXO131143 EHJ131143:EHK131143 ERF131143:ERG131143 FBB131143:FBC131143 FKX131143:FKY131143 FUT131143:FUU131143 GEP131143:GEQ131143 GOL131143:GOM131143 GYH131143:GYI131143 HID131143:HIE131143 HRZ131143:HSA131143 IBV131143:IBW131143 ILR131143:ILS131143 IVN131143:IVO131143 JFJ131143:JFK131143 JPF131143:JPG131143 JZB131143:JZC131143 KIX131143:KIY131143 KST131143:KSU131143 LCP131143:LCQ131143 LML131143:LMM131143 LWH131143:LWI131143 MGD131143:MGE131143 MPZ131143:MQA131143 MZV131143:MZW131143 NJR131143:NJS131143 NTN131143:NTO131143 ODJ131143:ODK131143 ONF131143:ONG131143 OXB131143:OXC131143 PGX131143:PGY131143 PQT131143:PQU131143 QAP131143:QAQ131143 QKL131143:QKM131143 QUH131143:QUI131143 RED131143:REE131143 RNZ131143:ROA131143 RXV131143:RXW131143 SHR131143:SHS131143 SRN131143:SRO131143 TBJ131143:TBK131143 TLF131143:TLG131143 TVB131143:TVC131143 UEX131143:UEY131143 UOT131143:UOU131143 UYP131143:UYQ131143 VIL131143:VIM131143 VSH131143:VSI131143 WCD131143:WCE131143 WLZ131143:WMA131143 WVV131143:WVW131143 N196679:O196679 JJ196679:JK196679 TF196679:TG196679 ADB196679:ADC196679 AMX196679:AMY196679 AWT196679:AWU196679 BGP196679:BGQ196679 BQL196679:BQM196679 CAH196679:CAI196679 CKD196679:CKE196679 CTZ196679:CUA196679 DDV196679:DDW196679 DNR196679:DNS196679 DXN196679:DXO196679 EHJ196679:EHK196679 ERF196679:ERG196679 FBB196679:FBC196679 FKX196679:FKY196679 FUT196679:FUU196679 GEP196679:GEQ196679 GOL196679:GOM196679 GYH196679:GYI196679 HID196679:HIE196679 HRZ196679:HSA196679 IBV196679:IBW196679 ILR196679:ILS196679 IVN196679:IVO196679 JFJ196679:JFK196679 JPF196679:JPG196679 JZB196679:JZC196679 KIX196679:KIY196679 KST196679:KSU196679 LCP196679:LCQ196679 LML196679:LMM196679 LWH196679:LWI196679 MGD196679:MGE196679 MPZ196679:MQA196679 MZV196679:MZW196679 NJR196679:NJS196679 NTN196679:NTO196679 ODJ196679:ODK196679 ONF196679:ONG196679 OXB196679:OXC196679 PGX196679:PGY196679 PQT196679:PQU196679 QAP196679:QAQ196679 QKL196679:QKM196679 QUH196679:QUI196679 RED196679:REE196679 RNZ196679:ROA196679 RXV196679:RXW196679 SHR196679:SHS196679 SRN196679:SRO196679 TBJ196679:TBK196679 TLF196679:TLG196679 TVB196679:TVC196679 UEX196679:UEY196679 UOT196679:UOU196679 UYP196679:UYQ196679 VIL196679:VIM196679 VSH196679:VSI196679 WCD196679:WCE196679 WLZ196679:WMA196679 WVV196679:WVW196679 N262215:O262215 JJ262215:JK262215 TF262215:TG262215 ADB262215:ADC262215 AMX262215:AMY262215 AWT262215:AWU262215 BGP262215:BGQ262215 BQL262215:BQM262215 CAH262215:CAI262215 CKD262215:CKE262215 CTZ262215:CUA262215 DDV262215:DDW262215 DNR262215:DNS262215 DXN262215:DXO262215 EHJ262215:EHK262215 ERF262215:ERG262215 FBB262215:FBC262215 FKX262215:FKY262215 FUT262215:FUU262215 GEP262215:GEQ262215 GOL262215:GOM262215 GYH262215:GYI262215 HID262215:HIE262215 HRZ262215:HSA262215 IBV262215:IBW262215 ILR262215:ILS262215 IVN262215:IVO262215 JFJ262215:JFK262215 JPF262215:JPG262215 JZB262215:JZC262215 KIX262215:KIY262215 KST262215:KSU262215 LCP262215:LCQ262215 LML262215:LMM262215 LWH262215:LWI262215 MGD262215:MGE262215 MPZ262215:MQA262215 MZV262215:MZW262215 NJR262215:NJS262215 NTN262215:NTO262215 ODJ262215:ODK262215 ONF262215:ONG262215 OXB262215:OXC262215 PGX262215:PGY262215 PQT262215:PQU262215 QAP262215:QAQ262215 QKL262215:QKM262215 QUH262215:QUI262215 RED262215:REE262215 RNZ262215:ROA262215 RXV262215:RXW262215 SHR262215:SHS262215 SRN262215:SRO262215 TBJ262215:TBK262215 TLF262215:TLG262215 TVB262215:TVC262215 UEX262215:UEY262215 UOT262215:UOU262215 UYP262215:UYQ262215 VIL262215:VIM262215 VSH262215:VSI262215 WCD262215:WCE262215 WLZ262215:WMA262215 WVV262215:WVW262215 N327751:O327751 JJ327751:JK327751 TF327751:TG327751 ADB327751:ADC327751 AMX327751:AMY327751 AWT327751:AWU327751 BGP327751:BGQ327751 BQL327751:BQM327751 CAH327751:CAI327751 CKD327751:CKE327751 CTZ327751:CUA327751 DDV327751:DDW327751 DNR327751:DNS327751 DXN327751:DXO327751 EHJ327751:EHK327751 ERF327751:ERG327751 FBB327751:FBC327751 FKX327751:FKY327751 FUT327751:FUU327751 GEP327751:GEQ327751 GOL327751:GOM327751 GYH327751:GYI327751 HID327751:HIE327751 HRZ327751:HSA327751 IBV327751:IBW327751 ILR327751:ILS327751 IVN327751:IVO327751 JFJ327751:JFK327751 JPF327751:JPG327751 JZB327751:JZC327751 KIX327751:KIY327751 KST327751:KSU327751 LCP327751:LCQ327751 LML327751:LMM327751 LWH327751:LWI327751 MGD327751:MGE327751 MPZ327751:MQA327751 MZV327751:MZW327751 NJR327751:NJS327751 NTN327751:NTO327751 ODJ327751:ODK327751 ONF327751:ONG327751 OXB327751:OXC327751 PGX327751:PGY327751 PQT327751:PQU327751 QAP327751:QAQ327751 QKL327751:QKM327751 QUH327751:QUI327751 RED327751:REE327751 RNZ327751:ROA327751 RXV327751:RXW327751 SHR327751:SHS327751 SRN327751:SRO327751 TBJ327751:TBK327751 TLF327751:TLG327751 TVB327751:TVC327751 UEX327751:UEY327751 UOT327751:UOU327751 UYP327751:UYQ327751 VIL327751:VIM327751 VSH327751:VSI327751 WCD327751:WCE327751 WLZ327751:WMA327751 WVV327751:WVW327751 N393287:O393287 JJ393287:JK393287 TF393287:TG393287 ADB393287:ADC393287 AMX393287:AMY393287 AWT393287:AWU393287 BGP393287:BGQ393287 BQL393287:BQM393287 CAH393287:CAI393287 CKD393287:CKE393287 CTZ393287:CUA393287 DDV393287:DDW393287 DNR393287:DNS393287 DXN393287:DXO393287 EHJ393287:EHK393287 ERF393287:ERG393287 FBB393287:FBC393287 FKX393287:FKY393287 FUT393287:FUU393287 GEP393287:GEQ393287 GOL393287:GOM393287 GYH393287:GYI393287 HID393287:HIE393287 HRZ393287:HSA393287 IBV393287:IBW393287 ILR393287:ILS393287 IVN393287:IVO393287 JFJ393287:JFK393287 JPF393287:JPG393287 JZB393287:JZC393287 KIX393287:KIY393287 KST393287:KSU393287 LCP393287:LCQ393287 LML393287:LMM393287 LWH393287:LWI393287 MGD393287:MGE393287 MPZ393287:MQA393287 MZV393287:MZW393287 NJR393287:NJS393287 NTN393287:NTO393287 ODJ393287:ODK393287 ONF393287:ONG393287 OXB393287:OXC393287 PGX393287:PGY393287 PQT393287:PQU393287 QAP393287:QAQ393287 QKL393287:QKM393287 QUH393287:QUI393287 RED393287:REE393287 RNZ393287:ROA393287 RXV393287:RXW393287 SHR393287:SHS393287 SRN393287:SRO393287 TBJ393287:TBK393287 TLF393287:TLG393287 TVB393287:TVC393287 UEX393287:UEY393287 UOT393287:UOU393287 UYP393287:UYQ393287 VIL393287:VIM393287 VSH393287:VSI393287 WCD393287:WCE393287 WLZ393287:WMA393287 WVV393287:WVW393287 N458823:O458823 JJ458823:JK458823 TF458823:TG458823 ADB458823:ADC458823 AMX458823:AMY458823 AWT458823:AWU458823 BGP458823:BGQ458823 BQL458823:BQM458823 CAH458823:CAI458823 CKD458823:CKE458823 CTZ458823:CUA458823 DDV458823:DDW458823 DNR458823:DNS458823 DXN458823:DXO458823 EHJ458823:EHK458823 ERF458823:ERG458823 FBB458823:FBC458823 FKX458823:FKY458823 FUT458823:FUU458823 GEP458823:GEQ458823 GOL458823:GOM458823 GYH458823:GYI458823 HID458823:HIE458823 HRZ458823:HSA458823 IBV458823:IBW458823 ILR458823:ILS458823 IVN458823:IVO458823 JFJ458823:JFK458823 JPF458823:JPG458823 JZB458823:JZC458823 KIX458823:KIY458823 KST458823:KSU458823 LCP458823:LCQ458823 LML458823:LMM458823 LWH458823:LWI458823 MGD458823:MGE458823 MPZ458823:MQA458823 MZV458823:MZW458823 NJR458823:NJS458823 NTN458823:NTO458823 ODJ458823:ODK458823 ONF458823:ONG458823 OXB458823:OXC458823 PGX458823:PGY458823 PQT458823:PQU458823 QAP458823:QAQ458823 QKL458823:QKM458823 QUH458823:QUI458823 RED458823:REE458823 RNZ458823:ROA458823 RXV458823:RXW458823 SHR458823:SHS458823 SRN458823:SRO458823 TBJ458823:TBK458823 TLF458823:TLG458823 TVB458823:TVC458823 UEX458823:UEY458823 UOT458823:UOU458823 UYP458823:UYQ458823 VIL458823:VIM458823 VSH458823:VSI458823 WCD458823:WCE458823 WLZ458823:WMA458823 WVV458823:WVW458823 N524359:O524359 JJ524359:JK524359 TF524359:TG524359 ADB524359:ADC524359 AMX524359:AMY524359 AWT524359:AWU524359 BGP524359:BGQ524359 BQL524359:BQM524359 CAH524359:CAI524359 CKD524359:CKE524359 CTZ524359:CUA524359 DDV524359:DDW524359 DNR524359:DNS524359 DXN524359:DXO524359 EHJ524359:EHK524359 ERF524359:ERG524359 FBB524359:FBC524359 FKX524359:FKY524359 FUT524359:FUU524359 GEP524359:GEQ524359 GOL524359:GOM524359 GYH524359:GYI524359 HID524359:HIE524359 HRZ524359:HSA524359 IBV524359:IBW524359 ILR524359:ILS524359 IVN524359:IVO524359 JFJ524359:JFK524359 JPF524359:JPG524359 JZB524359:JZC524359 KIX524359:KIY524359 KST524359:KSU524359 LCP524359:LCQ524359 LML524359:LMM524359 LWH524359:LWI524359 MGD524359:MGE524359 MPZ524359:MQA524359 MZV524359:MZW524359 NJR524359:NJS524359 NTN524359:NTO524359 ODJ524359:ODK524359 ONF524359:ONG524359 OXB524359:OXC524359 PGX524359:PGY524359 PQT524359:PQU524359 QAP524359:QAQ524359 QKL524359:QKM524359 QUH524359:QUI524359 RED524359:REE524359 RNZ524359:ROA524359 RXV524359:RXW524359 SHR524359:SHS524359 SRN524359:SRO524359 TBJ524359:TBK524359 TLF524359:TLG524359 TVB524359:TVC524359 UEX524359:UEY524359 UOT524359:UOU524359 UYP524359:UYQ524359 VIL524359:VIM524359 VSH524359:VSI524359 WCD524359:WCE524359 WLZ524359:WMA524359 WVV524359:WVW524359 N589895:O589895 JJ589895:JK589895 TF589895:TG589895 ADB589895:ADC589895 AMX589895:AMY589895 AWT589895:AWU589895 BGP589895:BGQ589895 BQL589895:BQM589895 CAH589895:CAI589895 CKD589895:CKE589895 CTZ589895:CUA589895 DDV589895:DDW589895 DNR589895:DNS589895 DXN589895:DXO589895 EHJ589895:EHK589895 ERF589895:ERG589895 FBB589895:FBC589895 FKX589895:FKY589895 FUT589895:FUU589895 GEP589895:GEQ589895 GOL589895:GOM589895 GYH589895:GYI589895 HID589895:HIE589895 HRZ589895:HSA589895 IBV589895:IBW589895 ILR589895:ILS589895 IVN589895:IVO589895 JFJ589895:JFK589895 JPF589895:JPG589895 JZB589895:JZC589895 KIX589895:KIY589895 KST589895:KSU589895 LCP589895:LCQ589895 LML589895:LMM589895 LWH589895:LWI589895 MGD589895:MGE589895 MPZ589895:MQA589895 MZV589895:MZW589895 NJR589895:NJS589895 NTN589895:NTO589895 ODJ589895:ODK589895 ONF589895:ONG589895 OXB589895:OXC589895 PGX589895:PGY589895 PQT589895:PQU589895 QAP589895:QAQ589895 QKL589895:QKM589895 QUH589895:QUI589895 RED589895:REE589895 RNZ589895:ROA589895 RXV589895:RXW589895 SHR589895:SHS589895 SRN589895:SRO589895 TBJ589895:TBK589895 TLF589895:TLG589895 TVB589895:TVC589895 UEX589895:UEY589895 UOT589895:UOU589895 UYP589895:UYQ589895 VIL589895:VIM589895 VSH589895:VSI589895 WCD589895:WCE589895 WLZ589895:WMA589895 WVV589895:WVW589895 N655431:O655431 JJ655431:JK655431 TF655431:TG655431 ADB655431:ADC655431 AMX655431:AMY655431 AWT655431:AWU655431 BGP655431:BGQ655431 BQL655431:BQM655431 CAH655431:CAI655431 CKD655431:CKE655431 CTZ655431:CUA655431 DDV655431:DDW655431 DNR655431:DNS655431 DXN655431:DXO655431 EHJ655431:EHK655431 ERF655431:ERG655431 FBB655431:FBC655431 FKX655431:FKY655431 FUT655431:FUU655431 GEP655431:GEQ655431 GOL655431:GOM655431 GYH655431:GYI655431 HID655431:HIE655431 HRZ655431:HSA655431 IBV655431:IBW655431 ILR655431:ILS655431 IVN655431:IVO655431 JFJ655431:JFK655431 JPF655431:JPG655431 JZB655431:JZC655431 KIX655431:KIY655431 KST655431:KSU655431 LCP655431:LCQ655431 LML655431:LMM655431 LWH655431:LWI655431 MGD655431:MGE655431 MPZ655431:MQA655431 MZV655431:MZW655431 NJR655431:NJS655431 NTN655431:NTO655431 ODJ655431:ODK655431 ONF655431:ONG655431 OXB655431:OXC655431 PGX655431:PGY655431 PQT655431:PQU655431 QAP655431:QAQ655431 QKL655431:QKM655431 QUH655431:QUI655431 RED655431:REE655431 RNZ655431:ROA655431 RXV655431:RXW655431 SHR655431:SHS655431 SRN655431:SRO655431 TBJ655431:TBK655431 TLF655431:TLG655431 TVB655431:TVC655431 UEX655431:UEY655431 UOT655431:UOU655431 UYP655431:UYQ655431 VIL655431:VIM655431 VSH655431:VSI655431 WCD655431:WCE655431 WLZ655431:WMA655431 WVV655431:WVW655431 N720967:O720967 JJ720967:JK720967 TF720967:TG720967 ADB720967:ADC720967 AMX720967:AMY720967 AWT720967:AWU720967 BGP720967:BGQ720967 BQL720967:BQM720967 CAH720967:CAI720967 CKD720967:CKE720967 CTZ720967:CUA720967 DDV720967:DDW720967 DNR720967:DNS720967 DXN720967:DXO720967 EHJ720967:EHK720967 ERF720967:ERG720967 FBB720967:FBC720967 FKX720967:FKY720967 FUT720967:FUU720967 GEP720967:GEQ720967 GOL720967:GOM720967 GYH720967:GYI720967 HID720967:HIE720967 HRZ720967:HSA720967 IBV720967:IBW720967 ILR720967:ILS720967 IVN720967:IVO720967 JFJ720967:JFK720967 JPF720967:JPG720967 JZB720967:JZC720967 KIX720967:KIY720967 KST720967:KSU720967 LCP720967:LCQ720967 LML720967:LMM720967 LWH720967:LWI720967 MGD720967:MGE720967 MPZ720967:MQA720967 MZV720967:MZW720967 NJR720967:NJS720967 NTN720967:NTO720967 ODJ720967:ODK720967 ONF720967:ONG720967 OXB720967:OXC720967 PGX720967:PGY720967 PQT720967:PQU720967 QAP720967:QAQ720967 QKL720967:QKM720967 QUH720967:QUI720967 RED720967:REE720967 RNZ720967:ROA720967 RXV720967:RXW720967 SHR720967:SHS720967 SRN720967:SRO720967 TBJ720967:TBK720967 TLF720967:TLG720967 TVB720967:TVC720967 UEX720967:UEY720967 UOT720967:UOU720967 UYP720967:UYQ720967 VIL720967:VIM720967 VSH720967:VSI720967 WCD720967:WCE720967 WLZ720967:WMA720967 WVV720967:WVW720967 N786503:O786503 JJ786503:JK786503 TF786503:TG786503 ADB786503:ADC786503 AMX786503:AMY786503 AWT786503:AWU786503 BGP786503:BGQ786503 BQL786503:BQM786503 CAH786503:CAI786503 CKD786503:CKE786503 CTZ786503:CUA786503 DDV786503:DDW786503 DNR786503:DNS786503 DXN786503:DXO786503 EHJ786503:EHK786503 ERF786503:ERG786503 FBB786503:FBC786503 FKX786503:FKY786503 FUT786503:FUU786503 GEP786503:GEQ786503 GOL786503:GOM786503 GYH786503:GYI786503 HID786503:HIE786503 HRZ786503:HSA786503 IBV786503:IBW786503 ILR786503:ILS786503 IVN786503:IVO786503 JFJ786503:JFK786503 JPF786503:JPG786503 JZB786503:JZC786503 KIX786503:KIY786503 KST786503:KSU786503 LCP786503:LCQ786503 LML786503:LMM786503 LWH786503:LWI786503 MGD786503:MGE786503 MPZ786503:MQA786503 MZV786503:MZW786503 NJR786503:NJS786503 NTN786503:NTO786503 ODJ786503:ODK786503 ONF786503:ONG786503 OXB786503:OXC786503 PGX786503:PGY786503 PQT786503:PQU786503 QAP786503:QAQ786503 QKL786503:QKM786503 QUH786503:QUI786503 RED786503:REE786503 RNZ786503:ROA786503 RXV786503:RXW786503 SHR786503:SHS786503 SRN786503:SRO786503 TBJ786503:TBK786503 TLF786503:TLG786503 TVB786503:TVC786503 UEX786503:UEY786503 UOT786503:UOU786503 UYP786503:UYQ786503 VIL786503:VIM786503 VSH786503:VSI786503 WCD786503:WCE786503 WLZ786503:WMA786503 WVV786503:WVW786503 N852039:O852039 JJ852039:JK852039 TF852039:TG852039 ADB852039:ADC852039 AMX852039:AMY852039 AWT852039:AWU852039 BGP852039:BGQ852039 BQL852039:BQM852039 CAH852039:CAI852039 CKD852039:CKE852039 CTZ852039:CUA852039 DDV852039:DDW852039 DNR852039:DNS852039 DXN852039:DXO852039 EHJ852039:EHK852039 ERF852039:ERG852039 FBB852039:FBC852039 FKX852039:FKY852039 FUT852039:FUU852039 GEP852039:GEQ852039 GOL852039:GOM852039 GYH852039:GYI852039 HID852039:HIE852039 HRZ852039:HSA852039 IBV852039:IBW852039 ILR852039:ILS852039 IVN852039:IVO852039 JFJ852039:JFK852039 JPF852039:JPG852039 JZB852039:JZC852039 KIX852039:KIY852039 KST852039:KSU852039 LCP852039:LCQ852039 LML852039:LMM852039 LWH852039:LWI852039 MGD852039:MGE852039 MPZ852039:MQA852039 MZV852039:MZW852039 NJR852039:NJS852039 NTN852039:NTO852039 ODJ852039:ODK852039 ONF852039:ONG852039 OXB852039:OXC852039 PGX852039:PGY852039 PQT852039:PQU852039 QAP852039:QAQ852039 QKL852039:QKM852039 QUH852039:QUI852039 RED852039:REE852039 RNZ852039:ROA852039 RXV852039:RXW852039 SHR852039:SHS852039 SRN852039:SRO852039 TBJ852039:TBK852039 TLF852039:TLG852039 TVB852039:TVC852039 UEX852039:UEY852039 UOT852039:UOU852039 UYP852039:UYQ852039 VIL852039:VIM852039 VSH852039:VSI852039 WCD852039:WCE852039 WLZ852039:WMA852039 WVV852039:WVW852039 N917575:O917575 JJ917575:JK917575 TF917575:TG917575 ADB917575:ADC917575 AMX917575:AMY917575 AWT917575:AWU917575 BGP917575:BGQ917575 BQL917575:BQM917575 CAH917575:CAI917575 CKD917575:CKE917575 CTZ917575:CUA917575 DDV917575:DDW917575 DNR917575:DNS917575 DXN917575:DXO917575 EHJ917575:EHK917575 ERF917575:ERG917575 FBB917575:FBC917575 FKX917575:FKY917575 FUT917575:FUU917575 GEP917575:GEQ917575 GOL917575:GOM917575 GYH917575:GYI917575 HID917575:HIE917575 HRZ917575:HSA917575 IBV917575:IBW917575 ILR917575:ILS917575 IVN917575:IVO917575 JFJ917575:JFK917575 JPF917575:JPG917575 JZB917575:JZC917575 KIX917575:KIY917575 KST917575:KSU917575 LCP917575:LCQ917575 LML917575:LMM917575 LWH917575:LWI917575 MGD917575:MGE917575 MPZ917575:MQA917575 MZV917575:MZW917575 NJR917575:NJS917575 NTN917575:NTO917575 ODJ917575:ODK917575 ONF917575:ONG917575 OXB917575:OXC917575 PGX917575:PGY917575 PQT917575:PQU917575 QAP917575:QAQ917575 QKL917575:QKM917575 QUH917575:QUI917575 RED917575:REE917575 RNZ917575:ROA917575 RXV917575:RXW917575 SHR917575:SHS917575 SRN917575:SRO917575 TBJ917575:TBK917575 TLF917575:TLG917575 TVB917575:TVC917575 UEX917575:UEY917575 UOT917575:UOU917575 UYP917575:UYQ917575 VIL917575:VIM917575 VSH917575:VSI917575 WCD917575:WCE917575 WLZ917575:WMA917575 WVV917575:WVW917575 N983111:O983111 JJ983111:JK983111 TF983111:TG983111 ADB983111:ADC983111 AMX983111:AMY983111 AWT983111:AWU983111 BGP983111:BGQ983111 BQL983111:BQM983111 CAH983111:CAI983111 CKD983111:CKE983111 CTZ983111:CUA983111 DDV983111:DDW983111 DNR983111:DNS983111 DXN983111:DXO983111 EHJ983111:EHK983111 ERF983111:ERG983111 FBB983111:FBC983111 FKX983111:FKY983111 FUT983111:FUU983111 GEP983111:GEQ983111 GOL983111:GOM983111 GYH983111:GYI983111 HID983111:HIE983111 HRZ983111:HSA983111 IBV983111:IBW983111 ILR983111:ILS983111 IVN983111:IVO983111 JFJ983111:JFK983111 JPF983111:JPG983111 JZB983111:JZC983111 KIX983111:KIY983111 KST983111:KSU983111 LCP983111:LCQ983111 LML983111:LMM983111 LWH983111:LWI983111 MGD983111:MGE983111 MPZ983111:MQA983111 MZV983111:MZW983111 NJR983111:NJS983111 NTN983111:NTO983111 ODJ983111:ODK983111 ONF983111:ONG983111 OXB983111:OXC983111 PGX983111:PGY983111 PQT983111:PQU983111 QAP983111:QAQ983111 QKL983111:QKM983111 QUH983111:QUI983111 RED983111:REE983111 RNZ983111:ROA983111 RXV983111:RXW983111 SHR983111:SHS983111 SRN983111:SRO983111 TBJ983111:TBK983111 TLF983111:TLG983111 TVB983111:TVC983111 UEX983111:UEY983111 UOT983111:UOU983111 UYP983111:UYQ983111 VIL983111:VIM983111 VSH983111:VSI983111 WCD983111:WCE983111 WLZ983111:WMA983111 WVV983111:WVW983111 O72:O74 JK72:JK74 TG72:TG74 ADC72:ADC74 AMY72:AMY74 AWU72:AWU74 BGQ72:BGQ74 BQM72:BQM74 CAI72:CAI74 CKE72:CKE74 CUA72:CUA74 DDW72:DDW74 DNS72:DNS74 DXO72:DXO74 EHK72:EHK74 ERG72:ERG74 FBC72:FBC74 FKY72:FKY74 FUU72:FUU74 GEQ72:GEQ74 GOM72:GOM74 GYI72:GYI74 HIE72:HIE74 HSA72:HSA74 IBW72:IBW74 ILS72:ILS74 IVO72:IVO74 JFK72:JFK74 JPG72:JPG74 JZC72:JZC74 KIY72:KIY74 KSU72:KSU74 LCQ72:LCQ74 LMM72:LMM74 LWI72:LWI74 MGE72:MGE74 MQA72:MQA74 MZW72:MZW74 NJS72:NJS74 NTO72:NTO74 ODK72:ODK74 ONG72:ONG74 OXC72:OXC74 PGY72:PGY74 PQU72:PQU74 QAQ72:QAQ74 QKM72:QKM74 QUI72:QUI74 REE72:REE74 ROA72:ROA74 RXW72:RXW74 SHS72:SHS74 SRO72:SRO74 TBK72:TBK74 TLG72:TLG74 TVC72:TVC74 UEY72:UEY74 UOU72:UOU74 UYQ72:UYQ74 VIM72:VIM74 VSI72:VSI74 WCE72:WCE74 WMA72:WMA74 WVW72:WVW74 O65608:O65610 JK65608:JK65610 TG65608:TG65610 ADC65608:ADC65610 AMY65608:AMY65610 AWU65608:AWU65610 BGQ65608:BGQ65610 BQM65608:BQM65610 CAI65608:CAI65610 CKE65608:CKE65610 CUA65608:CUA65610 DDW65608:DDW65610 DNS65608:DNS65610 DXO65608:DXO65610 EHK65608:EHK65610 ERG65608:ERG65610 FBC65608:FBC65610 FKY65608:FKY65610 FUU65608:FUU65610 GEQ65608:GEQ65610 GOM65608:GOM65610 GYI65608:GYI65610 HIE65608:HIE65610 HSA65608:HSA65610 IBW65608:IBW65610 ILS65608:ILS65610 IVO65608:IVO65610 JFK65608:JFK65610 JPG65608:JPG65610 JZC65608:JZC65610 KIY65608:KIY65610 KSU65608:KSU65610 LCQ65608:LCQ65610 LMM65608:LMM65610 LWI65608:LWI65610 MGE65608:MGE65610 MQA65608:MQA65610 MZW65608:MZW65610 NJS65608:NJS65610 NTO65608:NTO65610 ODK65608:ODK65610 ONG65608:ONG65610 OXC65608:OXC65610 PGY65608:PGY65610 PQU65608:PQU65610 QAQ65608:QAQ65610 QKM65608:QKM65610 QUI65608:QUI65610 REE65608:REE65610 ROA65608:ROA65610 RXW65608:RXW65610 SHS65608:SHS65610 SRO65608:SRO65610 TBK65608:TBK65610 TLG65608:TLG65610 TVC65608:TVC65610 UEY65608:UEY65610 UOU65608:UOU65610 UYQ65608:UYQ65610 VIM65608:VIM65610 VSI65608:VSI65610 WCE65608:WCE65610 WMA65608:WMA65610 WVW65608:WVW65610 O131144:O131146 JK131144:JK131146 TG131144:TG131146 ADC131144:ADC131146 AMY131144:AMY131146 AWU131144:AWU131146 BGQ131144:BGQ131146 BQM131144:BQM131146 CAI131144:CAI131146 CKE131144:CKE131146 CUA131144:CUA131146 DDW131144:DDW131146 DNS131144:DNS131146 DXO131144:DXO131146 EHK131144:EHK131146 ERG131144:ERG131146 FBC131144:FBC131146 FKY131144:FKY131146 FUU131144:FUU131146 GEQ131144:GEQ131146 GOM131144:GOM131146 GYI131144:GYI131146 HIE131144:HIE131146 HSA131144:HSA131146 IBW131144:IBW131146 ILS131144:ILS131146 IVO131144:IVO131146 JFK131144:JFK131146 JPG131144:JPG131146 JZC131144:JZC131146 KIY131144:KIY131146 KSU131144:KSU131146 LCQ131144:LCQ131146 LMM131144:LMM131146 LWI131144:LWI131146 MGE131144:MGE131146 MQA131144:MQA131146 MZW131144:MZW131146 NJS131144:NJS131146 NTO131144:NTO131146 ODK131144:ODK131146 ONG131144:ONG131146 OXC131144:OXC131146 PGY131144:PGY131146 PQU131144:PQU131146 QAQ131144:QAQ131146 QKM131144:QKM131146 QUI131144:QUI131146 REE131144:REE131146 ROA131144:ROA131146 RXW131144:RXW131146 SHS131144:SHS131146 SRO131144:SRO131146 TBK131144:TBK131146 TLG131144:TLG131146 TVC131144:TVC131146 UEY131144:UEY131146 UOU131144:UOU131146 UYQ131144:UYQ131146 VIM131144:VIM131146 VSI131144:VSI131146 WCE131144:WCE131146 WMA131144:WMA131146 WVW131144:WVW131146 O196680:O196682 JK196680:JK196682 TG196680:TG196682 ADC196680:ADC196682 AMY196680:AMY196682 AWU196680:AWU196682 BGQ196680:BGQ196682 BQM196680:BQM196682 CAI196680:CAI196682 CKE196680:CKE196682 CUA196680:CUA196682 DDW196680:DDW196682 DNS196680:DNS196682 DXO196680:DXO196682 EHK196680:EHK196682 ERG196680:ERG196682 FBC196680:FBC196682 FKY196680:FKY196682 FUU196680:FUU196682 GEQ196680:GEQ196682 GOM196680:GOM196682 GYI196680:GYI196682 HIE196680:HIE196682 HSA196680:HSA196682 IBW196680:IBW196682 ILS196680:ILS196682 IVO196680:IVO196682 JFK196680:JFK196682 JPG196680:JPG196682 JZC196680:JZC196682 KIY196680:KIY196682 KSU196680:KSU196682 LCQ196680:LCQ196682 LMM196680:LMM196682 LWI196680:LWI196682 MGE196680:MGE196682 MQA196680:MQA196682 MZW196680:MZW196682 NJS196680:NJS196682 NTO196680:NTO196682 ODK196680:ODK196682 ONG196680:ONG196682 OXC196680:OXC196682 PGY196680:PGY196682 PQU196680:PQU196682 QAQ196680:QAQ196682 QKM196680:QKM196682 QUI196680:QUI196682 REE196680:REE196682 ROA196680:ROA196682 RXW196680:RXW196682 SHS196680:SHS196682 SRO196680:SRO196682 TBK196680:TBK196682 TLG196680:TLG196682 TVC196680:TVC196682 UEY196680:UEY196682 UOU196680:UOU196682 UYQ196680:UYQ196682 VIM196680:VIM196682 VSI196680:VSI196682 WCE196680:WCE196682 WMA196680:WMA196682 WVW196680:WVW196682 O262216:O262218 JK262216:JK262218 TG262216:TG262218 ADC262216:ADC262218 AMY262216:AMY262218 AWU262216:AWU262218 BGQ262216:BGQ262218 BQM262216:BQM262218 CAI262216:CAI262218 CKE262216:CKE262218 CUA262216:CUA262218 DDW262216:DDW262218 DNS262216:DNS262218 DXO262216:DXO262218 EHK262216:EHK262218 ERG262216:ERG262218 FBC262216:FBC262218 FKY262216:FKY262218 FUU262216:FUU262218 GEQ262216:GEQ262218 GOM262216:GOM262218 GYI262216:GYI262218 HIE262216:HIE262218 HSA262216:HSA262218 IBW262216:IBW262218 ILS262216:ILS262218 IVO262216:IVO262218 JFK262216:JFK262218 JPG262216:JPG262218 JZC262216:JZC262218 KIY262216:KIY262218 KSU262216:KSU262218 LCQ262216:LCQ262218 LMM262216:LMM262218 LWI262216:LWI262218 MGE262216:MGE262218 MQA262216:MQA262218 MZW262216:MZW262218 NJS262216:NJS262218 NTO262216:NTO262218 ODK262216:ODK262218 ONG262216:ONG262218 OXC262216:OXC262218 PGY262216:PGY262218 PQU262216:PQU262218 QAQ262216:QAQ262218 QKM262216:QKM262218 QUI262216:QUI262218 REE262216:REE262218 ROA262216:ROA262218 RXW262216:RXW262218 SHS262216:SHS262218 SRO262216:SRO262218 TBK262216:TBK262218 TLG262216:TLG262218 TVC262216:TVC262218 UEY262216:UEY262218 UOU262216:UOU262218 UYQ262216:UYQ262218 VIM262216:VIM262218 VSI262216:VSI262218 WCE262216:WCE262218 WMA262216:WMA262218 WVW262216:WVW262218 O327752:O327754 JK327752:JK327754 TG327752:TG327754 ADC327752:ADC327754 AMY327752:AMY327754 AWU327752:AWU327754 BGQ327752:BGQ327754 BQM327752:BQM327754 CAI327752:CAI327754 CKE327752:CKE327754 CUA327752:CUA327754 DDW327752:DDW327754 DNS327752:DNS327754 DXO327752:DXO327754 EHK327752:EHK327754 ERG327752:ERG327754 FBC327752:FBC327754 FKY327752:FKY327754 FUU327752:FUU327754 GEQ327752:GEQ327754 GOM327752:GOM327754 GYI327752:GYI327754 HIE327752:HIE327754 HSA327752:HSA327754 IBW327752:IBW327754 ILS327752:ILS327754 IVO327752:IVO327754 JFK327752:JFK327754 JPG327752:JPG327754 JZC327752:JZC327754 KIY327752:KIY327754 KSU327752:KSU327754 LCQ327752:LCQ327754 LMM327752:LMM327754 LWI327752:LWI327754 MGE327752:MGE327754 MQA327752:MQA327754 MZW327752:MZW327754 NJS327752:NJS327754 NTO327752:NTO327754 ODK327752:ODK327754 ONG327752:ONG327754 OXC327752:OXC327754 PGY327752:PGY327754 PQU327752:PQU327754 QAQ327752:QAQ327754 QKM327752:QKM327754 QUI327752:QUI327754 REE327752:REE327754 ROA327752:ROA327754 RXW327752:RXW327754 SHS327752:SHS327754 SRO327752:SRO327754 TBK327752:TBK327754 TLG327752:TLG327754 TVC327752:TVC327754 UEY327752:UEY327754 UOU327752:UOU327754 UYQ327752:UYQ327754 VIM327752:VIM327754 VSI327752:VSI327754 WCE327752:WCE327754 WMA327752:WMA327754 WVW327752:WVW327754 O393288:O393290 JK393288:JK393290 TG393288:TG393290 ADC393288:ADC393290 AMY393288:AMY393290 AWU393288:AWU393290 BGQ393288:BGQ393290 BQM393288:BQM393290 CAI393288:CAI393290 CKE393288:CKE393290 CUA393288:CUA393290 DDW393288:DDW393290 DNS393288:DNS393290 DXO393288:DXO393290 EHK393288:EHK393290 ERG393288:ERG393290 FBC393288:FBC393290 FKY393288:FKY393290 FUU393288:FUU393290 GEQ393288:GEQ393290 GOM393288:GOM393290 GYI393288:GYI393290 HIE393288:HIE393290 HSA393288:HSA393290 IBW393288:IBW393290 ILS393288:ILS393290 IVO393288:IVO393290 JFK393288:JFK393290 JPG393288:JPG393290 JZC393288:JZC393290 KIY393288:KIY393290 KSU393288:KSU393290 LCQ393288:LCQ393290 LMM393288:LMM393290 LWI393288:LWI393290 MGE393288:MGE393290 MQA393288:MQA393290 MZW393288:MZW393290 NJS393288:NJS393290 NTO393288:NTO393290 ODK393288:ODK393290 ONG393288:ONG393290 OXC393288:OXC393290 PGY393288:PGY393290 PQU393288:PQU393290 QAQ393288:QAQ393290 QKM393288:QKM393290 QUI393288:QUI393290 REE393288:REE393290 ROA393288:ROA393290 RXW393288:RXW393290 SHS393288:SHS393290 SRO393288:SRO393290 TBK393288:TBK393290 TLG393288:TLG393290 TVC393288:TVC393290 UEY393288:UEY393290 UOU393288:UOU393290 UYQ393288:UYQ393290 VIM393288:VIM393290 VSI393288:VSI393290 WCE393288:WCE393290 WMA393288:WMA393290 WVW393288:WVW393290 O458824:O458826 JK458824:JK458826 TG458824:TG458826 ADC458824:ADC458826 AMY458824:AMY458826 AWU458824:AWU458826 BGQ458824:BGQ458826 BQM458824:BQM458826 CAI458824:CAI458826 CKE458824:CKE458826 CUA458824:CUA458826 DDW458824:DDW458826 DNS458824:DNS458826 DXO458824:DXO458826 EHK458824:EHK458826 ERG458824:ERG458826 FBC458824:FBC458826 FKY458824:FKY458826 FUU458824:FUU458826 GEQ458824:GEQ458826 GOM458824:GOM458826 GYI458824:GYI458826 HIE458824:HIE458826 HSA458824:HSA458826 IBW458824:IBW458826 ILS458824:ILS458826 IVO458824:IVO458826 JFK458824:JFK458826 JPG458824:JPG458826 JZC458824:JZC458826 KIY458824:KIY458826 KSU458824:KSU458826 LCQ458824:LCQ458826 LMM458824:LMM458826 LWI458824:LWI458826 MGE458824:MGE458826 MQA458824:MQA458826 MZW458824:MZW458826 NJS458824:NJS458826 NTO458824:NTO458826 ODK458824:ODK458826 ONG458824:ONG458826 OXC458824:OXC458826 PGY458824:PGY458826 PQU458824:PQU458826 QAQ458824:QAQ458826 QKM458824:QKM458826 QUI458824:QUI458826 REE458824:REE458826 ROA458824:ROA458826 RXW458824:RXW458826 SHS458824:SHS458826 SRO458824:SRO458826 TBK458824:TBK458826 TLG458824:TLG458826 TVC458824:TVC458826 UEY458824:UEY458826 UOU458824:UOU458826 UYQ458824:UYQ458826 VIM458824:VIM458826 VSI458824:VSI458826 WCE458824:WCE458826 WMA458824:WMA458826 WVW458824:WVW458826 O524360:O524362 JK524360:JK524362 TG524360:TG524362 ADC524360:ADC524362 AMY524360:AMY524362 AWU524360:AWU524362 BGQ524360:BGQ524362 BQM524360:BQM524362 CAI524360:CAI524362 CKE524360:CKE524362 CUA524360:CUA524362 DDW524360:DDW524362 DNS524360:DNS524362 DXO524360:DXO524362 EHK524360:EHK524362 ERG524360:ERG524362 FBC524360:FBC524362 FKY524360:FKY524362 FUU524360:FUU524362 GEQ524360:GEQ524362 GOM524360:GOM524362 GYI524360:GYI524362 HIE524360:HIE524362 HSA524360:HSA524362 IBW524360:IBW524362 ILS524360:ILS524362 IVO524360:IVO524362 JFK524360:JFK524362 JPG524360:JPG524362 JZC524360:JZC524362 KIY524360:KIY524362 KSU524360:KSU524362 LCQ524360:LCQ524362 LMM524360:LMM524362 LWI524360:LWI524362 MGE524360:MGE524362 MQA524360:MQA524362 MZW524360:MZW524362 NJS524360:NJS524362 NTO524360:NTO524362 ODK524360:ODK524362 ONG524360:ONG524362 OXC524360:OXC524362 PGY524360:PGY524362 PQU524360:PQU524362 QAQ524360:QAQ524362 QKM524360:QKM524362 QUI524360:QUI524362 REE524360:REE524362 ROA524360:ROA524362 RXW524360:RXW524362 SHS524360:SHS524362 SRO524360:SRO524362 TBK524360:TBK524362 TLG524360:TLG524362 TVC524360:TVC524362 UEY524360:UEY524362 UOU524360:UOU524362 UYQ524360:UYQ524362 VIM524360:VIM524362 VSI524360:VSI524362 WCE524360:WCE524362 WMA524360:WMA524362 WVW524360:WVW524362 O589896:O589898 JK589896:JK589898 TG589896:TG589898 ADC589896:ADC589898 AMY589896:AMY589898 AWU589896:AWU589898 BGQ589896:BGQ589898 BQM589896:BQM589898 CAI589896:CAI589898 CKE589896:CKE589898 CUA589896:CUA589898 DDW589896:DDW589898 DNS589896:DNS589898 DXO589896:DXO589898 EHK589896:EHK589898 ERG589896:ERG589898 FBC589896:FBC589898 FKY589896:FKY589898 FUU589896:FUU589898 GEQ589896:GEQ589898 GOM589896:GOM589898 GYI589896:GYI589898 HIE589896:HIE589898 HSA589896:HSA589898 IBW589896:IBW589898 ILS589896:ILS589898 IVO589896:IVO589898 JFK589896:JFK589898 JPG589896:JPG589898 JZC589896:JZC589898 KIY589896:KIY589898 KSU589896:KSU589898 LCQ589896:LCQ589898 LMM589896:LMM589898 LWI589896:LWI589898 MGE589896:MGE589898 MQA589896:MQA589898 MZW589896:MZW589898 NJS589896:NJS589898 NTO589896:NTO589898 ODK589896:ODK589898 ONG589896:ONG589898 OXC589896:OXC589898 PGY589896:PGY589898 PQU589896:PQU589898 QAQ589896:QAQ589898 QKM589896:QKM589898 QUI589896:QUI589898 REE589896:REE589898 ROA589896:ROA589898 RXW589896:RXW589898 SHS589896:SHS589898 SRO589896:SRO589898 TBK589896:TBK589898 TLG589896:TLG589898 TVC589896:TVC589898 UEY589896:UEY589898 UOU589896:UOU589898 UYQ589896:UYQ589898 VIM589896:VIM589898 VSI589896:VSI589898 WCE589896:WCE589898 WMA589896:WMA589898 WVW589896:WVW589898 O655432:O655434 JK655432:JK655434 TG655432:TG655434 ADC655432:ADC655434 AMY655432:AMY655434 AWU655432:AWU655434 BGQ655432:BGQ655434 BQM655432:BQM655434 CAI655432:CAI655434 CKE655432:CKE655434 CUA655432:CUA655434 DDW655432:DDW655434 DNS655432:DNS655434 DXO655432:DXO655434 EHK655432:EHK655434 ERG655432:ERG655434 FBC655432:FBC655434 FKY655432:FKY655434 FUU655432:FUU655434 GEQ655432:GEQ655434 GOM655432:GOM655434 GYI655432:GYI655434 HIE655432:HIE655434 HSA655432:HSA655434 IBW655432:IBW655434 ILS655432:ILS655434 IVO655432:IVO655434 JFK655432:JFK655434 JPG655432:JPG655434 JZC655432:JZC655434 KIY655432:KIY655434 KSU655432:KSU655434 LCQ655432:LCQ655434 LMM655432:LMM655434 LWI655432:LWI655434 MGE655432:MGE655434 MQA655432:MQA655434 MZW655432:MZW655434 NJS655432:NJS655434 NTO655432:NTO655434 ODK655432:ODK655434 ONG655432:ONG655434 OXC655432:OXC655434 PGY655432:PGY655434 PQU655432:PQU655434 QAQ655432:QAQ655434 QKM655432:QKM655434 QUI655432:QUI655434 REE655432:REE655434 ROA655432:ROA655434 RXW655432:RXW655434 SHS655432:SHS655434 SRO655432:SRO655434 TBK655432:TBK655434 TLG655432:TLG655434 TVC655432:TVC655434 UEY655432:UEY655434 UOU655432:UOU655434 UYQ655432:UYQ655434 VIM655432:VIM655434 VSI655432:VSI655434 WCE655432:WCE655434 WMA655432:WMA655434 WVW655432:WVW655434 O720968:O720970 JK720968:JK720970 TG720968:TG720970 ADC720968:ADC720970 AMY720968:AMY720970 AWU720968:AWU720970 BGQ720968:BGQ720970 BQM720968:BQM720970 CAI720968:CAI720970 CKE720968:CKE720970 CUA720968:CUA720970 DDW720968:DDW720970 DNS720968:DNS720970 DXO720968:DXO720970 EHK720968:EHK720970 ERG720968:ERG720970 FBC720968:FBC720970 FKY720968:FKY720970 FUU720968:FUU720970 GEQ720968:GEQ720970 GOM720968:GOM720970 GYI720968:GYI720970 HIE720968:HIE720970 HSA720968:HSA720970 IBW720968:IBW720970 ILS720968:ILS720970 IVO720968:IVO720970 JFK720968:JFK720970 JPG720968:JPG720970 JZC720968:JZC720970 KIY720968:KIY720970 KSU720968:KSU720970 LCQ720968:LCQ720970 LMM720968:LMM720970 LWI720968:LWI720970 MGE720968:MGE720970 MQA720968:MQA720970 MZW720968:MZW720970 NJS720968:NJS720970 NTO720968:NTO720970 ODK720968:ODK720970 ONG720968:ONG720970 OXC720968:OXC720970 PGY720968:PGY720970 PQU720968:PQU720970 QAQ720968:QAQ720970 QKM720968:QKM720970 QUI720968:QUI720970 REE720968:REE720970 ROA720968:ROA720970 RXW720968:RXW720970 SHS720968:SHS720970 SRO720968:SRO720970 TBK720968:TBK720970 TLG720968:TLG720970 TVC720968:TVC720970 UEY720968:UEY720970 UOU720968:UOU720970 UYQ720968:UYQ720970 VIM720968:VIM720970 VSI720968:VSI720970 WCE720968:WCE720970 WMA720968:WMA720970 WVW720968:WVW720970 O786504:O786506 JK786504:JK786506 TG786504:TG786506 ADC786504:ADC786506 AMY786504:AMY786506 AWU786504:AWU786506 BGQ786504:BGQ786506 BQM786504:BQM786506 CAI786504:CAI786506 CKE786504:CKE786506 CUA786504:CUA786506 DDW786504:DDW786506 DNS786504:DNS786506 DXO786504:DXO786506 EHK786504:EHK786506 ERG786504:ERG786506 FBC786504:FBC786506 FKY786504:FKY786506 FUU786504:FUU786506 GEQ786504:GEQ786506 GOM786504:GOM786506 GYI786504:GYI786506 HIE786504:HIE786506 HSA786504:HSA786506 IBW786504:IBW786506 ILS786504:ILS786506 IVO786504:IVO786506 JFK786504:JFK786506 JPG786504:JPG786506 JZC786504:JZC786506 KIY786504:KIY786506 KSU786504:KSU786506 LCQ786504:LCQ786506 LMM786504:LMM786506 LWI786504:LWI786506 MGE786504:MGE786506 MQA786504:MQA786506 MZW786504:MZW786506 NJS786504:NJS786506 NTO786504:NTO786506 ODK786504:ODK786506 ONG786504:ONG786506 OXC786504:OXC786506 PGY786504:PGY786506 PQU786504:PQU786506 QAQ786504:QAQ786506 QKM786504:QKM786506 QUI786504:QUI786506 REE786504:REE786506 ROA786504:ROA786506 RXW786504:RXW786506 SHS786504:SHS786506 SRO786504:SRO786506 TBK786504:TBK786506 TLG786504:TLG786506 TVC786504:TVC786506 UEY786504:UEY786506 UOU786504:UOU786506 UYQ786504:UYQ786506 VIM786504:VIM786506 VSI786504:VSI786506 WCE786504:WCE786506 WMA786504:WMA786506 WVW786504:WVW786506 O852040:O852042 JK852040:JK852042 TG852040:TG852042 ADC852040:ADC852042 AMY852040:AMY852042 AWU852040:AWU852042 BGQ852040:BGQ852042 BQM852040:BQM852042 CAI852040:CAI852042 CKE852040:CKE852042 CUA852040:CUA852042 DDW852040:DDW852042 DNS852040:DNS852042 DXO852040:DXO852042 EHK852040:EHK852042 ERG852040:ERG852042 FBC852040:FBC852042 FKY852040:FKY852042 FUU852040:FUU852042 GEQ852040:GEQ852042 GOM852040:GOM852042 GYI852040:GYI852042 HIE852040:HIE852042 HSA852040:HSA852042 IBW852040:IBW852042 ILS852040:ILS852042 IVO852040:IVO852042 JFK852040:JFK852042 JPG852040:JPG852042 JZC852040:JZC852042 KIY852040:KIY852042 KSU852040:KSU852042 LCQ852040:LCQ852042 LMM852040:LMM852042 LWI852040:LWI852042 MGE852040:MGE852042 MQA852040:MQA852042 MZW852040:MZW852042 NJS852040:NJS852042 NTO852040:NTO852042 ODK852040:ODK852042 ONG852040:ONG852042 OXC852040:OXC852042 PGY852040:PGY852042 PQU852040:PQU852042 QAQ852040:QAQ852042 QKM852040:QKM852042 QUI852040:QUI852042 REE852040:REE852042 ROA852040:ROA852042 RXW852040:RXW852042 SHS852040:SHS852042 SRO852040:SRO852042 TBK852040:TBK852042 TLG852040:TLG852042 TVC852040:TVC852042 UEY852040:UEY852042 UOU852040:UOU852042 UYQ852040:UYQ852042 VIM852040:VIM852042 VSI852040:VSI852042 WCE852040:WCE852042 WMA852040:WMA852042 WVW852040:WVW852042 O917576:O917578 JK917576:JK917578 TG917576:TG917578 ADC917576:ADC917578 AMY917576:AMY917578 AWU917576:AWU917578 BGQ917576:BGQ917578 BQM917576:BQM917578 CAI917576:CAI917578 CKE917576:CKE917578 CUA917576:CUA917578 DDW917576:DDW917578 DNS917576:DNS917578 DXO917576:DXO917578 EHK917576:EHK917578 ERG917576:ERG917578 FBC917576:FBC917578 FKY917576:FKY917578 FUU917576:FUU917578 GEQ917576:GEQ917578 GOM917576:GOM917578 GYI917576:GYI917578 HIE917576:HIE917578 HSA917576:HSA917578 IBW917576:IBW917578 ILS917576:ILS917578 IVO917576:IVO917578 JFK917576:JFK917578 JPG917576:JPG917578 JZC917576:JZC917578 KIY917576:KIY917578 KSU917576:KSU917578 LCQ917576:LCQ917578 LMM917576:LMM917578 LWI917576:LWI917578 MGE917576:MGE917578 MQA917576:MQA917578 MZW917576:MZW917578 NJS917576:NJS917578 NTO917576:NTO917578 ODK917576:ODK917578 ONG917576:ONG917578 OXC917576:OXC917578 PGY917576:PGY917578 PQU917576:PQU917578 QAQ917576:QAQ917578 QKM917576:QKM917578 QUI917576:QUI917578 REE917576:REE917578 ROA917576:ROA917578 RXW917576:RXW917578 SHS917576:SHS917578 SRO917576:SRO917578 TBK917576:TBK917578 TLG917576:TLG917578 TVC917576:TVC917578 UEY917576:UEY917578 UOU917576:UOU917578 UYQ917576:UYQ917578 VIM917576:VIM917578 VSI917576:VSI917578 WCE917576:WCE917578 WMA917576:WMA917578 WVW917576:WVW917578 O983112:O983114 JK983112:JK983114 TG983112:TG983114 ADC983112:ADC983114 AMY983112:AMY983114 AWU983112:AWU983114 BGQ983112:BGQ983114 BQM983112:BQM983114 CAI983112:CAI983114 CKE983112:CKE983114 CUA983112:CUA983114 DDW983112:DDW983114 DNS983112:DNS983114 DXO983112:DXO983114 EHK983112:EHK983114 ERG983112:ERG983114 FBC983112:FBC983114 FKY983112:FKY983114 FUU983112:FUU983114 GEQ983112:GEQ983114 GOM983112:GOM983114 GYI983112:GYI983114 HIE983112:HIE983114 HSA983112:HSA983114 IBW983112:IBW983114 ILS983112:ILS983114 IVO983112:IVO983114 JFK983112:JFK983114 JPG983112:JPG983114 JZC983112:JZC983114 KIY983112:KIY983114 KSU983112:KSU983114 LCQ983112:LCQ983114 LMM983112:LMM983114 LWI983112:LWI983114 MGE983112:MGE983114 MQA983112:MQA983114 MZW983112:MZW983114 NJS983112:NJS983114 NTO983112:NTO983114 ODK983112:ODK983114 ONG983112:ONG983114 OXC983112:OXC983114 PGY983112:PGY983114 PQU983112:PQU983114 QAQ983112:QAQ983114 QKM983112:QKM983114 QUI983112:QUI983114 REE983112:REE983114 ROA983112:ROA983114 RXW983112:RXW983114 SHS983112:SHS983114 SRO983112:SRO983114 TBK983112:TBK983114 TLG983112:TLG983114 TVC983112:TVC983114 UEY983112:UEY983114 UOU983112:UOU983114 UYQ983112:UYQ983114 VIM983112:VIM983114 VSI983112:VSI983114 WCE983112:WCE983114 WMA983112:WMA983114 WVW983112:WVW983114 N46:O50 JJ46:JK50 TF46:TG50 ADB46:ADC50 AMX46:AMY50 AWT46:AWU50 BGP46:BGQ50 BQL46:BQM50 CAH46:CAI50 CKD46:CKE50 CTZ46:CUA50 DDV46:DDW50 DNR46:DNS50 DXN46:DXO50 EHJ46:EHK50 ERF46:ERG50 FBB46:FBC50 FKX46:FKY50 FUT46:FUU50 GEP46:GEQ50 GOL46:GOM50 GYH46:GYI50 HID46:HIE50 HRZ46:HSA50 IBV46:IBW50 ILR46:ILS50 IVN46:IVO50 JFJ46:JFK50 JPF46:JPG50 JZB46:JZC50 KIX46:KIY50 KST46:KSU50 LCP46:LCQ50 LML46:LMM50 LWH46:LWI50 MGD46:MGE50 MPZ46:MQA50 MZV46:MZW50 NJR46:NJS50 NTN46:NTO50 ODJ46:ODK50 ONF46:ONG50 OXB46:OXC50 PGX46:PGY50 PQT46:PQU50 QAP46:QAQ50 QKL46:QKM50 QUH46:QUI50 RED46:REE50 RNZ46:ROA50 RXV46:RXW50 SHR46:SHS50 SRN46:SRO50 TBJ46:TBK50 TLF46:TLG50 TVB46:TVC50 UEX46:UEY50 UOT46:UOU50 UYP46:UYQ50 VIL46:VIM50 VSH46:VSI50 WCD46:WCE50 WLZ46:WMA50 WVV46:WVW50 N65582:O65586 JJ65582:JK65586 TF65582:TG65586 ADB65582:ADC65586 AMX65582:AMY65586 AWT65582:AWU65586 BGP65582:BGQ65586 BQL65582:BQM65586 CAH65582:CAI65586 CKD65582:CKE65586 CTZ65582:CUA65586 DDV65582:DDW65586 DNR65582:DNS65586 DXN65582:DXO65586 EHJ65582:EHK65586 ERF65582:ERG65586 FBB65582:FBC65586 FKX65582:FKY65586 FUT65582:FUU65586 GEP65582:GEQ65586 GOL65582:GOM65586 GYH65582:GYI65586 HID65582:HIE65586 HRZ65582:HSA65586 IBV65582:IBW65586 ILR65582:ILS65586 IVN65582:IVO65586 JFJ65582:JFK65586 JPF65582:JPG65586 JZB65582:JZC65586 KIX65582:KIY65586 KST65582:KSU65586 LCP65582:LCQ65586 LML65582:LMM65586 LWH65582:LWI65586 MGD65582:MGE65586 MPZ65582:MQA65586 MZV65582:MZW65586 NJR65582:NJS65586 NTN65582:NTO65586 ODJ65582:ODK65586 ONF65582:ONG65586 OXB65582:OXC65586 PGX65582:PGY65586 PQT65582:PQU65586 QAP65582:QAQ65586 QKL65582:QKM65586 QUH65582:QUI65586 RED65582:REE65586 RNZ65582:ROA65586 RXV65582:RXW65586 SHR65582:SHS65586 SRN65582:SRO65586 TBJ65582:TBK65586 TLF65582:TLG65586 TVB65582:TVC65586 UEX65582:UEY65586 UOT65582:UOU65586 UYP65582:UYQ65586 VIL65582:VIM65586 VSH65582:VSI65586 WCD65582:WCE65586 WLZ65582:WMA65586 WVV65582:WVW65586 N131118:O131122 JJ131118:JK131122 TF131118:TG131122 ADB131118:ADC131122 AMX131118:AMY131122 AWT131118:AWU131122 BGP131118:BGQ131122 BQL131118:BQM131122 CAH131118:CAI131122 CKD131118:CKE131122 CTZ131118:CUA131122 DDV131118:DDW131122 DNR131118:DNS131122 DXN131118:DXO131122 EHJ131118:EHK131122 ERF131118:ERG131122 FBB131118:FBC131122 FKX131118:FKY131122 FUT131118:FUU131122 GEP131118:GEQ131122 GOL131118:GOM131122 GYH131118:GYI131122 HID131118:HIE131122 HRZ131118:HSA131122 IBV131118:IBW131122 ILR131118:ILS131122 IVN131118:IVO131122 JFJ131118:JFK131122 JPF131118:JPG131122 JZB131118:JZC131122 KIX131118:KIY131122 KST131118:KSU131122 LCP131118:LCQ131122 LML131118:LMM131122 LWH131118:LWI131122 MGD131118:MGE131122 MPZ131118:MQA131122 MZV131118:MZW131122 NJR131118:NJS131122 NTN131118:NTO131122 ODJ131118:ODK131122 ONF131118:ONG131122 OXB131118:OXC131122 PGX131118:PGY131122 PQT131118:PQU131122 QAP131118:QAQ131122 QKL131118:QKM131122 QUH131118:QUI131122 RED131118:REE131122 RNZ131118:ROA131122 RXV131118:RXW131122 SHR131118:SHS131122 SRN131118:SRO131122 TBJ131118:TBK131122 TLF131118:TLG131122 TVB131118:TVC131122 UEX131118:UEY131122 UOT131118:UOU131122 UYP131118:UYQ131122 VIL131118:VIM131122 VSH131118:VSI131122 WCD131118:WCE131122 WLZ131118:WMA131122 WVV131118:WVW131122 N196654:O196658 JJ196654:JK196658 TF196654:TG196658 ADB196654:ADC196658 AMX196654:AMY196658 AWT196654:AWU196658 BGP196654:BGQ196658 BQL196654:BQM196658 CAH196654:CAI196658 CKD196654:CKE196658 CTZ196654:CUA196658 DDV196654:DDW196658 DNR196654:DNS196658 DXN196654:DXO196658 EHJ196654:EHK196658 ERF196654:ERG196658 FBB196654:FBC196658 FKX196654:FKY196658 FUT196654:FUU196658 GEP196654:GEQ196658 GOL196654:GOM196658 GYH196654:GYI196658 HID196654:HIE196658 HRZ196654:HSA196658 IBV196654:IBW196658 ILR196654:ILS196658 IVN196654:IVO196658 JFJ196654:JFK196658 JPF196654:JPG196658 JZB196654:JZC196658 KIX196654:KIY196658 KST196654:KSU196658 LCP196654:LCQ196658 LML196654:LMM196658 LWH196654:LWI196658 MGD196654:MGE196658 MPZ196654:MQA196658 MZV196654:MZW196658 NJR196654:NJS196658 NTN196654:NTO196658 ODJ196654:ODK196658 ONF196654:ONG196658 OXB196654:OXC196658 PGX196654:PGY196658 PQT196654:PQU196658 QAP196654:QAQ196658 QKL196654:QKM196658 QUH196654:QUI196658 RED196654:REE196658 RNZ196654:ROA196658 RXV196654:RXW196658 SHR196654:SHS196658 SRN196654:SRO196658 TBJ196654:TBK196658 TLF196654:TLG196658 TVB196654:TVC196658 UEX196654:UEY196658 UOT196654:UOU196658 UYP196654:UYQ196658 VIL196654:VIM196658 VSH196654:VSI196658 WCD196654:WCE196658 WLZ196654:WMA196658 WVV196654:WVW196658 N262190:O262194 JJ262190:JK262194 TF262190:TG262194 ADB262190:ADC262194 AMX262190:AMY262194 AWT262190:AWU262194 BGP262190:BGQ262194 BQL262190:BQM262194 CAH262190:CAI262194 CKD262190:CKE262194 CTZ262190:CUA262194 DDV262190:DDW262194 DNR262190:DNS262194 DXN262190:DXO262194 EHJ262190:EHK262194 ERF262190:ERG262194 FBB262190:FBC262194 FKX262190:FKY262194 FUT262190:FUU262194 GEP262190:GEQ262194 GOL262190:GOM262194 GYH262190:GYI262194 HID262190:HIE262194 HRZ262190:HSA262194 IBV262190:IBW262194 ILR262190:ILS262194 IVN262190:IVO262194 JFJ262190:JFK262194 JPF262190:JPG262194 JZB262190:JZC262194 KIX262190:KIY262194 KST262190:KSU262194 LCP262190:LCQ262194 LML262190:LMM262194 LWH262190:LWI262194 MGD262190:MGE262194 MPZ262190:MQA262194 MZV262190:MZW262194 NJR262190:NJS262194 NTN262190:NTO262194 ODJ262190:ODK262194 ONF262190:ONG262194 OXB262190:OXC262194 PGX262190:PGY262194 PQT262190:PQU262194 QAP262190:QAQ262194 QKL262190:QKM262194 QUH262190:QUI262194 RED262190:REE262194 RNZ262190:ROA262194 RXV262190:RXW262194 SHR262190:SHS262194 SRN262190:SRO262194 TBJ262190:TBK262194 TLF262190:TLG262194 TVB262190:TVC262194 UEX262190:UEY262194 UOT262190:UOU262194 UYP262190:UYQ262194 VIL262190:VIM262194 VSH262190:VSI262194 WCD262190:WCE262194 WLZ262190:WMA262194 WVV262190:WVW262194 N327726:O327730 JJ327726:JK327730 TF327726:TG327730 ADB327726:ADC327730 AMX327726:AMY327730 AWT327726:AWU327730 BGP327726:BGQ327730 BQL327726:BQM327730 CAH327726:CAI327730 CKD327726:CKE327730 CTZ327726:CUA327730 DDV327726:DDW327730 DNR327726:DNS327730 DXN327726:DXO327730 EHJ327726:EHK327730 ERF327726:ERG327730 FBB327726:FBC327730 FKX327726:FKY327730 FUT327726:FUU327730 GEP327726:GEQ327730 GOL327726:GOM327730 GYH327726:GYI327730 HID327726:HIE327730 HRZ327726:HSA327730 IBV327726:IBW327730 ILR327726:ILS327730 IVN327726:IVO327730 JFJ327726:JFK327730 JPF327726:JPG327730 JZB327726:JZC327730 KIX327726:KIY327730 KST327726:KSU327730 LCP327726:LCQ327730 LML327726:LMM327730 LWH327726:LWI327730 MGD327726:MGE327730 MPZ327726:MQA327730 MZV327726:MZW327730 NJR327726:NJS327730 NTN327726:NTO327730 ODJ327726:ODK327730 ONF327726:ONG327730 OXB327726:OXC327730 PGX327726:PGY327730 PQT327726:PQU327730 QAP327726:QAQ327730 QKL327726:QKM327730 QUH327726:QUI327730 RED327726:REE327730 RNZ327726:ROA327730 RXV327726:RXW327730 SHR327726:SHS327730 SRN327726:SRO327730 TBJ327726:TBK327730 TLF327726:TLG327730 TVB327726:TVC327730 UEX327726:UEY327730 UOT327726:UOU327730 UYP327726:UYQ327730 VIL327726:VIM327730 VSH327726:VSI327730 WCD327726:WCE327730 WLZ327726:WMA327730 WVV327726:WVW327730 N393262:O393266 JJ393262:JK393266 TF393262:TG393266 ADB393262:ADC393266 AMX393262:AMY393266 AWT393262:AWU393266 BGP393262:BGQ393266 BQL393262:BQM393266 CAH393262:CAI393266 CKD393262:CKE393266 CTZ393262:CUA393266 DDV393262:DDW393266 DNR393262:DNS393266 DXN393262:DXO393266 EHJ393262:EHK393266 ERF393262:ERG393266 FBB393262:FBC393266 FKX393262:FKY393266 FUT393262:FUU393266 GEP393262:GEQ393266 GOL393262:GOM393266 GYH393262:GYI393266 HID393262:HIE393266 HRZ393262:HSA393266 IBV393262:IBW393266 ILR393262:ILS393266 IVN393262:IVO393266 JFJ393262:JFK393266 JPF393262:JPG393266 JZB393262:JZC393266 KIX393262:KIY393266 KST393262:KSU393266 LCP393262:LCQ393266 LML393262:LMM393266 LWH393262:LWI393266 MGD393262:MGE393266 MPZ393262:MQA393266 MZV393262:MZW393266 NJR393262:NJS393266 NTN393262:NTO393266 ODJ393262:ODK393266 ONF393262:ONG393266 OXB393262:OXC393266 PGX393262:PGY393266 PQT393262:PQU393266 QAP393262:QAQ393266 QKL393262:QKM393266 QUH393262:QUI393266 RED393262:REE393266 RNZ393262:ROA393266 RXV393262:RXW393266 SHR393262:SHS393266 SRN393262:SRO393266 TBJ393262:TBK393266 TLF393262:TLG393266 TVB393262:TVC393266 UEX393262:UEY393266 UOT393262:UOU393266 UYP393262:UYQ393266 VIL393262:VIM393266 VSH393262:VSI393266 WCD393262:WCE393266 WLZ393262:WMA393266 WVV393262:WVW393266 N458798:O458802 JJ458798:JK458802 TF458798:TG458802 ADB458798:ADC458802 AMX458798:AMY458802 AWT458798:AWU458802 BGP458798:BGQ458802 BQL458798:BQM458802 CAH458798:CAI458802 CKD458798:CKE458802 CTZ458798:CUA458802 DDV458798:DDW458802 DNR458798:DNS458802 DXN458798:DXO458802 EHJ458798:EHK458802 ERF458798:ERG458802 FBB458798:FBC458802 FKX458798:FKY458802 FUT458798:FUU458802 GEP458798:GEQ458802 GOL458798:GOM458802 GYH458798:GYI458802 HID458798:HIE458802 HRZ458798:HSA458802 IBV458798:IBW458802 ILR458798:ILS458802 IVN458798:IVO458802 JFJ458798:JFK458802 JPF458798:JPG458802 JZB458798:JZC458802 KIX458798:KIY458802 KST458798:KSU458802 LCP458798:LCQ458802 LML458798:LMM458802 LWH458798:LWI458802 MGD458798:MGE458802 MPZ458798:MQA458802 MZV458798:MZW458802 NJR458798:NJS458802 NTN458798:NTO458802 ODJ458798:ODK458802 ONF458798:ONG458802 OXB458798:OXC458802 PGX458798:PGY458802 PQT458798:PQU458802 QAP458798:QAQ458802 QKL458798:QKM458802 QUH458798:QUI458802 RED458798:REE458802 RNZ458798:ROA458802 RXV458798:RXW458802 SHR458798:SHS458802 SRN458798:SRO458802 TBJ458798:TBK458802 TLF458798:TLG458802 TVB458798:TVC458802 UEX458798:UEY458802 UOT458798:UOU458802 UYP458798:UYQ458802 VIL458798:VIM458802 VSH458798:VSI458802 WCD458798:WCE458802 WLZ458798:WMA458802 WVV458798:WVW458802 N524334:O524338 JJ524334:JK524338 TF524334:TG524338 ADB524334:ADC524338 AMX524334:AMY524338 AWT524334:AWU524338 BGP524334:BGQ524338 BQL524334:BQM524338 CAH524334:CAI524338 CKD524334:CKE524338 CTZ524334:CUA524338 DDV524334:DDW524338 DNR524334:DNS524338 DXN524334:DXO524338 EHJ524334:EHK524338 ERF524334:ERG524338 FBB524334:FBC524338 FKX524334:FKY524338 FUT524334:FUU524338 GEP524334:GEQ524338 GOL524334:GOM524338 GYH524334:GYI524338 HID524334:HIE524338 HRZ524334:HSA524338 IBV524334:IBW524338 ILR524334:ILS524338 IVN524334:IVO524338 JFJ524334:JFK524338 JPF524334:JPG524338 JZB524334:JZC524338 KIX524334:KIY524338 KST524334:KSU524338 LCP524334:LCQ524338 LML524334:LMM524338 LWH524334:LWI524338 MGD524334:MGE524338 MPZ524334:MQA524338 MZV524334:MZW524338 NJR524334:NJS524338 NTN524334:NTO524338 ODJ524334:ODK524338 ONF524334:ONG524338 OXB524334:OXC524338 PGX524334:PGY524338 PQT524334:PQU524338 QAP524334:QAQ524338 QKL524334:QKM524338 QUH524334:QUI524338 RED524334:REE524338 RNZ524334:ROA524338 RXV524334:RXW524338 SHR524334:SHS524338 SRN524334:SRO524338 TBJ524334:TBK524338 TLF524334:TLG524338 TVB524334:TVC524338 UEX524334:UEY524338 UOT524334:UOU524338 UYP524334:UYQ524338 VIL524334:VIM524338 VSH524334:VSI524338 WCD524334:WCE524338 WLZ524334:WMA524338 WVV524334:WVW524338 N589870:O589874 JJ589870:JK589874 TF589870:TG589874 ADB589870:ADC589874 AMX589870:AMY589874 AWT589870:AWU589874 BGP589870:BGQ589874 BQL589870:BQM589874 CAH589870:CAI589874 CKD589870:CKE589874 CTZ589870:CUA589874 DDV589870:DDW589874 DNR589870:DNS589874 DXN589870:DXO589874 EHJ589870:EHK589874 ERF589870:ERG589874 FBB589870:FBC589874 FKX589870:FKY589874 FUT589870:FUU589874 GEP589870:GEQ589874 GOL589870:GOM589874 GYH589870:GYI589874 HID589870:HIE589874 HRZ589870:HSA589874 IBV589870:IBW589874 ILR589870:ILS589874 IVN589870:IVO589874 JFJ589870:JFK589874 JPF589870:JPG589874 JZB589870:JZC589874 KIX589870:KIY589874 KST589870:KSU589874 LCP589870:LCQ589874 LML589870:LMM589874 LWH589870:LWI589874 MGD589870:MGE589874 MPZ589870:MQA589874 MZV589870:MZW589874 NJR589870:NJS589874 NTN589870:NTO589874 ODJ589870:ODK589874 ONF589870:ONG589874 OXB589870:OXC589874 PGX589870:PGY589874 PQT589870:PQU589874 QAP589870:QAQ589874 QKL589870:QKM589874 QUH589870:QUI589874 RED589870:REE589874 RNZ589870:ROA589874 RXV589870:RXW589874 SHR589870:SHS589874 SRN589870:SRO589874 TBJ589870:TBK589874 TLF589870:TLG589874 TVB589870:TVC589874 UEX589870:UEY589874 UOT589870:UOU589874 UYP589870:UYQ589874 VIL589870:VIM589874 VSH589870:VSI589874 WCD589870:WCE589874 WLZ589870:WMA589874 WVV589870:WVW589874 N655406:O655410 JJ655406:JK655410 TF655406:TG655410 ADB655406:ADC655410 AMX655406:AMY655410 AWT655406:AWU655410 BGP655406:BGQ655410 BQL655406:BQM655410 CAH655406:CAI655410 CKD655406:CKE655410 CTZ655406:CUA655410 DDV655406:DDW655410 DNR655406:DNS655410 DXN655406:DXO655410 EHJ655406:EHK655410 ERF655406:ERG655410 FBB655406:FBC655410 FKX655406:FKY655410 FUT655406:FUU655410 GEP655406:GEQ655410 GOL655406:GOM655410 GYH655406:GYI655410 HID655406:HIE655410 HRZ655406:HSA655410 IBV655406:IBW655410 ILR655406:ILS655410 IVN655406:IVO655410 JFJ655406:JFK655410 JPF655406:JPG655410 JZB655406:JZC655410 KIX655406:KIY655410 KST655406:KSU655410 LCP655406:LCQ655410 LML655406:LMM655410 LWH655406:LWI655410 MGD655406:MGE655410 MPZ655406:MQA655410 MZV655406:MZW655410 NJR655406:NJS655410 NTN655406:NTO655410 ODJ655406:ODK655410 ONF655406:ONG655410 OXB655406:OXC655410 PGX655406:PGY655410 PQT655406:PQU655410 QAP655406:QAQ655410 QKL655406:QKM655410 QUH655406:QUI655410 RED655406:REE655410 RNZ655406:ROA655410 RXV655406:RXW655410 SHR655406:SHS655410 SRN655406:SRO655410 TBJ655406:TBK655410 TLF655406:TLG655410 TVB655406:TVC655410 UEX655406:UEY655410 UOT655406:UOU655410 UYP655406:UYQ655410 VIL655406:VIM655410 VSH655406:VSI655410 WCD655406:WCE655410 WLZ655406:WMA655410 WVV655406:WVW655410 N720942:O720946 JJ720942:JK720946 TF720942:TG720946 ADB720942:ADC720946 AMX720942:AMY720946 AWT720942:AWU720946 BGP720942:BGQ720946 BQL720942:BQM720946 CAH720942:CAI720946 CKD720942:CKE720946 CTZ720942:CUA720946 DDV720942:DDW720946 DNR720942:DNS720946 DXN720942:DXO720946 EHJ720942:EHK720946 ERF720942:ERG720946 FBB720942:FBC720946 FKX720942:FKY720946 FUT720942:FUU720946 GEP720942:GEQ720946 GOL720942:GOM720946 GYH720942:GYI720946 HID720942:HIE720946 HRZ720942:HSA720946 IBV720942:IBW720946 ILR720942:ILS720946 IVN720942:IVO720946 JFJ720942:JFK720946 JPF720942:JPG720946 JZB720942:JZC720946 KIX720942:KIY720946 KST720942:KSU720946 LCP720942:LCQ720946 LML720942:LMM720946 LWH720942:LWI720946 MGD720942:MGE720946 MPZ720942:MQA720946 MZV720942:MZW720946 NJR720942:NJS720946 NTN720942:NTO720946 ODJ720942:ODK720946 ONF720942:ONG720946 OXB720942:OXC720946 PGX720942:PGY720946 PQT720942:PQU720946 QAP720942:QAQ720946 QKL720942:QKM720946 QUH720942:QUI720946 RED720942:REE720946 RNZ720942:ROA720946 RXV720942:RXW720946 SHR720942:SHS720946 SRN720942:SRO720946 TBJ720942:TBK720946 TLF720942:TLG720946 TVB720942:TVC720946 UEX720942:UEY720946 UOT720942:UOU720946 UYP720942:UYQ720946 VIL720942:VIM720946 VSH720942:VSI720946 WCD720942:WCE720946 WLZ720942:WMA720946 WVV720942:WVW720946 N786478:O786482 JJ786478:JK786482 TF786478:TG786482 ADB786478:ADC786482 AMX786478:AMY786482 AWT786478:AWU786482 BGP786478:BGQ786482 BQL786478:BQM786482 CAH786478:CAI786482 CKD786478:CKE786482 CTZ786478:CUA786482 DDV786478:DDW786482 DNR786478:DNS786482 DXN786478:DXO786482 EHJ786478:EHK786482 ERF786478:ERG786482 FBB786478:FBC786482 FKX786478:FKY786482 FUT786478:FUU786482 GEP786478:GEQ786482 GOL786478:GOM786482 GYH786478:GYI786482 HID786478:HIE786482 HRZ786478:HSA786482 IBV786478:IBW786482 ILR786478:ILS786482 IVN786478:IVO786482 JFJ786478:JFK786482 JPF786478:JPG786482 JZB786478:JZC786482 KIX786478:KIY786482 KST786478:KSU786482 LCP786478:LCQ786482 LML786478:LMM786482 LWH786478:LWI786482 MGD786478:MGE786482 MPZ786478:MQA786482 MZV786478:MZW786482 NJR786478:NJS786482 NTN786478:NTO786482 ODJ786478:ODK786482 ONF786478:ONG786482 OXB786478:OXC786482 PGX786478:PGY786482 PQT786478:PQU786482 QAP786478:QAQ786482 QKL786478:QKM786482 QUH786478:QUI786482 RED786478:REE786482 RNZ786478:ROA786482 RXV786478:RXW786482 SHR786478:SHS786482 SRN786478:SRO786482 TBJ786478:TBK786482 TLF786478:TLG786482 TVB786478:TVC786482 UEX786478:UEY786482 UOT786478:UOU786482 UYP786478:UYQ786482 VIL786478:VIM786482 VSH786478:VSI786482 WCD786478:WCE786482 WLZ786478:WMA786482 WVV786478:WVW786482 N852014:O852018 JJ852014:JK852018 TF852014:TG852018 ADB852014:ADC852018 AMX852014:AMY852018 AWT852014:AWU852018 BGP852014:BGQ852018 BQL852014:BQM852018 CAH852014:CAI852018 CKD852014:CKE852018 CTZ852014:CUA852018 DDV852014:DDW852018 DNR852014:DNS852018 DXN852014:DXO852018 EHJ852014:EHK852018 ERF852014:ERG852018 FBB852014:FBC852018 FKX852014:FKY852018 FUT852014:FUU852018 GEP852014:GEQ852018 GOL852014:GOM852018 GYH852014:GYI852018 HID852014:HIE852018 HRZ852014:HSA852018 IBV852014:IBW852018 ILR852014:ILS852018 IVN852014:IVO852018 JFJ852014:JFK852018 JPF852014:JPG852018 JZB852014:JZC852018 KIX852014:KIY852018 KST852014:KSU852018 LCP852014:LCQ852018 LML852014:LMM852018 LWH852014:LWI852018 MGD852014:MGE852018 MPZ852014:MQA852018 MZV852014:MZW852018 NJR852014:NJS852018 NTN852014:NTO852018 ODJ852014:ODK852018 ONF852014:ONG852018 OXB852014:OXC852018 PGX852014:PGY852018 PQT852014:PQU852018 QAP852014:QAQ852018 QKL852014:QKM852018 QUH852014:QUI852018 RED852014:REE852018 RNZ852014:ROA852018 RXV852014:RXW852018 SHR852014:SHS852018 SRN852014:SRO852018 TBJ852014:TBK852018 TLF852014:TLG852018 TVB852014:TVC852018 UEX852014:UEY852018 UOT852014:UOU852018 UYP852014:UYQ852018 VIL852014:VIM852018 VSH852014:VSI852018 WCD852014:WCE852018 WLZ852014:WMA852018 WVV852014:WVW852018 N917550:O917554 JJ917550:JK917554 TF917550:TG917554 ADB917550:ADC917554 AMX917550:AMY917554 AWT917550:AWU917554 BGP917550:BGQ917554 BQL917550:BQM917554 CAH917550:CAI917554 CKD917550:CKE917554 CTZ917550:CUA917554 DDV917550:DDW917554 DNR917550:DNS917554 DXN917550:DXO917554 EHJ917550:EHK917554 ERF917550:ERG917554 FBB917550:FBC917554 FKX917550:FKY917554 FUT917550:FUU917554 GEP917550:GEQ917554 GOL917550:GOM917554 GYH917550:GYI917554 HID917550:HIE917554 HRZ917550:HSA917554 IBV917550:IBW917554 ILR917550:ILS917554 IVN917550:IVO917554 JFJ917550:JFK917554 JPF917550:JPG917554 JZB917550:JZC917554 KIX917550:KIY917554 KST917550:KSU917554 LCP917550:LCQ917554 LML917550:LMM917554 LWH917550:LWI917554 MGD917550:MGE917554 MPZ917550:MQA917554 MZV917550:MZW917554 NJR917550:NJS917554 NTN917550:NTO917554 ODJ917550:ODK917554 ONF917550:ONG917554 OXB917550:OXC917554 PGX917550:PGY917554 PQT917550:PQU917554 QAP917550:QAQ917554 QKL917550:QKM917554 QUH917550:QUI917554 RED917550:REE917554 RNZ917550:ROA917554 RXV917550:RXW917554 SHR917550:SHS917554 SRN917550:SRO917554 TBJ917550:TBK917554 TLF917550:TLG917554 TVB917550:TVC917554 UEX917550:UEY917554 UOT917550:UOU917554 UYP917550:UYQ917554 VIL917550:VIM917554 VSH917550:VSI917554 WCD917550:WCE917554 WLZ917550:WMA917554 WVV917550:WVW917554 N983086:O983090 JJ983086:JK983090 TF983086:TG983090 ADB983086:ADC983090 AMX983086:AMY983090 AWT983086:AWU983090 BGP983086:BGQ983090 BQL983086:BQM983090 CAH983086:CAI983090 CKD983086:CKE983090 CTZ983086:CUA983090 DDV983086:DDW983090 DNR983086:DNS983090 DXN983086:DXO983090 EHJ983086:EHK983090 ERF983086:ERG983090 FBB983086:FBC983090 FKX983086:FKY983090 FUT983086:FUU983090 GEP983086:GEQ983090 GOL983086:GOM983090 GYH983086:GYI983090 HID983086:HIE983090 HRZ983086:HSA983090 IBV983086:IBW983090 ILR983086:ILS983090 IVN983086:IVO983090 JFJ983086:JFK983090 JPF983086:JPG983090 JZB983086:JZC983090 KIX983086:KIY983090 KST983086:KSU983090 LCP983086:LCQ983090 LML983086:LMM983090 LWH983086:LWI983090 MGD983086:MGE983090 MPZ983086:MQA983090 MZV983086:MZW983090 NJR983086:NJS983090 NTN983086:NTO983090 ODJ983086:ODK983090 ONF983086:ONG983090 OXB983086:OXC983090 PGX983086:PGY983090 PQT983086:PQU983090 QAP983086:QAQ983090 QKL983086:QKM983090 QUH983086:QUI983090 RED983086:REE983090 RNZ983086:ROA983090 RXV983086:RXW983090 SHR983086:SHS983090 SRN983086:SRO983090 TBJ983086:TBK983090 TLF983086:TLG983090 TVB983086:TVC983090 UEX983086:UEY983090 UOT983086:UOU983090 UYP983086:UYQ983090 VIL983086:VIM983090 VSH983086:VSI983090 WCD983086:WCE983090 WLZ983086:WMA983090 WVV983086:WVW983090</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66FF33"/>
    <pageSetUpPr fitToPage="1"/>
  </sheetPr>
  <dimension ref="A1:BU180"/>
  <sheetViews>
    <sheetView showGridLines="0" view="pageBreakPreview" topLeftCell="A51" zoomScale="90" zoomScaleNormal="75" zoomScaleSheetLayoutView="90" workbookViewId="0">
      <selection activeCell="B59" sqref="B59:O59"/>
    </sheetView>
  </sheetViews>
  <sheetFormatPr defaultRowHeight="12.75"/>
  <cols>
    <col min="1" max="1" width="9.140625" style="1324" customWidth="1"/>
    <col min="2" max="2" width="20" style="1324" customWidth="1"/>
    <col min="3" max="3" width="29.5703125" style="1324" customWidth="1"/>
    <col min="4" max="4" width="20.28515625" style="1324" customWidth="1"/>
    <col min="5" max="5" width="12.42578125" style="1324" customWidth="1"/>
    <col min="6" max="6" width="8.5703125" style="1324" customWidth="1"/>
    <col min="7" max="7" width="9" style="1324" customWidth="1"/>
    <col min="8" max="8" width="9" style="1672" customWidth="1"/>
    <col min="9" max="9" width="12.85546875" style="1324" customWidth="1"/>
    <col min="10" max="10" width="11" style="1324" customWidth="1"/>
    <col min="11" max="11" width="14.5703125" style="1324" customWidth="1"/>
    <col min="12" max="12" width="7.7109375" style="1324" customWidth="1"/>
    <col min="13" max="13" width="11.42578125" style="1324" customWidth="1"/>
    <col min="14" max="14" width="12.28515625" style="1324" customWidth="1"/>
    <col min="15" max="15" width="5.7109375" style="1324" customWidth="1"/>
    <col min="16" max="16" width="7.28515625" style="1324" customWidth="1"/>
    <col min="17" max="17" width="33" style="1324" customWidth="1"/>
    <col min="18" max="20" width="9.140625" style="1324"/>
    <col min="21" max="21" width="9.140625" style="1324" hidden="1" customWidth="1"/>
    <col min="22" max="16384" width="9.140625" style="1324"/>
  </cols>
  <sheetData>
    <row r="1" spans="1:66" ht="26.25" customHeight="1">
      <c r="A1" s="1534" t="s">
        <v>1408</v>
      </c>
      <c r="B1" s="1138"/>
      <c r="C1" s="1137"/>
      <c r="D1" s="1138"/>
      <c r="E1" s="1138"/>
      <c r="F1" s="1140"/>
      <c r="G1" s="1138"/>
      <c r="H1" s="1680"/>
      <c r="I1" s="1138"/>
      <c r="J1" s="1138"/>
      <c r="K1" s="1138"/>
      <c r="L1" s="790"/>
      <c r="M1" s="790"/>
    </row>
    <row r="2" spans="1:66" ht="26.25" customHeight="1">
      <c r="B2" s="1138"/>
      <c r="C2" s="1137" t="str">
        <f>'1.1 - APPLIANCES'!C2</f>
        <v>MULTIFAMILY PERFORMANCE PROGRAM</v>
      </c>
      <c r="D2" s="1138"/>
      <c r="E2" s="1138"/>
      <c r="F2" s="1140"/>
      <c r="G2" s="1138"/>
      <c r="H2" s="1680"/>
      <c r="I2" s="1138"/>
      <c r="J2" s="1138"/>
      <c r="K2" s="1138"/>
      <c r="L2" s="790"/>
      <c r="M2" s="790"/>
    </row>
    <row r="3" spans="1:66" ht="26.25" customHeight="1">
      <c r="B3" s="1138"/>
      <c r="C3" s="1139" t="s">
        <v>368</v>
      </c>
      <c r="D3" s="1139">
        <f>'Project Info'!C3</f>
        <v>0</v>
      </c>
      <c r="E3" s="1138"/>
      <c r="F3" s="1140"/>
      <c r="G3" s="1138"/>
      <c r="H3" s="1680"/>
      <c r="I3" s="1138"/>
      <c r="J3" s="1138"/>
      <c r="K3" s="1138"/>
      <c r="L3" s="790"/>
      <c r="M3" s="790"/>
    </row>
    <row r="4" spans="1:66" ht="26.25" customHeight="1">
      <c r="A4" s="1551"/>
      <c r="B4" s="1138"/>
      <c r="C4" s="1139"/>
      <c r="D4" s="1139"/>
      <c r="E4" s="1138"/>
      <c r="F4" s="1212"/>
      <c r="G4" s="1138"/>
      <c r="H4" s="1680"/>
      <c r="I4" s="1138"/>
      <c r="J4" s="1138"/>
      <c r="K4" s="1140"/>
      <c r="L4" s="1138"/>
      <c r="M4" s="1144"/>
      <c r="N4" s="1529"/>
      <c r="O4" s="1529"/>
      <c r="P4" s="795"/>
    </row>
    <row r="5" spans="1:66" s="1539" customFormat="1" ht="15.75">
      <c r="A5" s="1540"/>
      <c r="B5" s="1158" t="s">
        <v>1632</v>
      </c>
      <c r="C5" s="1159"/>
      <c r="D5" s="1160"/>
      <c r="E5" s="1159"/>
      <c r="F5" s="1159"/>
      <c r="G5" s="1159"/>
      <c r="H5" s="1679"/>
      <c r="I5" s="1159"/>
      <c r="J5" s="1159"/>
      <c r="K5" s="1159"/>
      <c r="L5" s="1159"/>
      <c r="M5" s="1161"/>
      <c r="N5" s="1351" t="s">
        <v>1411</v>
      </c>
      <c r="O5" s="1395"/>
      <c r="P5" s="2721" t="s">
        <v>1412</v>
      </c>
      <c r="Q5" s="2722"/>
      <c r="R5" s="1540"/>
      <c r="S5" s="1540"/>
      <c r="T5" s="1540"/>
      <c r="U5" s="1540"/>
      <c r="V5" s="1540"/>
      <c r="W5" s="1540"/>
      <c r="X5" s="1540"/>
      <c r="Y5" s="1540"/>
      <c r="Z5" s="1540"/>
      <c r="AA5" s="1540"/>
      <c r="AB5" s="1540"/>
      <c r="AC5" s="1540"/>
      <c r="AD5" s="1540"/>
      <c r="AE5" s="1540"/>
      <c r="AF5" s="1540"/>
      <c r="AG5" s="1540"/>
      <c r="AH5" s="1540"/>
      <c r="AI5" s="1540"/>
      <c r="AJ5" s="1540"/>
      <c r="AK5" s="1540"/>
      <c r="AL5" s="1540"/>
      <c r="AM5" s="1540"/>
      <c r="AN5" s="1540"/>
      <c r="AO5" s="1540"/>
      <c r="AP5" s="1540"/>
      <c r="AQ5" s="1540"/>
      <c r="AR5" s="1540"/>
      <c r="AS5" s="1540"/>
      <c r="AT5" s="1540"/>
      <c r="AU5" s="1540"/>
      <c r="AV5" s="1540"/>
      <c r="AW5" s="1540"/>
      <c r="AX5" s="1540"/>
      <c r="AY5" s="1540"/>
      <c r="AZ5" s="1540"/>
      <c r="BA5" s="1540"/>
      <c r="BB5" s="1540"/>
      <c r="BC5" s="1540"/>
      <c r="BD5" s="1540"/>
      <c r="BE5" s="1540"/>
      <c r="BF5" s="1540"/>
      <c r="BG5" s="1540"/>
      <c r="BH5" s="1540"/>
      <c r="BI5" s="1540"/>
      <c r="BJ5" s="1540"/>
      <c r="BK5" s="1540"/>
      <c r="BL5" s="1540"/>
      <c r="BM5" s="1540"/>
      <c r="BN5" s="1540"/>
    </row>
    <row r="6" spans="1:66">
      <c r="B6" s="1213"/>
      <c r="C6" s="1213"/>
      <c r="D6" s="1213"/>
      <c r="E6" s="1213"/>
      <c r="F6" s="1144"/>
      <c r="G6" s="1144"/>
      <c r="H6" s="1389"/>
      <c r="I6" s="1144"/>
      <c r="J6" s="2714"/>
      <c r="K6" s="2714"/>
      <c r="L6" s="2816"/>
      <c r="M6" s="2816"/>
      <c r="N6" s="2789" t="s">
        <v>1413</v>
      </c>
      <c r="O6" s="2732"/>
      <c r="P6" s="2729"/>
      <c r="Q6" s="2730"/>
    </row>
    <row r="7" spans="1:66">
      <c r="B7" s="2724" t="s">
        <v>1414</v>
      </c>
      <c r="C7" s="2725"/>
      <c r="D7" s="2726"/>
      <c r="E7" s="2726"/>
      <c r="F7" s="1144"/>
      <c r="G7" s="1144"/>
      <c r="H7" s="1389"/>
      <c r="I7" s="1144"/>
      <c r="J7" s="2714"/>
      <c r="K7" s="2714"/>
      <c r="L7" s="2816"/>
      <c r="M7" s="2816"/>
      <c r="N7" s="2731"/>
      <c r="O7" s="2732"/>
      <c r="P7" s="2730"/>
      <c r="Q7" s="2730"/>
    </row>
    <row r="8" spans="1:66" ht="26.25" customHeight="1">
      <c r="A8" s="1528"/>
      <c r="B8" s="2717" t="s">
        <v>1443</v>
      </c>
      <c r="C8" s="2717"/>
      <c r="D8" s="2717"/>
      <c r="E8" s="2717"/>
      <c r="F8" s="2717"/>
      <c r="G8" s="2717"/>
      <c r="H8" s="2717"/>
      <c r="I8" s="2717"/>
      <c r="J8" s="2717"/>
      <c r="K8" s="2717"/>
      <c r="L8" s="2816"/>
      <c r="M8" s="2816"/>
      <c r="N8" s="2719"/>
      <c r="O8" s="2719"/>
      <c r="P8" s="2720"/>
      <c r="Q8" s="2720"/>
    </row>
    <row r="9" spans="1:66" ht="27.75" customHeight="1">
      <c r="A9" s="1528"/>
      <c r="B9" s="2717" t="s">
        <v>1633</v>
      </c>
      <c r="C9" s="2717"/>
      <c r="D9" s="2717"/>
      <c r="E9" s="2717"/>
      <c r="F9" s="2717"/>
      <c r="G9" s="2717"/>
      <c r="H9" s="2717"/>
      <c r="I9" s="2717"/>
      <c r="J9" s="2717"/>
      <c r="K9" s="2717"/>
      <c r="L9" s="2816"/>
      <c r="M9" s="2816"/>
      <c r="N9" s="2718"/>
      <c r="O9" s="2718"/>
      <c r="P9" s="2715"/>
      <c r="Q9" s="2715"/>
    </row>
    <row r="10" spans="1:66" ht="12.75" customHeight="1">
      <c r="A10" s="1528"/>
      <c r="B10" s="2717" t="s">
        <v>1445</v>
      </c>
      <c r="C10" s="2717"/>
      <c r="D10" s="2717"/>
      <c r="E10" s="2717"/>
      <c r="F10" s="2717"/>
      <c r="G10" s="2717"/>
      <c r="H10" s="2717"/>
      <c r="I10" s="2717"/>
      <c r="J10" s="2717"/>
      <c r="K10" s="2717"/>
      <c r="L10" s="2816"/>
      <c r="M10" s="2816"/>
      <c r="N10" s="2715"/>
      <c r="O10" s="2715"/>
      <c r="P10" s="2715"/>
      <c r="Q10" s="2715"/>
      <c r="R10" s="1528"/>
    </row>
    <row r="11" spans="1:66">
      <c r="A11" s="1528"/>
      <c r="B11" s="1144"/>
      <c r="C11" s="1144"/>
      <c r="D11" s="1144"/>
      <c r="E11" s="1144"/>
      <c r="F11" s="1144"/>
      <c r="G11" s="1144"/>
      <c r="H11" s="1389"/>
      <c r="I11" s="1144"/>
      <c r="J11" s="2714"/>
      <c r="K11" s="2714"/>
      <c r="L11" s="2816"/>
      <c r="M11" s="2816"/>
      <c r="N11" s="1648"/>
      <c r="O11" s="1648"/>
      <c r="P11" s="2781"/>
      <c r="Q11" s="2781"/>
      <c r="R11" s="1528"/>
    </row>
    <row r="12" spans="1:66">
      <c r="A12" s="1528"/>
      <c r="B12" s="1146" t="s">
        <v>1416</v>
      </c>
      <c r="C12" s="1144"/>
      <c r="D12" s="1144"/>
      <c r="E12" s="1144"/>
      <c r="F12" s="1144"/>
      <c r="G12" s="1144"/>
      <c r="H12" s="1389"/>
      <c r="I12" s="1144"/>
      <c r="J12" s="2714"/>
      <c r="K12" s="2714"/>
      <c r="L12" s="2816"/>
      <c r="M12" s="2816"/>
      <c r="N12" s="1529"/>
      <c r="O12" s="1529"/>
      <c r="P12" s="1529"/>
      <c r="Q12" s="1528"/>
      <c r="R12" s="1528"/>
    </row>
    <row r="13" spans="1:66">
      <c r="A13" s="1528"/>
      <c r="B13" s="1149" t="s">
        <v>1634</v>
      </c>
      <c r="C13" s="1144"/>
      <c r="D13" s="1144"/>
      <c r="E13" s="1144"/>
      <c r="F13" s="1144"/>
      <c r="G13" s="1144"/>
      <c r="H13" s="1389"/>
      <c r="I13" s="1144"/>
      <c r="J13" s="1144"/>
      <c r="K13" s="1144"/>
      <c r="L13" s="1144"/>
      <c r="M13" s="1144"/>
      <c r="N13" s="1529"/>
      <c r="O13" s="1529"/>
      <c r="P13" s="1529"/>
      <c r="Q13" s="1528"/>
    </row>
    <row r="14" spans="1:66">
      <c r="A14" s="1528"/>
      <c r="B14" s="1149" t="s">
        <v>1448</v>
      </c>
      <c r="C14" s="1144"/>
      <c r="D14" s="1144"/>
      <c r="E14" s="1144"/>
      <c r="F14" s="1144"/>
      <c r="G14" s="1144"/>
      <c r="H14" s="1389"/>
      <c r="I14" s="1144"/>
      <c r="J14" s="1144"/>
      <c r="K14" s="1144"/>
      <c r="L14" s="1144"/>
      <c r="M14" s="1144"/>
      <c r="N14" s="1529"/>
      <c r="O14" s="1529"/>
      <c r="P14" s="1529"/>
      <c r="Q14" s="1528"/>
    </row>
    <row r="15" spans="1:66">
      <c r="A15" s="1528"/>
      <c r="B15" s="1144"/>
      <c r="C15" s="1144"/>
      <c r="D15" s="1144"/>
      <c r="E15" s="1144"/>
      <c r="F15" s="1144"/>
      <c r="G15" s="1144"/>
      <c r="H15" s="1389"/>
      <c r="I15" s="1144"/>
      <c r="J15" s="1144"/>
      <c r="K15" s="1144"/>
      <c r="L15" s="1144"/>
      <c r="M15" s="1144"/>
      <c r="N15" s="1529"/>
      <c r="O15" s="1529"/>
      <c r="P15" s="1529"/>
      <c r="Q15" s="1528"/>
    </row>
    <row r="16" spans="1:66">
      <c r="A16" s="1528"/>
      <c r="B16" s="1148" t="s">
        <v>1420</v>
      </c>
      <c r="C16" s="1144"/>
      <c r="D16" s="1144"/>
      <c r="E16" s="1144"/>
      <c r="F16" s="1144"/>
      <c r="G16" s="1144"/>
      <c r="H16" s="1389"/>
      <c r="I16" s="1144"/>
      <c r="J16" s="1144"/>
      <c r="K16" s="1144"/>
      <c r="L16" s="1144"/>
      <c r="M16" s="1144"/>
      <c r="N16" s="1529"/>
      <c r="O16" s="1529"/>
      <c r="P16" s="1529"/>
      <c r="Q16" s="1528"/>
    </row>
    <row r="17" spans="1:17">
      <c r="A17" s="1528"/>
      <c r="B17" s="1149" t="s">
        <v>1635</v>
      </c>
      <c r="C17" s="1149"/>
      <c r="D17" s="1149"/>
      <c r="E17" s="1149"/>
      <c r="F17" s="1149"/>
      <c r="G17" s="1149"/>
      <c r="H17" s="1364"/>
      <c r="I17" s="1149"/>
      <c r="J17" s="1149"/>
      <c r="K17" s="1149"/>
      <c r="L17" s="1144"/>
      <c r="M17" s="1144"/>
      <c r="N17" s="1529"/>
      <c r="O17" s="1529"/>
      <c r="P17" s="1529"/>
      <c r="Q17" s="1528"/>
    </row>
    <row r="18" spans="1:17" ht="25.5" customHeight="1">
      <c r="A18" s="1528"/>
      <c r="B18" s="2671" t="s">
        <v>1636</v>
      </c>
      <c r="C18" s="2671"/>
      <c r="D18" s="2671"/>
      <c r="E18" s="2671"/>
      <c r="F18" s="2671"/>
      <c r="G18" s="2671"/>
      <c r="H18" s="2671"/>
      <c r="I18" s="2671"/>
      <c r="J18" s="2671"/>
      <c r="K18" s="2671"/>
      <c r="L18" s="1144"/>
      <c r="M18" s="1144"/>
      <c r="N18" s="1529"/>
      <c r="O18" s="1529"/>
      <c r="P18" s="1529"/>
      <c r="Q18" s="1528"/>
    </row>
    <row r="19" spans="1:17">
      <c r="A19" s="1528"/>
      <c r="B19" s="1149" t="s">
        <v>1637</v>
      </c>
      <c r="C19" s="1149"/>
      <c r="D19" s="1149"/>
      <c r="E19" s="1149"/>
      <c r="F19" s="1149"/>
      <c r="G19" s="1149"/>
      <c r="H19" s="1364"/>
      <c r="I19" s="1149"/>
      <c r="J19" s="1149"/>
      <c r="K19" s="1149"/>
      <c r="L19" s="1144"/>
      <c r="M19" s="1144"/>
      <c r="N19" s="1529"/>
      <c r="O19" s="1529"/>
      <c r="P19" s="1529"/>
      <c r="Q19" s="1528"/>
    </row>
    <row r="20" spans="1:17">
      <c r="A20" s="1528"/>
      <c r="B20" s="1151" t="s">
        <v>1638</v>
      </c>
      <c r="C20" s="1149"/>
      <c r="D20" s="1149"/>
      <c r="E20" s="1149"/>
      <c r="F20" s="1149"/>
      <c r="G20" s="1149"/>
      <c r="H20" s="1364"/>
      <c r="I20" s="1149"/>
      <c r="J20" s="1149"/>
      <c r="K20" s="1149"/>
      <c r="L20" s="1144"/>
      <c r="M20" s="1144"/>
      <c r="N20" s="1529"/>
      <c r="O20" s="1529"/>
      <c r="P20" s="1529"/>
      <c r="Q20" s="1528"/>
    </row>
    <row r="21" spans="1:17" ht="80.099999999999994" customHeight="1">
      <c r="B21" s="1162" t="s">
        <v>1453</v>
      </c>
      <c r="C21" s="1162" t="s">
        <v>1454</v>
      </c>
      <c r="D21" s="1162" t="s">
        <v>2194</v>
      </c>
      <c r="E21" s="1162" t="s">
        <v>1430</v>
      </c>
      <c r="F21" s="1367" t="s">
        <v>1428</v>
      </c>
      <c r="G21" s="1367" t="s">
        <v>2209</v>
      </c>
      <c r="H21" s="1367" t="s">
        <v>2208</v>
      </c>
      <c r="I21" s="1367" t="s">
        <v>1639</v>
      </c>
      <c r="J21" s="1162" t="s">
        <v>1640</v>
      </c>
      <c r="K21" s="1162" t="s">
        <v>1457</v>
      </c>
      <c r="L21" s="1162" t="s">
        <v>1641</v>
      </c>
      <c r="M21" s="1163" t="s">
        <v>4</v>
      </c>
      <c r="N21" s="1342" t="s">
        <v>1434</v>
      </c>
      <c r="O21" s="1155" t="s">
        <v>1435</v>
      </c>
      <c r="P21" s="1155" t="s">
        <v>1436</v>
      </c>
      <c r="Q21" s="1342" t="s">
        <v>1642</v>
      </c>
    </row>
    <row r="22" spans="1:17">
      <c r="B22" s="892"/>
      <c r="C22" s="892"/>
      <c r="D22" s="892"/>
      <c r="E22" s="892"/>
      <c r="F22" s="892"/>
      <c r="G22" s="892"/>
      <c r="H22" s="1678"/>
      <c r="I22" s="1677"/>
      <c r="J22" s="931"/>
      <c r="K22" s="932"/>
      <c r="L22" s="933"/>
      <c r="M22" s="892"/>
      <c r="N22" s="892"/>
      <c r="O22" s="1376"/>
      <c r="P22" s="1379"/>
      <c r="Q22" s="1379"/>
    </row>
    <row r="23" spans="1:17">
      <c r="B23" s="892"/>
      <c r="C23" s="892"/>
      <c r="D23" s="892"/>
      <c r="E23" s="892"/>
      <c r="F23" s="892"/>
      <c r="G23" s="892"/>
      <c r="H23" s="1678"/>
      <c r="I23" s="1677"/>
      <c r="J23" s="931"/>
      <c r="K23" s="892"/>
      <c r="L23" s="933"/>
      <c r="M23" s="892"/>
      <c r="N23" s="892"/>
      <c r="O23" s="1376"/>
      <c r="P23" s="1379"/>
      <c r="Q23" s="1379"/>
    </row>
    <row r="24" spans="1:17">
      <c r="B24" s="892"/>
      <c r="C24" s="892"/>
      <c r="D24" s="892"/>
      <c r="E24" s="892"/>
      <c r="F24" s="892"/>
      <c r="G24" s="892"/>
      <c r="H24" s="1678"/>
      <c r="I24" s="1677"/>
      <c r="J24" s="892"/>
      <c r="K24" s="892"/>
      <c r="L24" s="933"/>
      <c r="M24" s="892"/>
      <c r="N24" s="892"/>
      <c r="O24" s="1376"/>
      <c r="P24" s="1379"/>
      <c r="Q24" s="1379"/>
    </row>
    <row r="25" spans="1:17">
      <c r="B25" s="892"/>
      <c r="C25" s="892"/>
      <c r="D25" s="892"/>
      <c r="E25" s="892"/>
      <c r="F25" s="892"/>
      <c r="G25" s="892"/>
      <c r="H25" s="1678"/>
      <c r="I25" s="1677"/>
      <c r="J25" s="892"/>
      <c r="K25" s="892"/>
      <c r="L25" s="933"/>
      <c r="M25" s="892"/>
      <c r="N25" s="892"/>
      <c r="O25" s="1376"/>
      <c r="P25" s="1379"/>
      <c r="Q25" s="1379"/>
    </row>
    <row r="26" spans="1:17">
      <c r="B26" s="892"/>
      <c r="C26" s="892"/>
      <c r="D26" s="892"/>
      <c r="E26" s="892"/>
      <c r="F26" s="892"/>
      <c r="G26" s="892"/>
      <c r="H26" s="1678"/>
      <c r="I26" s="1677"/>
      <c r="J26" s="892"/>
      <c r="K26" s="892"/>
      <c r="L26" s="933"/>
      <c r="M26" s="892"/>
      <c r="N26" s="892"/>
      <c r="O26" s="1376"/>
      <c r="P26" s="1379"/>
      <c r="Q26" s="1379"/>
    </row>
    <row r="27" spans="1:17">
      <c r="B27" s="892"/>
      <c r="C27" s="892"/>
      <c r="D27" s="892"/>
      <c r="E27" s="892"/>
      <c r="F27" s="892"/>
      <c r="G27" s="892"/>
      <c r="H27" s="1678"/>
      <c r="I27" s="1677"/>
      <c r="J27" s="892"/>
      <c r="K27" s="892"/>
      <c r="L27" s="933"/>
      <c r="M27" s="892"/>
      <c r="N27" s="892"/>
      <c r="O27" s="1376"/>
      <c r="P27" s="1379"/>
      <c r="Q27" s="1379"/>
    </row>
    <row r="28" spans="1:17">
      <c r="B28" s="892"/>
      <c r="C28" s="892"/>
      <c r="D28" s="892"/>
      <c r="E28" s="892"/>
      <c r="F28" s="892"/>
      <c r="G28" s="892"/>
      <c r="H28" s="1678"/>
      <c r="I28" s="1677"/>
      <c r="J28" s="892"/>
      <c r="K28" s="892"/>
      <c r="L28" s="933"/>
      <c r="M28" s="892"/>
      <c r="N28" s="892"/>
      <c r="O28" s="1376"/>
      <c r="P28" s="1379"/>
      <c r="Q28" s="1379"/>
    </row>
    <row r="29" spans="1:17">
      <c r="B29" s="892"/>
      <c r="C29" s="892"/>
      <c r="D29" s="892"/>
      <c r="E29" s="892"/>
      <c r="F29" s="892"/>
      <c r="G29" s="892"/>
      <c r="H29" s="1678"/>
      <c r="I29" s="1677"/>
      <c r="J29" s="892"/>
      <c r="K29" s="892"/>
      <c r="L29" s="933"/>
      <c r="M29" s="892"/>
      <c r="N29" s="892"/>
      <c r="O29" s="1376"/>
      <c r="P29" s="1379"/>
      <c r="Q29" s="1379"/>
    </row>
    <row r="30" spans="1:17">
      <c r="B30" s="892"/>
      <c r="C30" s="892"/>
      <c r="D30" s="892"/>
      <c r="E30" s="892"/>
      <c r="F30" s="892"/>
      <c r="G30" s="892"/>
      <c r="H30" s="1678"/>
      <c r="I30" s="1677"/>
      <c r="J30" s="892"/>
      <c r="K30" s="892"/>
      <c r="L30" s="933"/>
      <c r="M30" s="892"/>
      <c r="N30" s="892"/>
      <c r="O30" s="1376"/>
      <c r="P30" s="1379"/>
      <c r="Q30" s="1379"/>
    </row>
    <row r="31" spans="1:17">
      <c r="B31" s="892"/>
      <c r="C31" s="892"/>
      <c r="D31" s="892"/>
      <c r="E31" s="892"/>
      <c r="F31" s="892"/>
      <c r="G31" s="892"/>
      <c r="H31" s="1678"/>
      <c r="I31" s="1677"/>
      <c r="J31" s="892"/>
      <c r="K31" s="892"/>
      <c r="L31" s="933"/>
      <c r="M31" s="892"/>
      <c r="N31" s="892"/>
      <c r="O31" s="1376"/>
      <c r="P31" s="1379"/>
      <c r="Q31" s="1379"/>
    </row>
    <row r="32" spans="1:17" s="1526" customFormat="1" ht="80.099999999999994" customHeight="1">
      <c r="A32" s="1527"/>
      <c r="B32" s="1342" t="s">
        <v>1439</v>
      </c>
      <c r="C32" s="1365"/>
      <c r="D32" s="1342" t="s">
        <v>1426</v>
      </c>
      <c r="E32" s="2741" t="s">
        <v>1427</v>
      </c>
      <c r="F32" s="2741"/>
      <c r="G32" s="2679" t="s">
        <v>1433</v>
      </c>
      <c r="H32" s="2679"/>
      <c r="I32" s="2679"/>
      <c r="J32" s="2679"/>
      <c r="K32" s="2679"/>
      <c r="L32" s="2679"/>
      <c r="M32" s="2679"/>
      <c r="N32" s="1342" t="s">
        <v>1434</v>
      </c>
      <c r="O32" s="1155" t="s">
        <v>1435</v>
      </c>
      <c r="P32" s="1155" t="s">
        <v>1436</v>
      </c>
      <c r="Q32" s="1342" t="s">
        <v>1642</v>
      </c>
    </row>
    <row r="33" spans="1:66" ht="66" customHeight="1">
      <c r="A33" s="1536"/>
      <c r="B33" s="2703" t="s">
        <v>1643</v>
      </c>
      <c r="C33" s="2834"/>
      <c r="D33" s="891" t="str">
        <f>IF('Project Info'!C4='Project Info'!P32,'Prescriptive Path Checklist'!C57,IF('Project Info'!C4='Project Info'!P33,#REF!,"&lt;Select compliance path on the 'Project Info' tab&gt;"))</f>
        <v>The heating and cooling systems must comply with ASHRAE 90.1-2010 Sections 6.4 and 6.5.</v>
      </c>
      <c r="E33" s="2700" t="s">
        <v>1644</v>
      </c>
      <c r="F33" s="2702"/>
      <c r="G33" s="2692"/>
      <c r="H33" s="2692"/>
      <c r="I33" s="2692"/>
      <c r="J33" s="2692"/>
      <c r="K33" s="2692"/>
      <c r="L33" s="2692"/>
      <c r="M33" s="2692"/>
      <c r="N33" s="1359"/>
      <c r="O33" s="1388"/>
      <c r="P33" s="1383"/>
      <c r="Q33" s="1383"/>
    </row>
    <row r="34" spans="1:66" s="1539" customFormat="1" ht="15.75">
      <c r="A34" s="1540"/>
      <c r="B34" s="2686"/>
      <c r="C34" s="2687"/>
      <c r="D34" s="2687"/>
      <c r="E34" s="2687"/>
      <c r="F34" s="2687"/>
      <c r="G34" s="2688"/>
      <c r="H34" s="2688"/>
      <c r="I34" s="2688"/>
      <c r="J34" s="2688"/>
      <c r="K34" s="2688"/>
      <c r="L34" s="2688"/>
      <c r="M34" s="2688"/>
      <c r="N34" s="2688"/>
      <c r="O34" s="2688"/>
      <c r="P34" s="2688"/>
      <c r="Q34" s="2689"/>
      <c r="R34" s="1540"/>
      <c r="S34" s="1540"/>
      <c r="T34" s="1540"/>
      <c r="U34" s="1540"/>
      <c r="V34" s="1540"/>
      <c r="W34" s="1540"/>
      <c r="X34" s="1540"/>
      <c r="Y34" s="1540"/>
      <c r="Z34" s="1540"/>
      <c r="AA34" s="1540"/>
      <c r="AB34" s="1540"/>
      <c r="AC34" s="1540"/>
      <c r="AD34" s="1540"/>
      <c r="AE34" s="1540"/>
      <c r="AF34" s="1540"/>
      <c r="AG34" s="1540"/>
      <c r="AH34" s="1540"/>
      <c r="AI34" s="1540"/>
      <c r="AJ34" s="1540"/>
      <c r="AK34" s="1540"/>
      <c r="AL34" s="1540"/>
      <c r="AM34" s="1540"/>
      <c r="AN34" s="1540"/>
      <c r="AO34" s="1540"/>
      <c r="AP34" s="1540"/>
      <c r="AQ34" s="1540"/>
      <c r="AR34" s="1540"/>
      <c r="AS34" s="1540"/>
      <c r="AT34" s="1540"/>
      <c r="AU34" s="1540"/>
      <c r="AV34" s="1540"/>
      <c r="AW34" s="1540"/>
      <c r="AX34" s="1540"/>
      <c r="AY34" s="1540"/>
      <c r="AZ34" s="1540"/>
      <c r="BA34" s="1540"/>
      <c r="BB34" s="1540"/>
      <c r="BC34" s="1540"/>
      <c r="BD34" s="1540"/>
      <c r="BE34" s="1540"/>
      <c r="BF34" s="1540"/>
      <c r="BG34" s="1540"/>
      <c r="BH34" s="1540"/>
      <c r="BI34" s="1540"/>
      <c r="BJ34" s="1540"/>
      <c r="BK34" s="1540"/>
      <c r="BL34" s="1540"/>
      <c r="BM34" s="1540"/>
      <c r="BN34" s="1540"/>
    </row>
    <row r="35" spans="1:66" ht="408.75" customHeight="1">
      <c r="A35" s="1536"/>
      <c r="B35" s="2693" t="s">
        <v>1645</v>
      </c>
      <c r="C35" s="2831"/>
      <c r="D35" s="891" t="str">
        <f>IF('Project Info'!C4='Project Info'!P32,'Prescriptive Path Checklist'!C64,IF('Project Info'!C4='Project Info'!P33,#REF!,"&lt;Select compliance path on the 'Project Info' tab&gt;"))</f>
        <v>Load sizing calculations must reflect the design; installed capacity cannot exceed design by more than 20%, except when smaller sizes are not available.
Cooling loads shall be calculated, equipment capacity shall be selected, and duct systems shall be sized according to the latest editions of ACCA Manual J, S, &amp; D, respectively, ASHRAE 2009 Handbook of Fundamentals, or a substantively equivalent procedure. Indoor temperatures shall be 75°F for cooling, outdoor temperatures shall be the 1.0% design temperature, as published by the ASHRAE Handbook of Fundamentals.</v>
      </c>
      <c r="E35" s="2706">
        <f>ERMs!B41</f>
        <v>0</v>
      </c>
      <c r="F35" s="2707"/>
      <c r="G35" s="2778"/>
      <c r="H35" s="2832"/>
      <c r="I35" s="2832"/>
      <c r="J35" s="2832"/>
      <c r="K35" s="2832"/>
      <c r="L35" s="2832"/>
      <c r="M35" s="2833"/>
      <c r="N35" s="1359"/>
      <c r="O35" s="1388"/>
      <c r="P35" s="1383"/>
      <c r="Q35" s="1383"/>
      <c r="R35" s="1536"/>
    </row>
    <row r="36" spans="1:66" ht="279" customHeight="1">
      <c r="A36" s="1542"/>
      <c r="B36" s="2693" t="s">
        <v>2559</v>
      </c>
      <c r="C36" s="2694"/>
      <c r="D36" s="891" t="str">
        <f>IF('Project Info'!C4='Project Info'!P32,'Prescriptive Path Checklist'!C65,IF('Project Info'!C4='Project Info'!P33,"NA","&lt;Select compliance path on the 'Project Info' tab&gt;"))</f>
        <v>Based on the climate zone, the specified cooling equipment meets the Prescriptive requirements for efficiency.  Cooling equipment shall be ENERGY STAR certified, where applicable. ENERGY STAR certification must be verified through the ENERGY STAR website.</v>
      </c>
      <c r="E36" s="2706">
        <f>ERMs!B40</f>
        <v>0</v>
      </c>
      <c r="F36" s="2707"/>
      <c r="G36" s="2778"/>
      <c r="H36" s="2832"/>
      <c r="I36" s="2832"/>
      <c r="J36" s="2832"/>
      <c r="K36" s="2832"/>
      <c r="L36" s="2832"/>
      <c r="M36" s="2833"/>
      <c r="N36" s="1359"/>
      <c r="O36" s="1388"/>
      <c r="P36" s="1383"/>
      <c r="Q36" s="1383"/>
    </row>
    <row r="37" spans="1:66" ht="53.25" customHeight="1">
      <c r="A37" s="1541"/>
      <c r="B37" s="2690" t="s">
        <v>1646</v>
      </c>
      <c r="C37" s="2691"/>
      <c r="D37" s="2839"/>
      <c r="E37" s="2700">
        <f>ERMs!B42</f>
        <v>0</v>
      </c>
      <c r="F37" s="2702"/>
      <c r="G37" s="2778"/>
      <c r="H37" s="2832"/>
      <c r="I37" s="2832"/>
      <c r="J37" s="2832"/>
      <c r="K37" s="2832"/>
      <c r="L37" s="2832"/>
      <c r="M37" s="2833"/>
      <c r="N37" s="1359"/>
      <c r="O37" s="1388"/>
      <c r="P37" s="1383"/>
      <c r="Q37" s="1383"/>
    </row>
    <row r="38" spans="1:66" s="1539" customFormat="1" ht="15.75">
      <c r="A38" s="1665"/>
      <c r="B38" s="2835" t="s">
        <v>1141</v>
      </c>
      <c r="C38" s="2836"/>
      <c r="D38" s="2836"/>
      <c r="E38" s="2836"/>
      <c r="F38" s="2836"/>
      <c r="G38" s="2837"/>
      <c r="H38" s="2837"/>
      <c r="I38" s="2837"/>
      <c r="J38" s="2837"/>
      <c r="K38" s="2837"/>
      <c r="L38" s="2837"/>
      <c r="M38" s="2837"/>
      <c r="N38" s="2837"/>
      <c r="O38" s="2837"/>
      <c r="P38" s="2837"/>
      <c r="Q38" s="2838"/>
      <c r="R38" s="1540"/>
      <c r="S38" s="1540"/>
      <c r="T38" s="1540"/>
      <c r="U38" s="1540"/>
      <c r="V38" s="1540"/>
      <c r="W38" s="1540"/>
      <c r="X38" s="1540"/>
      <c r="Y38" s="1540"/>
      <c r="Z38" s="1540"/>
      <c r="AA38" s="1540"/>
      <c r="AB38" s="1540"/>
      <c r="AC38" s="1540"/>
      <c r="AD38" s="1540"/>
      <c r="AE38" s="1540"/>
      <c r="AF38" s="1540"/>
      <c r="AG38" s="1540"/>
      <c r="AH38" s="1540"/>
      <c r="AI38" s="1540"/>
      <c r="AJ38" s="1540"/>
      <c r="AK38" s="1540"/>
      <c r="AL38" s="1540"/>
      <c r="AM38" s="1540"/>
      <c r="AN38" s="1540"/>
      <c r="AO38" s="1540"/>
      <c r="AP38" s="1540"/>
      <c r="AQ38" s="1540"/>
      <c r="AR38" s="1540"/>
      <c r="AS38" s="1540"/>
      <c r="AT38" s="1540"/>
      <c r="AU38" s="1540"/>
      <c r="AV38" s="1540"/>
      <c r="AW38" s="1540"/>
      <c r="AX38" s="1540"/>
      <c r="AY38" s="1540"/>
      <c r="AZ38" s="1540"/>
      <c r="BA38" s="1540"/>
      <c r="BB38" s="1540"/>
      <c r="BC38" s="1540"/>
      <c r="BD38" s="1540"/>
      <c r="BE38" s="1540"/>
      <c r="BF38" s="1540"/>
      <c r="BG38" s="1540"/>
      <c r="BH38" s="1540"/>
      <c r="BI38" s="1540"/>
      <c r="BJ38" s="1540"/>
      <c r="BK38" s="1540"/>
      <c r="BL38" s="1540"/>
      <c r="BM38" s="1540"/>
      <c r="BN38" s="1540"/>
    </row>
    <row r="39" spans="1:66" ht="126.75" customHeight="1">
      <c r="A39" s="1535"/>
      <c r="B39" s="2693" t="s">
        <v>2207</v>
      </c>
      <c r="C39" s="2694"/>
      <c r="D39" s="2694"/>
      <c r="E39" s="2694"/>
      <c r="F39" s="2694"/>
      <c r="G39" s="2692"/>
      <c r="H39" s="2692"/>
      <c r="I39" s="2705"/>
      <c r="J39" s="2705"/>
      <c r="K39" s="2705"/>
      <c r="L39" s="2705"/>
      <c r="M39" s="2705"/>
      <c r="N39" s="1359"/>
      <c r="O39" s="1388"/>
      <c r="P39" s="1383"/>
      <c r="Q39" s="1383"/>
    </row>
    <row r="40" spans="1:66" ht="56.25" customHeight="1">
      <c r="A40" s="1535"/>
      <c r="B40" s="2807" t="s">
        <v>1647</v>
      </c>
      <c r="C40" s="2808"/>
      <c r="D40" s="2808"/>
      <c r="E40" s="2808"/>
      <c r="F40" s="2808"/>
      <c r="G40" s="2692"/>
      <c r="H40" s="2692"/>
      <c r="I40" s="2705"/>
      <c r="J40" s="2705"/>
      <c r="K40" s="2705"/>
      <c r="L40" s="2705"/>
      <c r="M40" s="2705"/>
      <c r="N40" s="1359"/>
      <c r="O40" s="1388"/>
      <c r="P40" s="1383"/>
      <c r="Q40" s="1383"/>
    </row>
    <row r="41" spans="1:66" ht="69.75" customHeight="1">
      <c r="A41" s="1426"/>
      <c r="B41" s="2807" t="s">
        <v>1648</v>
      </c>
      <c r="C41" s="2808"/>
      <c r="D41" s="2808"/>
      <c r="E41" s="2808"/>
      <c r="F41" s="2808"/>
      <c r="G41" s="2692"/>
      <c r="H41" s="2692"/>
      <c r="I41" s="2705"/>
      <c r="J41" s="2705"/>
      <c r="K41" s="2705"/>
      <c r="L41" s="2705"/>
      <c r="M41" s="2705"/>
      <c r="N41" s="1359"/>
      <c r="O41" s="1388"/>
      <c r="P41" s="1383"/>
      <c r="Q41" s="1383"/>
    </row>
    <row r="42" spans="1:66" ht="64.5" customHeight="1">
      <c r="A42" s="1426"/>
      <c r="B42" s="2693" t="s">
        <v>2557</v>
      </c>
      <c r="C42" s="2694"/>
      <c r="D42" s="2694"/>
      <c r="E42" s="2694"/>
      <c r="F42" s="2694"/>
      <c r="G42" s="2692"/>
      <c r="H42" s="2692"/>
      <c r="I42" s="2705"/>
      <c r="J42" s="2705"/>
      <c r="K42" s="2705"/>
      <c r="L42" s="2705"/>
      <c r="M42" s="2705"/>
      <c r="N42" s="1359"/>
      <c r="O42" s="1388"/>
      <c r="P42" s="1383"/>
      <c r="Q42" s="1383"/>
    </row>
    <row r="43" spans="1:66" ht="60" customHeight="1">
      <c r="B43" s="2807" t="s">
        <v>1649</v>
      </c>
      <c r="C43" s="2808"/>
      <c r="D43" s="2808"/>
      <c r="E43" s="2808"/>
      <c r="F43" s="2808"/>
      <c r="G43" s="2692"/>
      <c r="H43" s="2692"/>
      <c r="I43" s="2705"/>
      <c r="J43" s="2705"/>
      <c r="K43" s="2705"/>
      <c r="L43" s="2705"/>
      <c r="M43" s="2705"/>
      <c r="N43" s="1359"/>
      <c r="O43" s="1388"/>
      <c r="P43" s="1383"/>
      <c r="Q43" s="1383"/>
    </row>
    <row r="44" spans="1:66" ht="29.25" customHeight="1">
      <c r="A44" s="1535"/>
      <c r="B44" s="2675" t="s">
        <v>1650</v>
      </c>
      <c r="C44" s="2675"/>
      <c r="D44" s="2675"/>
      <c r="E44" s="2675"/>
      <c r="F44" s="2675"/>
      <c r="G44" s="2734"/>
      <c r="H44" s="2734"/>
      <c r="I44" s="2734"/>
      <c r="J44" s="2734"/>
      <c r="K44" s="2734"/>
      <c r="L44" s="2734"/>
      <c r="M44" s="2734"/>
      <c r="N44" s="2734"/>
      <c r="O44" s="2752"/>
      <c r="P44" s="1383"/>
      <c r="Q44" s="1383"/>
    </row>
    <row r="45" spans="1:66" s="1539" customFormat="1" ht="15.75">
      <c r="A45" s="1665"/>
      <c r="B45" s="2810" t="s">
        <v>1651</v>
      </c>
      <c r="C45" s="2811"/>
      <c r="D45" s="2811"/>
      <c r="E45" s="2811"/>
      <c r="F45" s="2811"/>
      <c r="G45" s="2688"/>
      <c r="H45" s="2688"/>
      <c r="I45" s="2688"/>
      <c r="J45" s="2688"/>
      <c r="K45" s="2688"/>
      <c r="L45" s="2688"/>
      <c r="M45" s="2688"/>
      <c r="N45" s="2688"/>
      <c r="O45" s="2688"/>
      <c r="P45" s="2688"/>
      <c r="Q45" s="2689"/>
      <c r="R45" s="1540"/>
      <c r="S45" s="1540"/>
      <c r="T45" s="1540"/>
      <c r="U45" s="1540"/>
      <c r="V45" s="1540"/>
      <c r="W45" s="1540"/>
      <c r="X45" s="1540"/>
      <c r="Y45" s="1540"/>
      <c r="Z45" s="1540"/>
      <c r="AA45" s="1540"/>
      <c r="AB45" s="1540"/>
      <c r="AC45" s="1540"/>
      <c r="AD45" s="1540"/>
      <c r="AE45" s="1540"/>
      <c r="AF45" s="1540"/>
      <c r="AG45" s="1540"/>
      <c r="AH45" s="1540"/>
      <c r="AI45" s="1540"/>
      <c r="AJ45" s="1540"/>
      <c r="AK45" s="1540"/>
      <c r="AL45" s="1540"/>
      <c r="AM45" s="1540"/>
      <c r="AN45" s="1540"/>
      <c r="AO45" s="1540"/>
      <c r="AP45" s="1540"/>
      <c r="AQ45" s="1540"/>
      <c r="AR45" s="1540"/>
      <c r="AS45" s="1540"/>
      <c r="AT45" s="1540"/>
      <c r="AU45" s="1540"/>
      <c r="AV45" s="1540"/>
      <c r="AW45" s="1540"/>
      <c r="AX45" s="1540"/>
      <c r="AY45" s="1540"/>
      <c r="AZ45" s="1540"/>
      <c r="BA45" s="1540"/>
      <c r="BB45" s="1540"/>
      <c r="BC45" s="1540"/>
      <c r="BD45" s="1540"/>
      <c r="BE45" s="1540"/>
      <c r="BF45" s="1540"/>
      <c r="BG45" s="1540"/>
      <c r="BH45" s="1540"/>
      <c r="BI45" s="1540"/>
      <c r="BJ45" s="1540"/>
      <c r="BK45" s="1540"/>
      <c r="BL45" s="1540"/>
      <c r="BM45" s="1540"/>
      <c r="BN45" s="1540"/>
    </row>
    <row r="46" spans="1:66" ht="66.75" customHeight="1">
      <c r="A46" s="1541"/>
      <c r="B46" s="2690" t="s">
        <v>1652</v>
      </c>
      <c r="C46" s="2691"/>
      <c r="D46" s="2691"/>
      <c r="E46" s="2691"/>
      <c r="F46" s="2691"/>
      <c r="G46" s="2692"/>
      <c r="H46" s="2692"/>
      <c r="I46" s="2705"/>
      <c r="J46" s="2705"/>
      <c r="K46" s="2705"/>
      <c r="L46" s="2705"/>
      <c r="M46" s="2705"/>
      <c r="N46" s="1359"/>
      <c r="O46" s="1388"/>
      <c r="P46" s="1383"/>
      <c r="Q46" s="1383"/>
    </row>
    <row r="47" spans="1:66" ht="42" customHeight="1">
      <c r="A47" s="1541"/>
      <c r="B47" s="2690" t="s">
        <v>1653</v>
      </c>
      <c r="C47" s="2691"/>
      <c r="D47" s="2691"/>
      <c r="E47" s="2691"/>
      <c r="F47" s="2691"/>
      <c r="G47" s="2692"/>
      <c r="H47" s="2692"/>
      <c r="I47" s="2705"/>
      <c r="J47" s="2705"/>
      <c r="K47" s="2705"/>
      <c r="L47" s="2705"/>
      <c r="M47" s="2705"/>
      <c r="N47" s="1359"/>
      <c r="O47" s="1388"/>
      <c r="P47" s="1383"/>
      <c r="Q47" s="1383"/>
    </row>
    <row r="48" spans="1:66" ht="43.5" customHeight="1">
      <c r="B48" s="2693" t="s">
        <v>2206</v>
      </c>
      <c r="C48" s="2694"/>
      <c r="D48" s="2694"/>
      <c r="E48" s="2694"/>
      <c r="F48" s="2694"/>
      <c r="G48" s="2692"/>
      <c r="H48" s="2692"/>
      <c r="I48" s="2705"/>
      <c r="J48" s="2705"/>
      <c r="K48" s="2705"/>
      <c r="L48" s="2705"/>
      <c r="M48" s="2705"/>
      <c r="N48" s="1359"/>
      <c r="O48" s="1388"/>
      <c r="P48" s="1383"/>
      <c r="Q48" s="1383"/>
    </row>
    <row r="49" spans="1:73" ht="54.75" customHeight="1">
      <c r="A49" s="1426"/>
      <c r="B49" s="2807" t="s">
        <v>1654</v>
      </c>
      <c r="C49" s="2808"/>
      <c r="D49" s="2808"/>
      <c r="E49" s="2808"/>
      <c r="F49" s="2808"/>
      <c r="G49" s="2692"/>
      <c r="H49" s="2692"/>
      <c r="I49" s="2705"/>
      <c r="J49" s="2705"/>
      <c r="K49" s="2705"/>
      <c r="L49" s="2705"/>
      <c r="M49" s="2705"/>
      <c r="N49" s="1359"/>
      <c r="O49" s="1388"/>
      <c r="P49" s="1383"/>
      <c r="Q49" s="1383"/>
    </row>
    <row r="50" spans="1:73" ht="107.25" customHeight="1">
      <c r="B50" s="2675" t="s">
        <v>2205</v>
      </c>
      <c r="C50" s="2675"/>
      <c r="D50" s="2675"/>
      <c r="E50" s="2675"/>
      <c r="F50" s="2693"/>
      <c r="G50" s="2692"/>
      <c r="H50" s="2692"/>
      <c r="I50" s="2705"/>
      <c r="J50" s="2705"/>
      <c r="K50" s="2705"/>
      <c r="L50" s="2705"/>
      <c r="M50" s="2705"/>
      <c r="N50" s="1359"/>
      <c r="O50" s="1388"/>
      <c r="P50" s="1383"/>
      <c r="Q50" s="1383"/>
    </row>
    <row r="51" spans="1:73" ht="57" customHeight="1">
      <c r="A51" s="1426"/>
      <c r="B51" s="2675" t="s">
        <v>1655</v>
      </c>
      <c r="C51" s="2843"/>
      <c r="D51" s="2843"/>
      <c r="E51" s="2843"/>
      <c r="F51" s="2844"/>
      <c r="G51" s="2692"/>
      <c r="H51" s="2692"/>
      <c r="I51" s="2705"/>
      <c r="J51" s="2705"/>
      <c r="K51" s="2705"/>
      <c r="L51" s="2705"/>
      <c r="M51" s="2705"/>
      <c r="N51" s="1359"/>
      <c r="O51" s="1388"/>
      <c r="P51" s="1383"/>
      <c r="Q51" s="1383"/>
    </row>
    <row r="52" spans="1:73" ht="201.75" customHeight="1">
      <c r="A52" s="1535"/>
      <c r="B52" s="2693" t="s">
        <v>2204</v>
      </c>
      <c r="C52" s="2694"/>
      <c r="D52" s="2694"/>
      <c r="E52" s="2694"/>
      <c r="F52" s="2699"/>
      <c r="G52" s="2692"/>
      <c r="H52" s="2692"/>
      <c r="I52" s="2705"/>
      <c r="J52" s="2705"/>
      <c r="K52" s="2705"/>
      <c r="L52" s="2705"/>
      <c r="M52" s="2705"/>
      <c r="N52" s="1359"/>
      <c r="O52" s="1388"/>
      <c r="P52" s="1383"/>
      <c r="Q52" s="1383"/>
    </row>
    <row r="53" spans="1:73" ht="65.099999999999994" customHeight="1">
      <c r="A53" s="1542"/>
      <c r="B53" s="2693" t="s">
        <v>2203</v>
      </c>
      <c r="C53" s="2694"/>
      <c r="D53" s="2694"/>
      <c r="E53" s="2694"/>
      <c r="F53" s="2694"/>
      <c r="G53" s="2692"/>
      <c r="H53" s="2692"/>
      <c r="I53" s="2705"/>
      <c r="J53" s="2705"/>
      <c r="K53" s="2705"/>
      <c r="L53" s="2705"/>
      <c r="M53" s="2705"/>
      <c r="N53" s="1359"/>
      <c r="O53" s="1388"/>
      <c r="P53" s="1383"/>
      <c r="Q53" s="1383"/>
    </row>
    <row r="54" spans="1:73" s="1426" customFormat="1" ht="38.25" customHeight="1">
      <c r="A54" s="1426" t="s">
        <v>1656</v>
      </c>
      <c r="B54" s="2675" t="s">
        <v>1657</v>
      </c>
      <c r="C54" s="2675"/>
      <c r="D54" s="2675"/>
      <c r="E54" s="2675"/>
      <c r="F54" s="2675"/>
      <c r="G54" s="2734"/>
      <c r="H54" s="2734"/>
      <c r="I54" s="2734"/>
      <c r="J54" s="2734"/>
      <c r="K54" s="2734"/>
      <c r="L54" s="2734"/>
      <c r="M54" s="2734"/>
      <c r="N54" s="2734"/>
      <c r="O54" s="2840"/>
      <c r="P54" s="1383"/>
      <c r="Q54" s="1370"/>
    </row>
    <row r="55" spans="1:73" s="1539" customFormat="1" ht="15.75">
      <c r="A55" s="1540"/>
      <c r="B55" s="2819" t="s">
        <v>1173</v>
      </c>
      <c r="C55" s="2820"/>
      <c r="D55" s="2820"/>
      <c r="E55" s="2820"/>
      <c r="F55" s="2820"/>
      <c r="G55" s="2688"/>
      <c r="H55" s="2688"/>
      <c r="I55" s="2688"/>
      <c r="J55" s="2688"/>
      <c r="K55" s="2688"/>
      <c r="L55" s="2688"/>
      <c r="M55" s="2688"/>
      <c r="N55" s="2688"/>
      <c r="O55" s="2688"/>
      <c r="P55" s="2688"/>
      <c r="Q55" s="2689"/>
      <c r="R55" s="1540"/>
      <c r="S55" s="1540"/>
      <c r="T55" s="1540"/>
      <c r="U55" s="1540"/>
      <c r="V55" s="1540"/>
      <c r="W55" s="1540"/>
      <c r="X55" s="1540"/>
      <c r="Y55" s="1540"/>
      <c r="Z55" s="1540"/>
      <c r="AA55" s="1540"/>
      <c r="AB55" s="1540"/>
      <c r="AC55" s="1540"/>
      <c r="AD55" s="1540"/>
      <c r="AE55" s="1540"/>
      <c r="AF55" s="1540"/>
      <c r="AG55" s="1540"/>
      <c r="AH55" s="1540"/>
      <c r="AI55" s="1540"/>
      <c r="AJ55" s="1540"/>
      <c r="AK55" s="1540"/>
      <c r="AL55" s="1540"/>
      <c r="AM55" s="1540"/>
      <c r="AN55" s="1540"/>
      <c r="AO55" s="1540"/>
      <c r="AP55" s="1540"/>
      <c r="AQ55" s="1540"/>
      <c r="AR55" s="1540"/>
      <c r="AS55" s="1540"/>
      <c r="AT55" s="1540"/>
      <c r="AU55" s="1540"/>
      <c r="AV55" s="1540"/>
      <c r="AW55" s="1540"/>
      <c r="AX55" s="1540"/>
      <c r="AY55" s="1540"/>
      <c r="AZ55" s="1540"/>
      <c r="BA55" s="1540"/>
      <c r="BB55" s="1540"/>
      <c r="BC55" s="1540"/>
      <c r="BD55" s="1540"/>
      <c r="BE55" s="1540"/>
      <c r="BF55" s="1540"/>
      <c r="BG55" s="1540"/>
      <c r="BH55" s="1540"/>
      <c r="BI55" s="1540"/>
      <c r="BJ55" s="1540"/>
      <c r="BK55" s="1540"/>
      <c r="BL55" s="1540"/>
      <c r="BM55" s="1540"/>
      <c r="BN55" s="1540"/>
    </row>
    <row r="56" spans="1:73" ht="43.5" customHeight="1">
      <c r="B56" s="2675" t="s">
        <v>2202</v>
      </c>
      <c r="C56" s="2841"/>
      <c r="D56" s="2841"/>
      <c r="E56" s="2841"/>
      <c r="F56" s="2842"/>
      <c r="G56" s="2692"/>
      <c r="H56" s="2692"/>
      <c r="I56" s="2705"/>
      <c r="J56" s="2705"/>
      <c r="K56" s="2705"/>
      <c r="L56" s="2705"/>
      <c r="M56" s="2705"/>
      <c r="N56" s="1359"/>
      <c r="O56" s="1388"/>
      <c r="P56" s="1383"/>
      <c r="Q56" s="1383"/>
    </row>
    <row r="57" spans="1:73" ht="43.5" customHeight="1">
      <c r="A57" s="1535"/>
      <c r="B57" s="2693" t="s">
        <v>1658</v>
      </c>
      <c r="C57" s="2694"/>
      <c r="D57" s="2694"/>
      <c r="E57" s="2694"/>
      <c r="F57" s="2694"/>
      <c r="G57" s="2692"/>
      <c r="H57" s="2692"/>
      <c r="I57" s="2705"/>
      <c r="J57" s="2705"/>
      <c r="K57" s="2705"/>
      <c r="L57" s="2705"/>
      <c r="M57" s="2705"/>
      <c r="N57" s="1359"/>
      <c r="O57" s="1388"/>
      <c r="P57" s="1383"/>
      <c r="Q57" s="1383"/>
    </row>
    <row r="58" spans="1:73" ht="43.5" customHeight="1">
      <c r="B58" s="2675" t="s">
        <v>2201</v>
      </c>
      <c r="C58" s="2675"/>
      <c r="D58" s="2675"/>
      <c r="E58" s="2675"/>
      <c r="F58" s="2675"/>
      <c r="G58" s="2734"/>
      <c r="H58" s="2734"/>
      <c r="I58" s="2734"/>
      <c r="J58" s="2734"/>
      <c r="K58" s="2734"/>
      <c r="L58" s="2734"/>
      <c r="M58" s="2734"/>
      <c r="N58" s="2734"/>
      <c r="O58" s="2752"/>
      <c r="P58" s="1383"/>
      <c r="Q58" s="1383"/>
    </row>
    <row r="59" spans="1:73" ht="55.5" customHeight="1">
      <c r="A59" s="1426"/>
      <c r="B59" s="2675" t="s">
        <v>2558</v>
      </c>
      <c r="C59" s="2675"/>
      <c r="D59" s="2675"/>
      <c r="E59" s="2675"/>
      <c r="F59" s="2675"/>
      <c r="G59" s="2675"/>
      <c r="H59" s="2675"/>
      <c r="I59" s="2675"/>
      <c r="J59" s="2675"/>
      <c r="K59" s="2675"/>
      <c r="L59" s="2675"/>
      <c r="M59" s="2675"/>
      <c r="N59" s="2675"/>
      <c r="O59" s="2693"/>
      <c r="P59" s="1383"/>
      <c r="Q59" s="1383"/>
    </row>
    <row r="60" spans="1:73" ht="45" customHeight="1">
      <c r="A60" s="1535"/>
      <c r="B60" s="2695" t="s">
        <v>1659</v>
      </c>
      <c r="C60" s="2695"/>
      <c r="D60" s="2695"/>
      <c r="E60" s="2695"/>
      <c r="F60" s="2695"/>
      <c r="G60" s="2695"/>
      <c r="H60" s="2695"/>
      <c r="I60" s="2695"/>
      <c r="J60" s="2695"/>
      <c r="K60" s="2695"/>
      <c r="L60" s="2695"/>
      <c r="M60" s="2695"/>
      <c r="N60" s="2695"/>
      <c r="O60" s="2698"/>
      <c r="P60" s="1383"/>
      <c r="Q60" s="1383"/>
    </row>
    <row r="61" spans="1:73">
      <c r="U61" s="1426"/>
    </row>
    <row r="62" spans="1:73">
      <c r="B62" s="1068" t="s">
        <v>2200</v>
      </c>
      <c r="C62" s="790"/>
      <c r="D62" s="790"/>
      <c r="E62" s="790"/>
      <c r="F62" s="790"/>
      <c r="G62" s="790"/>
      <c r="H62" s="1676"/>
      <c r="I62" s="790"/>
      <c r="J62" s="790"/>
      <c r="K62" s="790"/>
      <c r="U62" s="1426"/>
    </row>
    <row r="63" spans="1:73">
      <c r="U63" s="1426"/>
    </row>
    <row r="64" spans="1:73" s="1552" customFormat="1" ht="91.5" customHeight="1">
      <c r="A64" s="1675"/>
      <c r="B64" s="1325" t="s">
        <v>1625</v>
      </c>
      <c r="C64" s="1325" t="s">
        <v>1626</v>
      </c>
      <c r="D64" s="1325" t="s">
        <v>1627</v>
      </c>
      <c r="E64" s="1325" t="s">
        <v>1628</v>
      </c>
      <c r="F64" s="2802" t="s">
        <v>1629</v>
      </c>
      <c r="G64" s="2803"/>
      <c r="H64" s="1373" t="s">
        <v>1630</v>
      </c>
      <c r="I64" s="1663" t="s">
        <v>2199</v>
      </c>
      <c r="J64" s="1663" t="s">
        <v>2181</v>
      </c>
      <c r="K64" s="1663" t="s">
        <v>2198</v>
      </c>
      <c r="L64" s="2608" t="s">
        <v>2197</v>
      </c>
      <c r="M64" s="2608"/>
      <c r="N64" s="2608" t="s">
        <v>1631</v>
      </c>
      <c r="O64" s="2608"/>
      <c r="P64" s="2802" t="s">
        <v>698</v>
      </c>
      <c r="Q64" s="2803"/>
      <c r="R64" s="1529"/>
      <c r="T64" s="1529"/>
      <c r="U64" s="1529"/>
      <c r="V64" s="1529"/>
      <c r="W64" s="1529"/>
      <c r="X64" s="1529"/>
      <c r="Y64" s="1529"/>
      <c r="Z64" s="1529"/>
      <c r="AA64" s="1529"/>
      <c r="AB64" s="1529"/>
      <c r="AC64" s="1529"/>
      <c r="AD64" s="1529"/>
      <c r="AE64" s="1529"/>
      <c r="AF64" s="1529"/>
      <c r="AG64" s="1529"/>
      <c r="AH64" s="1529"/>
      <c r="AI64" s="1529"/>
      <c r="AJ64" s="1529"/>
      <c r="AK64" s="1529"/>
      <c r="AL64" s="1529"/>
      <c r="AM64" s="1529"/>
      <c r="AN64" s="1529"/>
      <c r="AO64" s="1529"/>
      <c r="AP64" s="1529"/>
      <c r="AQ64" s="1529"/>
      <c r="AR64" s="1529"/>
      <c r="AS64" s="1529"/>
      <c r="AT64" s="1529"/>
      <c r="AU64" s="1529"/>
      <c r="AV64" s="1529"/>
      <c r="AW64" s="1529"/>
      <c r="AX64" s="1529"/>
      <c r="AY64" s="1529"/>
      <c r="AZ64" s="1529"/>
      <c r="BA64" s="1529"/>
      <c r="BB64" s="1529"/>
      <c r="BC64" s="1529"/>
      <c r="BD64" s="1529"/>
      <c r="BE64" s="1529"/>
      <c r="BF64" s="1529"/>
      <c r="BG64" s="1529"/>
      <c r="BH64" s="1529"/>
      <c r="BI64" s="1529"/>
      <c r="BJ64" s="1529"/>
      <c r="BK64" s="1529"/>
      <c r="BL64" s="1529"/>
      <c r="BM64" s="1529"/>
      <c r="BN64" s="1529"/>
      <c r="BO64" s="1529"/>
      <c r="BP64" s="1529"/>
      <c r="BQ64" s="1529"/>
      <c r="BR64" s="1529"/>
      <c r="BS64" s="1529"/>
      <c r="BT64" s="1529"/>
      <c r="BU64" s="1529"/>
    </row>
    <row r="65" spans="1:73" s="1552" customFormat="1" ht="29.25" customHeight="1">
      <c r="A65" s="1529"/>
      <c r="B65" s="1385"/>
      <c r="C65" s="1385"/>
      <c r="D65" s="1350"/>
      <c r="E65" s="1350"/>
      <c r="F65" s="2829"/>
      <c r="G65" s="2830"/>
      <c r="H65" s="1374"/>
      <c r="I65" s="1660">
        <f t="shared" ref="I65:I73" si="0">4*(F65/100)</f>
        <v>0</v>
      </c>
      <c r="J65" s="1659"/>
      <c r="K65" s="1660">
        <f t="shared" ref="K65:K73" si="1">8*(F65/100)</f>
        <v>0</v>
      </c>
      <c r="L65" s="2822"/>
      <c r="M65" s="2823"/>
      <c r="N65" s="2824" t="e">
        <f t="shared" ref="N65:N73" si="2">L65/F65</f>
        <v>#DIV/0!</v>
      </c>
      <c r="O65" s="2824"/>
      <c r="P65" s="2825"/>
      <c r="Q65" s="2826"/>
      <c r="R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29"/>
      <c r="BF65" s="1529"/>
      <c r="BG65" s="1529"/>
      <c r="BH65" s="1529"/>
      <c r="BI65" s="1529"/>
      <c r="BJ65" s="1529"/>
      <c r="BK65" s="1529"/>
      <c r="BL65" s="1529"/>
      <c r="BM65" s="1529"/>
      <c r="BN65" s="1529"/>
      <c r="BO65" s="1529"/>
      <c r="BP65" s="1529"/>
      <c r="BQ65" s="1529"/>
      <c r="BR65" s="1529"/>
      <c r="BS65" s="1529"/>
      <c r="BT65" s="1529"/>
      <c r="BU65" s="1529"/>
    </row>
    <row r="66" spans="1:73" s="1552" customFormat="1" ht="29.25" customHeight="1">
      <c r="A66" s="1529"/>
      <c r="B66" s="1385"/>
      <c r="C66" s="1385"/>
      <c r="D66" s="1350"/>
      <c r="E66" s="1350"/>
      <c r="F66" s="2829"/>
      <c r="G66" s="2830"/>
      <c r="H66" s="1374"/>
      <c r="I66" s="1660">
        <f t="shared" si="0"/>
        <v>0</v>
      </c>
      <c r="J66" s="1659"/>
      <c r="K66" s="1660">
        <f t="shared" si="1"/>
        <v>0</v>
      </c>
      <c r="L66" s="2822"/>
      <c r="M66" s="2823"/>
      <c r="N66" s="2824" t="e">
        <f t="shared" si="2"/>
        <v>#DIV/0!</v>
      </c>
      <c r="O66" s="2824"/>
      <c r="P66" s="2825"/>
      <c r="Q66" s="2826"/>
      <c r="R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29"/>
      <c r="BF66" s="1529"/>
      <c r="BG66" s="1529"/>
      <c r="BH66" s="1529"/>
      <c r="BI66" s="1529"/>
      <c r="BJ66" s="1529"/>
      <c r="BK66" s="1529"/>
      <c r="BL66" s="1529"/>
      <c r="BM66" s="1529"/>
      <c r="BN66" s="1529"/>
      <c r="BO66" s="1529"/>
      <c r="BP66" s="1529"/>
      <c r="BQ66" s="1529"/>
      <c r="BR66" s="1529"/>
      <c r="BS66" s="1529"/>
      <c r="BT66" s="1529"/>
      <c r="BU66" s="1529"/>
    </row>
    <row r="67" spans="1:73" s="1552" customFormat="1" ht="29.25" customHeight="1">
      <c r="A67" s="1529"/>
      <c r="B67" s="1385"/>
      <c r="C67" s="1385"/>
      <c r="D67" s="1350"/>
      <c r="E67" s="1350"/>
      <c r="F67" s="2829"/>
      <c r="G67" s="2830"/>
      <c r="H67" s="1374"/>
      <c r="I67" s="1660">
        <f t="shared" si="0"/>
        <v>0</v>
      </c>
      <c r="J67" s="1659"/>
      <c r="K67" s="1660">
        <f t="shared" si="1"/>
        <v>0</v>
      </c>
      <c r="L67" s="2822"/>
      <c r="M67" s="2823"/>
      <c r="N67" s="2824" t="e">
        <f t="shared" si="2"/>
        <v>#DIV/0!</v>
      </c>
      <c r="O67" s="2824"/>
      <c r="P67" s="2825"/>
      <c r="Q67" s="2826"/>
      <c r="R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29"/>
      <c r="BF67" s="1529"/>
      <c r="BG67" s="1529"/>
      <c r="BH67" s="1529"/>
      <c r="BI67" s="1529"/>
      <c r="BJ67" s="1529"/>
      <c r="BK67" s="1529"/>
      <c r="BL67" s="1529"/>
      <c r="BM67" s="1529"/>
      <c r="BN67" s="1529"/>
      <c r="BO67" s="1529"/>
      <c r="BP67" s="1529"/>
      <c r="BQ67" s="1529"/>
      <c r="BR67" s="1529"/>
      <c r="BS67" s="1529"/>
      <c r="BT67" s="1529"/>
      <c r="BU67" s="1529"/>
    </row>
    <row r="68" spans="1:73" s="1661" customFormat="1" ht="29.25" customHeight="1">
      <c r="A68" s="1540"/>
      <c r="B68" s="1385"/>
      <c r="C68" s="1385"/>
      <c r="D68" s="1350"/>
      <c r="E68" s="1350"/>
      <c r="F68" s="2829"/>
      <c r="G68" s="2830"/>
      <c r="H68" s="1374"/>
      <c r="I68" s="1660">
        <f t="shared" si="0"/>
        <v>0</v>
      </c>
      <c r="J68" s="1659"/>
      <c r="K68" s="1660">
        <f t="shared" si="1"/>
        <v>0</v>
      </c>
      <c r="L68" s="2822"/>
      <c r="M68" s="2823"/>
      <c r="N68" s="2824" t="e">
        <f t="shared" si="2"/>
        <v>#DIV/0!</v>
      </c>
      <c r="O68" s="2824"/>
      <c r="P68" s="2825"/>
      <c r="Q68" s="2826"/>
      <c r="R68" s="1540"/>
      <c r="T68" s="1540"/>
      <c r="U68" s="1540"/>
      <c r="V68" s="1540"/>
      <c r="W68" s="1540"/>
      <c r="X68" s="1540"/>
      <c r="Y68" s="1540"/>
      <c r="Z68" s="1540"/>
      <c r="AA68" s="1540"/>
      <c r="AB68" s="1540"/>
      <c r="AC68" s="1540"/>
      <c r="AD68" s="1540"/>
      <c r="AE68" s="1540"/>
      <c r="AF68" s="1540"/>
      <c r="AG68" s="1540"/>
      <c r="AH68" s="1540"/>
      <c r="AI68" s="1540"/>
      <c r="AJ68" s="1540"/>
      <c r="AK68" s="1540"/>
      <c r="AL68" s="1540"/>
      <c r="AM68" s="1540"/>
      <c r="AN68" s="1540"/>
      <c r="AO68" s="1540"/>
      <c r="AP68" s="1540"/>
      <c r="AQ68" s="1540"/>
      <c r="AR68" s="1540"/>
      <c r="AS68" s="1540"/>
      <c r="AT68" s="1540"/>
      <c r="AU68" s="1540"/>
      <c r="AV68" s="1540"/>
      <c r="AW68" s="1540"/>
      <c r="AX68" s="1540"/>
      <c r="AY68" s="1540"/>
      <c r="AZ68" s="1540"/>
      <c r="BA68" s="1540"/>
      <c r="BB68" s="1540"/>
      <c r="BC68" s="1540"/>
      <c r="BD68" s="1540"/>
      <c r="BE68" s="1540"/>
      <c r="BF68" s="1540"/>
      <c r="BG68" s="1540"/>
      <c r="BH68" s="1540"/>
      <c r="BI68" s="1540"/>
      <c r="BJ68" s="1540"/>
      <c r="BK68" s="1540"/>
      <c r="BL68" s="1540"/>
      <c r="BM68" s="1540"/>
      <c r="BN68" s="1540"/>
      <c r="BO68" s="1540"/>
      <c r="BP68" s="1540"/>
      <c r="BQ68" s="1540"/>
      <c r="BR68" s="1540"/>
      <c r="BS68" s="1540"/>
      <c r="BT68" s="1540"/>
      <c r="BU68" s="1540"/>
    </row>
    <row r="69" spans="1:73" ht="29.25" customHeight="1">
      <c r="A69" s="795"/>
      <c r="B69" s="1385"/>
      <c r="C69" s="1385"/>
      <c r="D69" s="1350"/>
      <c r="E69" s="1350"/>
      <c r="F69" s="2829"/>
      <c r="G69" s="2830"/>
      <c r="H69" s="1374"/>
      <c r="I69" s="1660">
        <f t="shared" si="0"/>
        <v>0</v>
      </c>
      <c r="J69" s="1659"/>
      <c r="K69" s="1660">
        <f t="shared" si="1"/>
        <v>0</v>
      </c>
      <c r="L69" s="2822"/>
      <c r="M69" s="2823"/>
      <c r="N69" s="2824" t="e">
        <f t="shared" si="2"/>
        <v>#DIV/0!</v>
      </c>
      <c r="O69" s="2824"/>
      <c r="P69" s="2825"/>
      <c r="Q69" s="2826"/>
      <c r="R69" s="795"/>
      <c r="T69" s="795"/>
      <c r="U69" s="795"/>
      <c r="V69" s="795"/>
      <c r="W69" s="795"/>
      <c r="X69" s="795"/>
      <c r="Y69" s="795"/>
      <c r="Z69" s="795"/>
      <c r="AA69" s="795"/>
      <c r="AB69" s="795"/>
      <c r="AC69" s="795"/>
      <c r="AD69" s="795"/>
      <c r="AE69" s="795"/>
      <c r="AF69" s="795"/>
      <c r="AG69" s="795"/>
      <c r="AH69" s="795"/>
      <c r="AI69" s="795"/>
      <c r="AJ69" s="795"/>
      <c r="AK69" s="795"/>
      <c r="AL69" s="795"/>
      <c r="AM69" s="795"/>
      <c r="AN69" s="795"/>
      <c r="AO69" s="795"/>
      <c r="AP69" s="795"/>
      <c r="AQ69" s="795"/>
      <c r="AR69" s="795"/>
      <c r="AS69" s="795"/>
      <c r="AT69" s="795"/>
      <c r="AU69" s="795"/>
      <c r="AV69" s="795"/>
      <c r="AW69" s="795"/>
      <c r="AX69" s="795"/>
      <c r="AY69" s="795"/>
      <c r="AZ69" s="795"/>
      <c r="BA69" s="795"/>
      <c r="BB69" s="795"/>
      <c r="BC69" s="795"/>
      <c r="BD69" s="795"/>
      <c r="BE69" s="795"/>
      <c r="BF69" s="795"/>
      <c r="BG69" s="795"/>
      <c r="BH69" s="795"/>
      <c r="BI69" s="795"/>
      <c r="BJ69" s="795"/>
      <c r="BK69" s="795"/>
      <c r="BL69" s="795"/>
      <c r="BM69" s="795"/>
      <c r="BN69" s="795"/>
      <c r="BO69" s="795"/>
      <c r="BP69" s="795"/>
      <c r="BQ69" s="795"/>
      <c r="BR69" s="795"/>
      <c r="BS69" s="795"/>
      <c r="BT69" s="795"/>
      <c r="BU69" s="795"/>
    </row>
    <row r="70" spans="1:73" ht="29.25" customHeight="1">
      <c r="A70" s="795"/>
      <c r="B70" s="1385"/>
      <c r="C70" s="1385"/>
      <c r="D70" s="1350"/>
      <c r="E70" s="1350"/>
      <c r="F70" s="2829"/>
      <c r="G70" s="2830"/>
      <c r="H70" s="1374"/>
      <c r="I70" s="1660">
        <f t="shared" si="0"/>
        <v>0</v>
      </c>
      <c r="J70" s="1659"/>
      <c r="K70" s="1660">
        <f t="shared" si="1"/>
        <v>0</v>
      </c>
      <c r="L70" s="2822"/>
      <c r="M70" s="2823"/>
      <c r="N70" s="2824" t="e">
        <f t="shared" si="2"/>
        <v>#DIV/0!</v>
      </c>
      <c r="O70" s="2824"/>
      <c r="P70" s="2825"/>
      <c r="Q70" s="2826"/>
      <c r="R70" s="795"/>
      <c r="T70" s="795"/>
      <c r="U70" s="795"/>
      <c r="V70" s="795"/>
      <c r="W70" s="795"/>
      <c r="X70" s="795"/>
      <c r="Y70" s="795"/>
      <c r="Z70" s="795"/>
      <c r="AA70" s="795"/>
      <c r="AB70" s="795"/>
      <c r="AC70" s="795"/>
      <c r="AD70" s="795"/>
      <c r="AE70" s="795"/>
      <c r="AF70" s="795"/>
      <c r="AG70" s="795"/>
      <c r="AH70" s="795"/>
      <c r="AI70" s="795"/>
      <c r="AJ70" s="795"/>
      <c r="AK70" s="795"/>
      <c r="AL70" s="795"/>
      <c r="AM70" s="795"/>
      <c r="AN70" s="795"/>
      <c r="AO70" s="795"/>
      <c r="AP70" s="795"/>
      <c r="AQ70" s="795"/>
      <c r="AR70" s="795"/>
      <c r="AS70" s="795"/>
      <c r="AT70" s="795"/>
      <c r="AU70" s="795"/>
      <c r="AV70" s="795"/>
      <c r="AW70" s="795"/>
      <c r="AX70" s="795"/>
      <c r="AY70" s="795"/>
      <c r="AZ70" s="795"/>
      <c r="BA70" s="795"/>
      <c r="BB70" s="795"/>
      <c r="BC70" s="795"/>
      <c r="BD70" s="795"/>
      <c r="BE70" s="795"/>
      <c r="BF70" s="795"/>
      <c r="BG70" s="795"/>
      <c r="BH70" s="795"/>
      <c r="BI70" s="795"/>
      <c r="BJ70" s="795"/>
      <c r="BK70" s="795"/>
      <c r="BL70" s="795"/>
      <c r="BM70" s="795"/>
      <c r="BN70" s="795"/>
      <c r="BO70" s="795"/>
      <c r="BP70" s="795"/>
      <c r="BQ70" s="795"/>
      <c r="BR70" s="795"/>
      <c r="BS70" s="795"/>
      <c r="BT70" s="795"/>
      <c r="BU70" s="795"/>
    </row>
    <row r="71" spans="1:73" ht="29.25" customHeight="1">
      <c r="A71" s="795"/>
      <c r="B71" s="1385"/>
      <c r="C71" s="1385"/>
      <c r="D71" s="1350"/>
      <c r="E71" s="1350"/>
      <c r="F71" s="2829"/>
      <c r="G71" s="2830"/>
      <c r="H71" s="1374"/>
      <c r="I71" s="1660">
        <f t="shared" si="0"/>
        <v>0</v>
      </c>
      <c r="J71" s="1659"/>
      <c r="K71" s="1660">
        <f t="shared" si="1"/>
        <v>0</v>
      </c>
      <c r="L71" s="2822"/>
      <c r="M71" s="2823"/>
      <c r="N71" s="2824" t="e">
        <f t="shared" si="2"/>
        <v>#DIV/0!</v>
      </c>
      <c r="O71" s="2824"/>
      <c r="P71" s="2825"/>
      <c r="Q71" s="2826"/>
      <c r="R71" s="795"/>
      <c r="T71" s="795"/>
      <c r="U71" s="795"/>
      <c r="V71" s="795"/>
      <c r="W71" s="795"/>
      <c r="X71" s="795"/>
      <c r="Y71" s="795"/>
      <c r="Z71" s="795"/>
      <c r="AA71" s="795"/>
      <c r="AB71" s="795"/>
      <c r="AC71" s="795"/>
      <c r="AD71" s="795"/>
      <c r="AE71" s="795"/>
      <c r="AF71" s="795"/>
      <c r="AG71" s="795"/>
      <c r="AH71" s="795"/>
      <c r="AI71" s="795"/>
      <c r="AJ71" s="795"/>
      <c r="AK71" s="795"/>
      <c r="AL71" s="795"/>
      <c r="AM71" s="795"/>
      <c r="AN71" s="795"/>
      <c r="AO71" s="795"/>
      <c r="AP71" s="795"/>
      <c r="AQ71" s="795"/>
      <c r="AR71" s="795"/>
      <c r="AS71" s="795"/>
      <c r="AT71" s="795"/>
      <c r="AU71" s="795"/>
      <c r="AV71" s="795"/>
      <c r="AW71" s="795"/>
      <c r="AX71" s="795"/>
      <c r="AY71" s="795"/>
      <c r="AZ71" s="795"/>
      <c r="BA71" s="795"/>
      <c r="BB71" s="795"/>
      <c r="BC71" s="795"/>
      <c r="BD71" s="795"/>
      <c r="BE71" s="795"/>
      <c r="BF71" s="795"/>
      <c r="BG71" s="795"/>
      <c r="BH71" s="795"/>
      <c r="BI71" s="795"/>
      <c r="BJ71" s="795"/>
      <c r="BK71" s="795"/>
      <c r="BL71" s="795"/>
      <c r="BM71" s="795"/>
      <c r="BN71" s="795"/>
      <c r="BO71" s="795"/>
      <c r="BP71" s="795"/>
      <c r="BQ71" s="795"/>
      <c r="BR71" s="795"/>
      <c r="BS71" s="795"/>
      <c r="BT71" s="795"/>
      <c r="BU71" s="795"/>
    </row>
    <row r="72" spans="1:73" ht="29.25" customHeight="1">
      <c r="A72" s="795"/>
      <c r="B72" s="1385"/>
      <c r="C72" s="1385"/>
      <c r="D72" s="1350"/>
      <c r="E72" s="1350"/>
      <c r="F72" s="2829"/>
      <c r="G72" s="2830"/>
      <c r="H72" s="1374"/>
      <c r="I72" s="1660">
        <f t="shared" si="0"/>
        <v>0</v>
      </c>
      <c r="J72" s="1659"/>
      <c r="K72" s="1660">
        <f t="shared" si="1"/>
        <v>0</v>
      </c>
      <c r="L72" s="2822"/>
      <c r="M72" s="2823"/>
      <c r="N72" s="2824" t="e">
        <f t="shared" si="2"/>
        <v>#DIV/0!</v>
      </c>
      <c r="O72" s="2824"/>
      <c r="P72" s="2825"/>
      <c r="Q72" s="2826"/>
      <c r="R72" s="795"/>
      <c r="T72" s="795"/>
      <c r="U72" s="795"/>
      <c r="V72" s="795"/>
      <c r="W72" s="795"/>
      <c r="X72" s="795"/>
      <c r="Y72" s="795"/>
      <c r="Z72" s="795"/>
      <c r="AA72" s="795"/>
      <c r="AB72" s="795"/>
      <c r="AC72" s="795"/>
      <c r="AD72" s="795"/>
      <c r="AE72" s="795"/>
      <c r="AF72" s="795"/>
      <c r="AG72" s="795"/>
      <c r="AH72" s="795"/>
      <c r="AI72" s="795"/>
      <c r="AJ72" s="795"/>
      <c r="AK72" s="795"/>
      <c r="AL72" s="795"/>
      <c r="AM72" s="795"/>
      <c r="AN72" s="795"/>
      <c r="AO72" s="795"/>
      <c r="AP72" s="795"/>
      <c r="AQ72" s="795"/>
      <c r="AR72" s="795"/>
      <c r="AS72" s="795"/>
      <c r="AT72" s="795"/>
      <c r="AU72" s="795"/>
      <c r="AV72" s="795"/>
      <c r="AW72" s="795"/>
      <c r="AX72" s="795"/>
      <c r="AY72" s="795"/>
      <c r="AZ72" s="795"/>
      <c r="BA72" s="795"/>
      <c r="BB72" s="795"/>
      <c r="BC72" s="795"/>
      <c r="BD72" s="795"/>
      <c r="BE72" s="795"/>
      <c r="BF72" s="795"/>
      <c r="BG72" s="795"/>
      <c r="BH72" s="795"/>
      <c r="BI72" s="795"/>
      <c r="BJ72" s="795"/>
      <c r="BK72" s="795"/>
      <c r="BL72" s="795"/>
      <c r="BM72" s="795"/>
      <c r="BN72" s="795"/>
      <c r="BO72" s="795"/>
      <c r="BP72" s="795"/>
      <c r="BQ72" s="795"/>
      <c r="BR72" s="795"/>
      <c r="BS72" s="795"/>
      <c r="BT72" s="795"/>
      <c r="BU72" s="795"/>
    </row>
    <row r="73" spans="1:73" ht="29.25" customHeight="1">
      <c r="A73" s="795"/>
      <c r="B73" s="1385"/>
      <c r="C73" s="1385"/>
      <c r="D73" s="1350"/>
      <c r="E73" s="1350"/>
      <c r="F73" s="2829"/>
      <c r="G73" s="2830"/>
      <c r="H73" s="1374"/>
      <c r="I73" s="1660">
        <f t="shared" si="0"/>
        <v>0</v>
      </c>
      <c r="J73" s="1659"/>
      <c r="K73" s="1660">
        <f t="shared" si="1"/>
        <v>0</v>
      </c>
      <c r="L73" s="2822"/>
      <c r="M73" s="2823" t="e">
        <f>L73/(F73/100)</f>
        <v>#DIV/0!</v>
      </c>
      <c r="N73" s="2824" t="e">
        <f t="shared" si="2"/>
        <v>#DIV/0!</v>
      </c>
      <c r="O73" s="2824"/>
      <c r="P73" s="2825"/>
      <c r="Q73" s="2826"/>
      <c r="R73" s="795"/>
      <c r="T73" s="795"/>
      <c r="U73" s="795"/>
      <c r="V73" s="795"/>
      <c r="W73" s="795"/>
      <c r="X73" s="795"/>
      <c r="Y73" s="795"/>
      <c r="Z73" s="795"/>
      <c r="AA73" s="795"/>
      <c r="AB73" s="795"/>
      <c r="AC73" s="795"/>
      <c r="AD73" s="795"/>
      <c r="AE73" s="795"/>
      <c r="AF73" s="795"/>
      <c r="AG73" s="795"/>
      <c r="AH73" s="795"/>
      <c r="AI73" s="795"/>
      <c r="AJ73" s="795"/>
      <c r="AK73" s="795"/>
      <c r="AL73" s="795"/>
      <c r="AM73" s="795"/>
      <c r="AN73" s="795"/>
      <c r="AO73" s="795"/>
      <c r="AP73" s="795"/>
      <c r="AQ73" s="795"/>
      <c r="AR73" s="795"/>
      <c r="AS73" s="795"/>
      <c r="AT73" s="795"/>
      <c r="AU73" s="795"/>
      <c r="AV73" s="795"/>
      <c r="AW73" s="795"/>
      <c r="AX73" s="795"/>
      <c r="AY73" s="795"/>
      <c r="AZ73" s="795"/>
      <c r="BA73" s="795"/>
      <c r="BB73" s="795"/>
      <c r="BC73" s="795"/>
      <c r="BD73" s="795"/>
      <c r="BE73" s="795"/>
      <c r="BF73" s="795"/>
      <c r="BG73" s="795"/>
      <c r="BH73" s="795"/>
      <c r="BI73" s="795"/>
      <c r="BJ73" s="795"/>
      <c r="BK73" s="795"/>
      <c r="BL73" s="795"/>
      <c r="BM73" s="795"/>
      <c r="BN73" s="795"/>
      <c r="BO73" s="795"/>
      <c r="BP73" s="795"/>
      <c r="BQ73" s="795"/>
      <c r="BR73" s="795"/>
      <c r="BS73" s="795"/>
      <c r="BT73" s="795"/>
      <c r="BU73" s="795"/>
    </row>
    <row r="75" spans="1:73">
      <c r="F75" s="1662"/>
      <c r="G75" s="1662"/>
      <c r="H75" s="1662"/>
      <c r="I75" s="1662"/>
      <c r="J75" s="1662"/>
      <c r="K75" s="1662"/>
      <c r="L75" s="1662"/>
      <c r="M75" s="1662"/>
      <c r="N75" s="1662"/>
      <c r="O75" s="1662"/>
      <c r="P75" s="1662"/>
    </row>
    <row r="76" spans="1:73">
      <c r="B76" s="1674"/>
      <c r="C76" s="1674"/>
      <c r="D76" s="1674"/>
      <c r="E76" s="1674"/>
      <c r="F76" s="1673"/>
      <c r="G76" s="2827"/>
      <c r="H76" s="2827"/>
      <c r="I76" s="1674"/>
      <c r="J76" s="2828"/>
      <c r="K76" s="2828"/>
      <c r="L76" s="2827"/>
      <c r="M76" s="2827"/>
      <c r="N76" s="2827"/>
      <c r="O76" s="2827"/>
      <c r="P76" s="1673"/>
    </row>
    <row r="77" spans="1:73">
      <c r="C77" s="1662"/>
      <c r="D77" s="1662"/>
      <c r="E77" s="1662"/>
      <c r="F77" s="1662"/>
      <c r="G77" s="1662"/>
      <c r="H77" s="1662"/>
      <c r="I77" s="1662"/>
      <c r="J77" s="1662"/>
      <c r="K77" s="1662"/>
      <c r="L77" s="1662"/>
      <c r="M77" s="1662"/>
      <c r="N77" s="1662"/>
      <c r="O77" s="1662"/>
      <c r="P77" s="1662"/>
      <c r="Q77" s="1662"/>
    </row>
    <row r="78" spans="1:73">
      <c r="C78" s="1662"/>
      <c r="D78" s="1662"/>
      <c r="E78" s="1662"/>
      <c r="F78" s="1662"/>
      <c r="G78" s="1662"/>
      <c r="H78" s="1662"/>
      <c r="I78" s="1662"/>
      <c r="J78" s="1662"/>
      <c r="K78" s="1662"/>
      <c r="L78" s="1662"/>
      <c r="M78" s="1662"/>
      <c r="N78" s="1662"/>
      <c r="O78" s="1662"/>
      <c r="P78" s="1662"/>
      <c r="U78" s="1426" t="s">
        <v>362</v>
      </c>
    </row>
    <row r="79" spans="1:73">
      <c r="B79" s="1426"/>
      <c r="U79" s="1426" t="s">
        <v>364</v>
      </c>
    </row>
    <row r="80" spans="1:73">
      <c r="U80" s="1426" t="s">
        <v>363</v>
      </c>
    </row>
    <row r="180" spans="2:2" ht="18">
      <c r="B180" s="794"/>
    </row>
  </sheetData>
  <sheetProtection formatCells="0" formatColumns="0" formatRows="0" insertColumns="0" insertRows="0"/>
  <mergeCells count="125">
    <mergeCell ref="B60:O60"/>
    <mergeCell ref="B53:F53"/>
    <mergeCell ref="G53:M53"/>
    <mergeCell ref="G51:M51"/>
    <mergeCell ref="G56:M56"/>
    <mergeCell ref="B58:O58"/>
    <mergeCell ref="B55:Q55"/>
    <mergeCell ref="B49:F49"/>
    <mergeCell ref="B59:O59"/>
    <mergeCell ref="B52:F52"/>
    <mergeCell ref="G52:M52"/>
    <mergeCell ref="G57:M57"/>
    <mergeCell ref="G50:M50"/>
    <mergeCell ref="G49:M49"/>
    <mergeCell ref="B54:O54"/>
    <mergeCell ref="B57:F57"/>
    <mergeCell ref="B56:F56"/>
    <mergeCell ref="B51:F51"/>
    <mergeCell ref="B46:F46"/>
    <mergeCell ref="B50:F50"/>
    <mergeCell ref="G48:M48"/>
    <mergeCell ref="G36:M36"/>
    <mergeCell ref="B38:Q38"/>
    <mergeCell ref="B42:F42"/>
    <mergeCell ref="G47:M47"/>
    <mergeCell ref="B47:F47"/>
    <mergeCell ref="B45:Q45"/>
    <mergeCell ref="B44:O44"/>
    <mergeCell ref="G43:M43"/>
    <mergeCell ref="B48:F48"/>
    <mergeCell ref="G46:M46"/>
    <mergeCell ref="B43:F43"/>
    <mergeCell ref="G42:M42"/>
    <mergeCell ref="G37:M37"/>
    <mergeCell ref="B41:F41"/>
    <mergeCell ref="G41:M41"/>
    <mergeCell ref="B39:F39"/>
    <mergeCell ref="G39:M39"/>
    <mergeCell ref="B36:C36"/>
    <mergeCell ref="B37:D37"/>
    <mergeCell ref="G40:M40"/>
    <mergeCell ref="E36:F36"/>
    <mergeCell ref="E37:F37"/>
    <mergeCell ref="B40:F40"/>
    <mergeCell ref="P5:Q5"/>
    <mergeCell ref="P7:Q7"/>
    <mergeCell ref="P11:Q11"/>
    <mergeCell ref="G32:M32"/>
    <mergeCell ref="P8:Q8"/>
    <mergeCell ref="B10:K10"/>
    <mergeCell ref="B8:K8"/>
    <mergeCell ref="J11:K11"/>
    <mergeCell ref="N9:O9"/>
    <mergeCell ref="L11:M11"/>
    <mergeCell ref="L7:M7"/>
    <mergeCell ref="J7:K7"/>
    <mergeCell ref="L12:M12"/>
    <mergeCell ref="N6:O6"/>
    <mergeCell ref="N10:O10"/>
    <mergeCell ref="J6:K6"/>
    <mergeCell ref="N8:O8"/>
    <mergeCell ref="J12:K12"/>
    <mergeCell ref="N7:O7"/>
    <mergeCell ref="L8:M8"/>
    <mergeCell ref="P9:Q9"/>
    <mergeCell ref="L10:M10"/>
    <mergeCell ref="P10:Q10"/>
    <mergeCell ref="P6:Q6"/>
    <mergeCell ref="L6:M6"/>
    <mergeCell ref="B35:C35"/>
    <mergeCell ref="G35:M35"/>
    <mergeCell ref="B9:K9"/>
    <mergeCell ref="B7:E7"/>
    <mergeCell ref="B18:K18"/>
    <mergeCell ref="L9:M9"/>
    <mergeCell ref="E32:F32"/>
    <mergeCell ref="E33:F33"/>
    <mergeCell ref="E35:F35"/>
    <mergeCell ref="B33:C33"/>
    <mergeCell ref="G33:M33"/>
    <mergeCell ref="B34:Q34"/>
    <mergeCell ref="G76:H76"/>
    <mergeCell ref="J76:K76"/>
    <mergeCell ref="L76:M76"/>
    <mergeCell ref="N76:O76"/>
    <mergeCell ref="P64:Q64"/>
    <mergeCell ref="P65:Q65"/>
    <mergeCell ref="P66:Q66"/>
    <mergeCell ref="P67:Q67"/>
    <mergeCell ref="P68:Q68"/>
    <mergeCell ref="P69:Q69"/>
    <mergeCell ref="F73:G73"/>
    <mergeCell ref="F68:G68"/>
    <mergeCell ref="F69:G69"/>
    <mergeCell ref="F70:G70"/>
    <mergeCell ref="F71:G71"/>
    <mergeCell ref="F64:G64"/>
    <mergeCell ref="L64:M64"/>
    <mergeCell ref="L65:M65"/>
    <mergeCell ref="L66:M66"/>
    <mergeCell ref="F65:G65"/>
    <mergeCell ref="F66:G66"/>
    <mergeCell ref="F67:G67"/>
    <mergeCell ref="F72:G72"/>
    <mergeCell ref="P70:Q70"/>
    <mergeCell ref="P71:Q71"/>
    <mergeCell ref="P72:Q72"/>
    <mergeCell ref="P73:Q73"/>
    <mergeCell ref="N64:O64"/>
    <mergeCell ref="N65:O65"/>
    <mergeCell ref="N66:O66"/>
    <mergeCell ref="N67:O67"/>
    <mergeCell ref="N68:O68"/>
    <mergeCell ref="N69:O69"/>
    <mergeCell ref="L73:M73"/>
    <mergeCell ref="N70:O70"/>
    <mergeCell ref="N71:O71"/>
    <mergeCell ref="N72:O72"/>
    <mergeCell ref="N73:O73"/>
    <mergeCell ref="L67:M67"/>
    <mergeCell ref="L68:M68"/>
    <mergeCell ref="L69:M69"/>
    <mergeCell ref="L70:M70"/>
    <mergeCell ref="L71:M71"/>
    <mergeCell ref="L72:M72"/>
  </mergeCells>
  <conditionalFormatting sqref="J65:J73">
    <cfRule type="expression" dxfId="20" priority="2" stopIfTrue="1">
      <formula>$I65:$I73&lt;$J65:$J73</formula>
    </cfRule>
  </conditionalFormatting>
  <conditionalFormatting sqref="L65:L73">
    <cfRule type="expression" dxfId="19" priority="1" stopIfTrue="1">
      <formula>$K65:$K73&lt;$L65:$M73</formula>
    </cfRule>
  </conditionalFormatting>
  <hyperlinks>
    <hyperlink ref="A1" location="'Table Of Contents'!A1" display="TOC"/>
  </hyperlinks>
  <pageMargins left="0.75" right="0.75" top="1" bottom="1" header="0.5" footer="0.5"/>
  <pageSetup scale="39" fitToHeight="0" orientation="portrait" r:id="rId1"/>
  <headerFooter alignWithMargins="0">
    <oddFooter>Page &amp;P of &amp;N</oddFooter>
  </headerFooter>
  <rowBreaks count="2" manualBreakCount="2">
    <brk id="37" min="1" max="16" man="1"/>
    <brk id="60" min="1" max="16"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"Yes,No,NA"</xm:f>
          </x14:formula1>
          <xm:sqref>O22:P31 JK22:JL31 TG22:TH31 ADC22:ADD31 AMY22:AMZ31 AWU22:AWV31 BGQ22:BGR31 BQM22:BQN31 CAI22:CAJ31 CKE22:CKF31 CUA22:CUB31 DDW22:DDX31 DNS22:DNT31 DXO22:DXP31 EHK22:EHL31 ERG22:ERH31 FBC22:FBD31 FKY22:FKZ31 FUU22:FUV31 GEQ22:GER31 GOM22:GON31 GYI22:GYJ31 HIE22:HIF31 HSA22:HSB31 IBW22:IBX31 ILS22:ILT31 IVO22:IVP31 JFK22:JFL31 JPG22:JPH31 JZC22:JZD31 KIY22:KIZ31 KSU22:KSV31 LCQ22:LCR31 LMM22:LMN31 LWI22:LWJ31 MGE22:MGF31 MQA22:MQB31 MZW22:MZX31 NJS22:NJT31 NTO22:NTP31 ODK22:ODL31 ONG22:ONH31 OXC22:OXD31 PGY22:PGZ31 PQU22:PQV31 QAQ22:QAR31 QKM22:QKN31 QUI22:QUJ31 REE22:REF31 ROA22:ROB31 RXW22:RXX31 SHS22:SHT31 SRO22:SRP31 TBK22:TBL31 TLG22:TLH31 TVC22:TVD31 UEY22:UEZ31 UOU22:UOV31 UYQ22:UYR31 VIM22:VIN31 VSI22:VSJ31 WCE22:WCF31 WMA22:WMB31 WVW22:WVX31 O65558:P65567 JK65558:JL65567 TG65558:TH65567 ADC65558:ADD65567 AMY65558:AMZ65567 AWU65558:AWV65567 BGQ65558:BGR65567 BQM65558:BQN65567 CAI65558:CAJ65567 CKE65558:CKF65567 CUA65558:CUB65567 DDW65558:DDX65567 DNS65558:DNT65567 DXO65558:DXP65567 EHK65558:EHL65567 ERG65558:ERH65567 FBC65558:FBD65567 FKY65558:FKZ65567 FUU65558:FUV65567 GEQ65558:GER65567 GOM65558:GON65567 GYI65558:GYJ65567 HIE65558:HIF65567 HSA65558:HSB65567 IBW65558:IBX65567 ILS65558:ILT65567 IVO65558:IVP65567 JFK65558:JFL65567 JPG65558:JPH65567 JZC65558:JZD65567 KIY65558:KIZ65567 KSU65558:KSV65567 LCQ65558:LCR65567 LMM65558:LMN65567 LWI65558:LWJ65567 MGE65558:MGF65567 MQA65558:MQB65567 MZW65558:MZX65567 NJS65558:NJT65567 NTO65558:NTP65567 ODK65558:ODL65567 ONG65558:ONH65567 OXC65558:OXD65567 PGY65558:PGZ65567 PQU65558:PQV65567 QAQ65558:QAR65567 QKM65558:QKN65567 QUI65558:QUJ65567 REE65558:REF65567 ROA65558:ROB65567 RXW65558:RXX65567 SHS65558:SHT65567 SRO65558:SRP65567 TBK65558:TBL65567 TLG65558:TLH65567 TVC65558:TVD65567 UEY65558:UEZ65567 UOU65558:UOV65567 UYQ65558:UYR65567 VIM65558:VIN65567 VSI65558:VSJ65567 WCE65558:WCF65567 WMA65558:WMB65567 WVW65558:WVX65567 O131094:P131103 JK131094:JL131103 TG131094:TH131103 ADC131094:ADD131103 AMY131094:AMZ131103 AWU131094:AWV131103 BGQ131094:BGR131103 BQM131094:BQN131103 CAI131094:CAJ131103 CKE131094:CKF131103 CUA131094:CUB131103 DDW131094:DDX131103 DNS131094:DNT131103 DXO131094:DXP131103 EHK131094:EHL131103 ERG131094:ERH131103 FBC131094:FBD131103 FKY131094:FKZ131103 FUU131094:FUV131103 GEQ131094:GER131103 GOM131094:GON131103 GYI131094:GYJ131103 HIE131094:HIF131103 HSA131094:HSB131103 IBW131094:IBX131103 ILS131094:ILT131103 IVO131094:IVP131103 JFK131094:JFL131103 JPG131094:JPH131103 JZC131094:JZD131103 KIY131094:KIZ131103 KSU131094:KSV131103 LCQ131094:LCR131103 LMM131094:LMN131103 LWI131094:LWJ131103 MGE131094:MGF131103 MQA131094:MQB131103 MZW131094:MZX131103 NJS131094:NJT131103 NTO131094:NTP131103 ODK131094:ODL131103 ONG131094:ONH131103 OXC131094:OXD131103 PGY131094:PGZ131103 PQU131094:PQV131103 QAQ131094:QAR131103 QKM131094:QKN131103 QUI131094:QUJ131103 REE131094:REF131103 ROA131094:ROB131103 RXW131094:RXX131103 SHS131094:SHT131103 SRO131094:SRP131103 TBK131094:TBL131103 TLG131094:TLH131103 TVC131094:TVD131103 UEY131094:UEZ131103 UOU131094:UOV131103 UYQ131094:UYR131103 VIM131094:VIN131103 VSI131094:VSJ131103 WCE131094:WCF131103 WMA131094:WMB131103 WVW131094:WVX131103 O196630:P196639 JK196630:JL196639 TG196630:TH196639 ADC196630:ADD196639 AMY196630:AMZ196639 AWU196630:AWV196639 BGQ196630:BGR196639 BQM196630:BQN196639 CAI196630:CAJ196639 CKE196630:CKF196639 CUA196630:CUB196639 DDW196630:DDX196639 DNS196630:DNT196639 DXO196630:DXP196639 EHK196630:EHL196639 ERG196630:ERH196639 FBC196630:FBD196639 FKY196630:FKZ196639 FUU196630:FUV196639 GEQ196630:GER196639 GOM196630:GON196639 GYI196630:GYJ196639 HIE196630:HIF196639 HSA196630:HSB196639 IBW196630:IBX196639 ILS196630:ILT196639 IVO196630:IVP196639 JFK196630:JFL196639 JPG196630:JPH196639 JZC196630:JZD196639 KIY196630:KIZ196639 KSU196630:KSV196639 LCQ196630:LCR196639 LMM196630:LMN196639 LWI196630:LWJ196639 MGE196630:MGF196639 MQA196630:MQB196639 MZW196630:MZX196639 NJS196630:NJT196639 NTO196630:NTP196639 ODK196630:ODL196639 ONG196630:ONH196639 OXC196630:OXD196639 PGY196630:PGZ196639 PQU196630:PQV196639 QAQ196630:QAR196639 QKM196630:QKN196639 QUI196630:QUJ196639 REE196630:REF196639 ROA196630:ROB196639 RXW196630:RXX196639 SHS196630:SHT196639 SRO196630:SRP196639 TBK196630:TBL196639 TLG196630:TLH196639 TVC196630:TVD196639 UEY196630:UEZ196639 UOU196630:UOV196639 UYQ196630:UYR196639 VIM196630:VIN196639 VSI196630:VSJ196639 WCE196630:WCF196639 WMA196630:WMB196639 WVW196630:WVX196639 O262166:P262175 JK262166:JL262175 TG262166:TH262175 ADC262166:ADD262175 AMY262166:AMZ262175 AWU262166:AWV262175 BGQ262166:BGR262175 BQM262166:BQN262175 CAI262166:CAJ262175 CKE262166:CKF262175 CUA262166:CUB262175 DDW262166:DDX262175 DNS262166:DNT262175 DXO262166:DXP262175 EHK262166:EHL262175 ERG262166:ERH262175 FBC262166:FBD262175 FKY262166:FKZ262175 FUU262166:FUV262175 GEQ262166:GER262175 GOM262166:GON262175 GYI262166:GYJ262175 HIE262166:HIF262175 HSA262166:HSB262175 IBW262166:IBX262175 ILS262166:ILT262175 IVO262166:IVP262175 JFK262166:JFL262175 JPG262166:JPH262175 JZC262166:JZD262175 KIY262166:KIZ262175 KSU262166:KSV262175 LCQ262166:LCR262175 LMM262166:LMN262175 LWI262166:LWJ262175 MGE262166:MGF262175 MQA262166:MQB262175 MZW262166:MZX262175 NJS262166:NJT262175 NTO262166:NTP262175 ODK262166:ODL262175 ONG262166:ONH262175 OXC262166:OXD262175 PGY262166:PGZ262175 PQU262166:PQV262175 QAQ262166:QAR262175 QKM262166:QKN262175 QUI262166:QUJ262175 REE262166:REF262175 ROA262166:ROB262175 RXW262166:RXX262175 SHS262166:SHT262175 SRO262166:SRP262175 TBK262166:TBL262175 TLG262166:TLH262175 TVC262166:TVD262175 UEY262166:UEZ262175 UOU262166:UOV262175 UYQ262166:UYR262175 VIM262166:VIN262175 VSI262166:VSJ262175 WCE262166:WCF262175 WMA262166:WMB262175 WVW262166:WVX262175 O327702:P327711 JK327702:JL327711 TG327702:TH327711 ADC327702:ADD327711 AMY327702:AMZ327711 AWU327702:AWV327711 BGQ327702:BGR327711 BQM327702:BQN327711 CAI327702:CAJ327711 CKE327702:CKF327711 CUA327702:CUB327711 DDW327702:DDX327711 DNS327702:DNT327711 DXO327702:DXP327711 EHK327702:EHL327711 ERG327702:ERH327711 FBC327702:FBD327711 FKY327702:FKZ327711 FUU327702:FUV327711 GEQ327702:GER327711 GOM327702:GON327711 GYI327702:GYJ327711 HIE327702:HIF327711 HSA327702:HSB327711 IBW327702:IBX327711 ILS327702:ILT327711 IVO327702:IVP327711 JFK327702:JFL327711 JPG327702:JPH327711 JZC327702:JZD327711 KIY327702:KIZ327711 KSU327702:KSV327711 LCQ327702:LCR327711 LMM327702:LMN327711 LWI327702:LWJ327711 MGE327702:MGF327711 MQA327702:MQB327711 MZW327702:MZX327711 NJS327702:NJT327711 NTO327702:NTP327711 ODK327702:ODL327711 ONG327702:ONH327711 OXC327702:OXD327711 PGY327702:PGZ327711 PQU327702:PQV327711 QAQ327702:QAR327711 QKM327702:QKN327711 QUI327702:QUJ327711 REE327702:REF327711 ROA327702:ROB327711 RXW327702:RXX327711 SHS327702:SHT327711 SRO327702:SRP327711 TBK327702:TBL327711 TLG327702:TLH327711 TVC327702:TVD327711 UEY327702:UEZ327711 UOU327702:UOV327711 UYQ327702:UYR327711 VIM327702:VIN327711 VSI327702:VSJ327711 WCE327702:WCF327711 WMA327702:WMB327711 WVW327702:WVX327711 O393238:P393247 JK393238:JL393247 TG393238:TH393247 ADC393238:ADD393247 AMY393238:AMZ393247 AWU393238:AWV393247 BGQ393238:BGR393247 BQM393238:BQN393247 CAI393238:CAJ393247 CKE393238:CKF393247 CUA393238:CUB393247 DDW393238:DDX393247 DNS393238:DNT393247 DXO393238:DXP393247 EHK393238:EHL393247 ERG393238:ERH393247 FBC393238:FBD393247 FKY393238:FKZ393247 FUU393238:FUV393247 GEQ393238:GER393247 GOM393238:GON393247 GYI393238:GYJ393247 HIE393238:HIF393247 HSA393238:HSB393247 IBW393238:IBX393247 ILS393238:ILT393247 IVO393238:IVP393247 JFK393238:JFL393247 JPG393238:JPH393247 JZC393238:JZD393247 KIY393238:KIZ393247 KSU393238:KSV393247 LCQ393238:LCR393247 LMM393238:LMN393247 LWI393238:LWJ393247 MGE393238:MGF393247 MQA393238:MQB393247 MZW393238:MZX393247 NJS393238:NJT393247 NTO393238:NTP393247 ODK393238:ODL393247 ONG393238:ONH393247 OXC393238:OXD393247 PGY393238:PGZ393247 PQU393238:PQV393247 QAQ393238:QAR393247 QKM393238:QKN393247 QUI393238:QUJ393247 REE393238:REF393247 ROA393238:ROB393247 RXW393238:RXX393247 SHS393238:SHT393247 SRO393238:SRP393247 TBK393238:TBL393247 TLG393238:TLH393247 TVC393238:TVD393247 UEY393238:UEZ393247 UOU393238:UOV393247 UYQ393238:UYR393247 VIM393238:VIN393247 VSI393238:VSJ393247 WCE393238:WCF393247 WMA393238:WMB393247 WVW393238:WVX393247 O458774:P458783 JK458774:JL458783 TG458774:TH458783 ADC458774:ADD458783 AMY458774:AMZ458783 AWU458774:AWV458783 BGQ458774:BGR458783 BQM458774:BQN458783 CAI458774:CAJ458783 CKE458774:CKF458783 CUA458774:CUB458783 DDW458774:DDX458783 DNS458774:DNT458783 DXO458774:DXP458783 EHK458774:EHL458783 ERG458774:ERH458783 FBC458774:FBD458783 FKY458774:FKZ458783 FUU458774:FUV458783 GEQ458774:GER458783 GOM458774:GON458783 GYI458774:GYJ458783 HIE458774:HIF458783 HSA458774:HSB458783 IBW458774:IBX458783 ILS458774:ILT458783 IVO458774:IVP458783 JFK458774:JFL458783 JPG458774:JPH458783 JZC458774:JZD458783 KIY458774:KIZ458783 KSU458774:KSV458783 LCQ458774:LCR458783 LMM458774:LMN458783 LWI458774:LWJ458783 MGE458774:MGF458783 MQA458774:MQB458783 MZW458774:MZX458783 NJS458774:NJT458783 NTO458774:NTP458783 ODK458774:ODL458783 ONG458774:ONH458783 OXC458774:OXD458783 PGY458774:PGZ458783 PQU458774:PQV458783 QAQ458774:QAR458783 QKM458774:QKN458783 QUI458774:QUJ458783 REE458774:REF458783 ROA458774:ROB458783 RXW458774:RXX458783 SHS458774:SHT458783 SRO458774:SRP458783 TBK458774:TBL458783 TLG458774:TLH458783 TVC458774:TVD458783 UEY458774:UEZ458783 UOU458774:UOV458783 UYQ458774:UYR458783 VIM458774:VIN458783 VSI458774:VSJ458783 WCE458774:WCF458783 WMA458774:WMB458783 WVW458774:WVX458783 O524310:P524319 JK524310:JL524319 TG524310:TH524319 ADC524310:ADD524319 AMY524310:AMZ524319 AWU524310:AWV524319 BGQ524310:BGR524319 BQM524310:BQN524319 CAI524310:CAJ524319 CKE524310:CKF524319 CUA524310:CUB524319 DDW524310:DDX524319 DNS524310:DNT524319 DXO524310:DXP524319 EHK524310:EHL524319 ERG524310:ERH524319 FBC524310:FBD524319 FKY524310:FKZ524319 FUU524310:FUV524319 GEQ524310:GER524319 GOM524310:GON524319 GYI524310:GYJ524319 HIE524310:HIF524319 HSA524310:HSB524319 IBW524310:IBX524319 ILS524310:ILT524319 IVO524310:IVP524319 JFK524310:JFL524319 JPG524310:JPH524319 JZC524310:JZD524319 KIY524310:KIZ524319 KSU524310:KSV524319 LCQ524310:LCR524319 LMM524310:LMN524319 LWI524310:LWJ524319 MGE524310:MGF524319 MQA524310:MQB524319 MZW524310:MZX524319 NJS524310:NJT524319 NTO524310:NTP524319 ODK524310:ODL524319 ONG524310:ONH524319 OXC524310:OXD524319 PGY524310:PGZ524319 PQU524310:PQV524319 QAQ524310:QAR524319 QKM524310:QKN524319 QUI524310:QUJ524319 REE524310:REF524319 ROA524310:ROB524319 RXW524310:RXX524319 SHS524310:SHT524319 SRO524310:SRP524319 TBK524310:TBL524319 TLG524310:TLH524319 TVC524310:TVD524319 UEY524310:UEZ524319 UOU524310:UOV524319 UYQ524310:UYR524319 VIM524310:VIN524319 VSI524310:VSJ524319 WCE524310:WCF524319 WMA524310:WMB524319 WVW524310:WVX524319 O589846:P589855 JK589846:JL589855 TG589846:TH589855 ADC589846:ADD589855 AMY589846:AMZ589855 AWU589846:AWV589855 BGQ589846:BGR589855 BQM589846:BQN589855 CAI589846:CAJ589855 CKE589846:CKF589855 CUA589846:CUB589855 DDW589846:DDX589855 DNS589846:DNT589855 DXO589846:DXP589855 EHK589846:EHL589855 ERG589846:ERH589855 FBC589846:FBD589855 FKY589846:FKZ589855 FUU589846:FUV589855 GEQ589846:GER589855 GOM589846:GON589855 GYI589846:GYJ589855 HIE589846:HIF589855 HSA589846:HSB589855 IBW589846:IBX589855 ILS589846:ILT589855 IVO589846:IVP589855 JFK589846:JFL589855 JPG589846:JPH589855 JZC589846:JZD589855 KIY589846:KIZ589855 KSU589846:KSV589855 LCQ589846:LCR589855 LMM589846:LMN589855 LWI589846:LWJ589855 MGE589846:MGF589855 MQA589846:MQB589855 MZW589846:MZX589855 NJS589846:NJT589855 NTO589846:NTP589855 ODK589846:ODL589855 ONG589846:ONH589855 OXC589846:OXD589855 PGY589846:PGZ589855 PQU589846:PQV589855 QAQ589846:QAR589855 QKM589846:QKN589855 QUI589846:QUJ589855 REE589846:REF589855 ROA589846:ROB589855 RXW589846:RXX589855 SHS589846:SHT589855 SRO589846:SRP589855 TBK589846:TBL589855 TLG589846:TLH589855 TVC589846:TVD589855 UEY589846:UEZ589855 UOU589846:UOV589855 UYQ589846:UYR589855 VIM589846:VIN589855 VSI589846:VSJ589855 WCE589846:WCF589855 WMA589846:WMB589855 WVW589846:WVX589855 O655382:P655391 JK655382:JL655391 TG655382:TH655391 ADC655382:ADD655391 AMY655382:AMZ655391 AWU655382:AWV655391 BGQ655382:BGR655391 BQM655382:BQN655391 CAI655382:CAJ655391 CKE655382:CKF655391 CUA655382:CUB655391 DDW655382:DDX655391 DNS655382:DNT655391 DXO655382:DXP655391 EHK655382:EHL655391 ERG655382:ERH655391 FBC655382:FBD655391 FKY655382:FKZ655391 FUU655382:FUV655391 GEQ655382:GER655391 GOM655382:GON655391 GYI655382:GYJ655391 HIE655382:HIF655391 HSA655382:HSB655391 IBW655382:IBX655391 ILS655382:ILT655391 IVO655382:IVP655391 JFK655382:JFL655391 JPG655382:JPH655391 JZC655382:JZD655391 KIY655382:KIZ655391 KSU655382:KSV655391 LCQ655382:LCR655391 LMM655382:LMN655391 LWI655382:LWJ655391 MGE655382:MGF655391 MQA655382:MQB655391 MZW655382:MZX655391 NJS655382:NJT655391 NTO655382:NTP655391 ODK655382:ODL655391 ONG655382:ONH655391 OXC655382:OXD655391 PGY655382:PGZ655391 PQU655382:PQV655391 QAQ655382:QAR655391 QKM655382:QKN655391 QUI655382:QUJ655391 REE655382:REF655391 ROA655382:ROB655391 RXW655382:RXX655391 SHS655382:SHT655391 SRO655382:SRP655391 TBK655382:TBL655391 TLG655382:TLH655391 TVC655382:TVD655391 UEY655382:UEZ655391 UOU655382:UOV655391 UYQ655382:UYR655391 VIM655382:VIN655391 VSI655382:VSJ655391 WCE655382:WCF655391 WMA655382:WMB655391 WVW655382:WVX655391 O720918:P720927 JK720918:JL720927 TG720918:TH720927 ADC720918:ADD720927 AMY720918:AMZ720927 AWU720918:AWV720927 BGQ720918:BGR720927 BQM720918:BQN720927 CAI720918:CAJ720927 CKE720918:CKF720927 CUA720918:CUB720927 DDW720918:DDX720927 DNS720918:DNT720927 DXO720918:DXP720927 EHK720918:EHL720927 ERG720918:ERH720927 FBC720918:FBD720927 FKY720918:FKZ720927 FUU720918:FUV720927 GEQ720918:GER720927 GOM720918:GON720927 GYI720918:GYJ720927 HIE720918:HIF720927 HSA720918:HSB720927 IBW720918:IBX720927 ILS720918:ILT720927 IVO720918:IVP720927 JFK720918:JFL720927 JPG720918:JPH720927 JZC720918:JZD720927 KIY720918:KIZ720927 KSU720918:KSV720927 LCQ720918:LCR720927 LMM720918:LMN720927 LWI720918:LWJ720927 MGE720918:MGF720927 MQA720918:MQB720927 MZW720918:MZX720927 NJS720918:NJT720927 NTO720918:NTP720927 ODK720918:ODL720927 ONG720918:ONH720927 OXC720918:OXD720927 PGY720918:PGZ720927 PQU720918:PQV720927 QAQ720918:QAR720927 QKM720918:QKN720927 QUI720918:QUJ720927 REE720918:REF720927 ROA720918:ROB720927 RXW720918:RXX720927 SHS720918:SHT720927 SRO720918:SRP720927 TBK720918:TBL720927 TLG720918:TLH720927 TVC720918:TVD720927 UEY720918:UEZ720927 UOU720918:UOV720927 UYQ720918:UYR720927 VIM720918:VIN720927 VSI720918:VSJ720927 WCE720918:WCF720927 WMA720918:WMB720927 WVW720918:WVX720927 O786454:P786463 JK786454:JL786463 TG786454:TH786463 ADC786454:ADD786463 AMY786454:AMZ786463 AWU786454:AWV786463 BGQ786454:BGR786463 BQM786454:BQN786463 CAI786454:CAJ786463 CKE786454:CKF786463 CUA786454:CUB786463 DDW786454:DDX786463 DNS786454:DNT786463 DXO786454:DXP786463 EHK786454:EHL786463 ERG786454:ERH786463 FBC786454:FBD786463 FKY786454:FKZ786463 FUU786454:FUV786463 GEQ786454:GER786463 GOM786454:GON786463 GYI786454:GYJ786463 HIE786454:HIF786463 HSA786454:HSB786463 IBW786454:IBX786463 ILS786454:ILT786463 IVO786454:IVP786463 JFK786454:JFL786463 JPG786454:JPH786463 JZC786454:JZD786463 KIY786454:KIZ786463 KSU786454:KSV786463 LCQ786454:LCR786463 LMM786454:LMN786463 LWI786454:LWJ786463 MGE786454:MGF786463 MQA786454:MQB786463 MZW786454:MZX786463 NJS786454:NJT786463 NTO786454:NTP786463 ODK786454:ODL786463 ONG786454:ONH786463 OXC786454:OXD786463 PGY786454:PGZ786463 PQU786454:PQV786463 QAQ786454:QAR786463 QKM786454:QKN786463 QUI786454:QUJ786463 REE786454:REF786463 ROA786454:ROB786463 RXW786454:RXX786463 SHS786454:SHT786463 SRO786454:SRP786463 TBK786454:TBL786463 TLG786454:TLH786463 TVC786454:TVD786463 UEY786454:UEZ786463 UOU786454:UOV786463 UYQ786454:UYR786463 VIM786454:VIN786463 VSI786454:VSJ786463 WCE786454:WCF786463 WMA786454:WMB786463 WVW786454:WVX786463 O851990:P851999 JK851990:JL851999 TG851990:TH851999 ADC851990:ADD851999 AMY851990:AMZ851999 AWU851990:AWV851999 BGQ851990:BGR851999 BQM851990:BQN851999 CAI851990:CAJ851999 CKE851990:CKF851999 CUA851990:CUB851999 DDW851990:DDX851999 DNS851990:DNT851999 DXO851990:DXP851999 EHK851990:EHL851999 ERG851990:ERH851999 FBC851990:FBD851999 FKY851990:FKZ851999 FUU851990:FUV851999 GEQ851990:GER851999 GOM851990:GON851999 GYI851990:GYJ851999 HIE851990:HIF851999 HSA851990:HSB851999 IBW851990:IBX851999 ILS851990:ILT851999 IVO851990:IVP851999 JFK851990:JFL851999 JPG851990:JPH851999 JZC851990:JZD851999 KIY851990:KIZ851999 KSU851990:KSV851999 LCQ851990:LCR851999 LMM851990:LMN851999 LWI851990:LWJ851999 MGE851990:MGF851999 MQA851990:MQB851999 MZW851990:MZX851999 NJS851990:NJT851999 NTO851990:NTP851999 ODK851990:ODL851999 ONG851990:ONH851999 OXC851990:OXD851999 PGY851990:PGZ851999 PQU851990:PQV851999 QAQ851990:QAR851999 QKM851990:QKN851999 QUI851990:QUJ851999 REE851990:REF851999 ROA851990:ROB851999 RXW851990:RXX851999 SHS851990:SHT851999 SRO851990:SRP851999 TBK851990:TBL851999 TLG851990:TLH851999 TVC851990:TVD851999 UEY851990:UEZ851999 UOU851990:UOV851999 UYQ851990:UYR851999 VIM851990:VIN851999 VSI851990:VSJ851999 WCE851990:WCF851999 WMA851990:WMB851999 WVW851990:WVX851999 O917526:P917535 JK917526:JL917535 TG917526:TH917535 ADC917526:ADD917535 AMY917526:AMZ917535 AWU917526:AWV917535 BGQ917526:BGR917535 BQM917526:BQN917535 CAI917526:CAJ917535 CKE917526:CKF917535 CUA917526:CUB917535 DDW917526:DDX917535 DNS917526:DNT917535 DXO917526:DXP917535 EHK917526:EHL917535 ERG917526:ERH917535 FBC917526:FBD917535 FKY917526:FKZ917535 FUU917526:FUV917535 GEQ917526:GER917535 GOM917526:GON917535 GYI917526:GYJ917535 HIE917526:HIF917535 HSA917526:HSB917535 IBW917526:IBX917535 ILS917526:ILT917535 IVO917526:IVP917535 JFK917526:JFL917535 JPG917526:JPH917535 JZC917526:JZD917535 KIY917526:KIZ917535 KSU917526:KSV917535 LCQ917526:LCR917535 LMM917526:LMN917535 LWI917526:LWJ917535 MGE917526:MGF917535 MQA917526:MQB917535 MZW917526:MZX917535 NJS917526:NJT917535 NTO917526:NTP917535 ODK917526:ODL917535 ONG917526:ONH917535 OXC917526:OXD917535 PGY917526:PGZ917535 PQU917526:PQV917535 QAQ917526:QAR917535 QKM917526:QKN917535 QUI917526:QUJ917535 REE917526:REF917535 ROA917526:ROB917535 RXW917526:RXX917535 SHS917526:SHT917535 SRO917526:SRP917535 TBK917526:TBL917535 TLG917526:TLH917535 TVC917526:TVD917535 UEY917526:UEZ917535 UOU917526:UOV917535 UYQ917526:UYR917535 VIM917526:VIN917535 VSI917526:VSJ917535 WCE917526:WCF917535 WMA917526:WMB917535 WVW917526:WVX917535 O983062:P983071 JK983062:JL983071 TG983062:TH983071 ADC983062:ADD983071 AMY983062:AMZ983071 AWU983062:AWV983071 BGQ983062:BGR983071 BQM983062:BQN983071 CAI983062:CAJ983071 CKE983062:CKF983071 CUA983062:CUB983071 DDW983062:DDX983071 DNS983062:DNT983071 DXO983062:DXP983071 EHK983062:EHL983071 ERG983062:ERH983071 FBC983062:FBD983071 FKY983062:FKZ983071 FUU983062:FUV983071 GEQ983062:GER983071 GOM983062:GON983071 GYI983062:GYJ983071 HIE983062:HIF983071 HSA983062:HSB983071 IBW983062:IBX983071 ILS983062:ILT983071 IVO983062:IVP983071 JFK983062:JFL983071 JPG983062:JPH983071 JZC983062:JZD983071 KIY983062:KIZ983071 KSU983062:KSV983071 LCQ983062:LCR983071 LMM983062:LMN983071 LWI983062:LWJ983071 MGE983062:MGF983071 MQA983062:MQB983071 MZW983062:MZX983071 NJS983062:NJT983071 NTO983062:NTP983071 ODK983062:ODL983071 ONG983062:ONH983071 OXC983062:OXD983071 PGY983062:PGZ983071 PQU983062:PQV983071 QAQ983062:QAR983071 QKM983062:QKN983071 QUI983062:QUJ983071 REE983062:REF983071 ROA983062:ROB983071 RXW983062:RXX983071 SHS983062:SHT983071 SRO983062:SRP983071 TBK983062:TBL983071 TLG983062:TLH983071 TVC983062:TVD983071 UEY983062:UEZ983071 UOU983062:UOV983071 UYQ983062:UYR983071 VIM983062:VIN983071 VSI983062:VSJ983071 WCE983062:WCF983071 WMA983062:WMB983071 WVW983062:WVX983071 O33:P33 JK33:JL33 TG33:TH33 ADC33:ADD33 AMY33:AMZ33 AWU33:AWV33 BGQ33:BGR33 BQM33:BQN33 CAI33:CAJ33 CKE33:CKF33 CUA33:CUB33 DDW33:DDX33 DNS33:DNT33 DXO33:DXP33 EHK33:EHL33 ERG33:ERH33 FBC33:FBD33 FKY33:FKZ33 FUU33:FUV33 GEQ33:GER33 GOM33:GON33 GYI33:GYJ33 HIE33:HIF33 HSA33:HSB33 IBW33:IBX33 ILS33:ILT33 IVO33:IVP33 JFK33:JFL33 JPG33:JPH33 JZC33:JZD33 KIY33:KIZ33 KSU33:KSV33 LCQ33:LCR33 LMM33:LMN33 LWI33:LWJ33 MGE33:MGF33 MQA33:MQB33 MZW33:MZX33 NJS33:NJT33 NTO33:NTP33 ODK33:ODL33 ONG33:ONH33 OXC33:OXD33 PGY33:PGZ33 PQU33:PQV33 QAQ33:QAR33 QKM33:QKN33 QUI33:QUJ33 REE33:REF33 ROA33:ROB33 RXW33:RXX33 SHS33:SHT33 SRO33:SRP33 TBK33:TBL33 TLG33:TLH33 TVC33:TVD33 UEY33:UEZ33 UOU33:UOV33 UYQ33:UYR33 VIM33:VIN33 VSI33:VSJ33 WCE33:WCF33 WMA33:WMB33 WVW33:WVX33 O65569:P65569 JK65569:JL65569 TG65569:TH65569 ADC65569:ADD65569 AMY65569:AMZ65569 AWU65569:AWV65569 BGQ65569:BGR65569 BQM65569:BQN65569 CAI65569:CAJ65569 CKE65569:CKF65569 CUA65569:CUB65569 DDW65569:DDX65569 DNS65569:DNT65569 DXO65569:DXP65569 EHK65569:EHL65569 ERG65569:ERH65569 FBC65569:FBD65569 FKY65569:FKZ65569 FUU65569:FUV65569 GEQ65569:GER65569 GOM65569:GON65569 GYI65569:GYJ65569 HIE65569:HIF65569 HSA65569:HSB65569 IBW65569:IBX65569 ILS65569:ILT65569 IVO65569:IVP65569 JFK65569:JFL65569 JPG65569:JPH65569 JZC65569:JZD65569 KIY65569:KIZ65569 KSU65569:KSV65569 LCQ65569:LCR65569 LMM65569:LMN65569 LWI65569:LWJ65569 MGE65569:MGF65569 MQA65569:MQB65569 MZW65569:MZX65569 NJS65569:NJT65569 NTO65569:NTP65569 ODK65569:ODL65569 ONG65569:ONH65569 OXC65569:OXD65569 PGY65569:PGZ65569 PQU65569:PQV65569 QAQ65569:QAR65569 QKM65569:QKN65569 QUI65569:QUJ65569 REE65569:REF65569 ROA65569:ROB65569 RXW65569:RXX65569 SHS65569:SHT65569 SRO65569:SRP65569 TBK65569:TBL65569 TLG65569:TLH65569 TVC65569:TVD65569 UEY65569:UEZ65569 UOU65569:UOV65569 UYQ65569:UYR65569 VIM65569:VIN65569 VSI65569:VSJ65569 WCE65569:WCF65569 WMA65569:WMB65569 WVW65569:WVX65569 O131105:P131105 JK131105:JL131105 TG131105:TH131105 ADC131105:ADD131105 AMY131105:AMZ131105 AWU131105:AWV131105 BGQ131105:BGR131105 BQM131105:BQN131105 CAI131105:CAJ131105 CKE131105:CKF131105 CUA131105:CUB131105 DDW131105:DDX131105 DNS131105:DNT131105 DXO131105:DXP131105 EHK131105:EHL131105 ERG131105:ERH131105 FBC131105:FBD131105 FKY131105:FKZ131105 FUU131105:FUV131105 GEQ131105:GER131105 GOM131105:GON131105 GYI131105:GYJ131105 HIE131105:HIF131105 HSA131105:HSB131105 IBW131105:IBX131105 ILS131105:ILT131105 IVO131105:IVP131105 JFK131105:JFL131105 JPG131105:JPH131105 JZC131105:JZD131105 KIY131105:KIZ131105 KSU131105:KSV131105 LCQ131105:LCR131105 LMM131105:LMN131105 LWI131105:LWJ131105 MGE131105:MGF131105 MQA131105:MQB131105 MZW131105:MZX131105 NJS131105:NJT131105 NTO131105:NTP131105 ODK131105:ODL131105 ONG131105:ONH131105 OXC131105:OXD131105 PGY131105:PGZ131105 PQU131105:PQV131105 QAQ131105:QAR131105 QKM131105:QKN131105 QUI131105:QUJ131105 REE131105:REF131105 ROA131105:ROB131105 RXW131105:RXX131105 SHS131105:SHT131105 SRO131105:SRP131105 TBK131105:TBL131105 TLG131105:TLH131105 TVC131105:TVD131105 UEY131105:UEZ131105 UOU131105:UOV131105 UYQ131105:UYR131105 VIM131105:VIN131105 VSI131105:VSJ131105 WCE131105:WCF131105 WMA131105:WMB131105 WVW131105:WVX131105 O196641:P196641 JK196641:JL196641 TG196641:TH196641 ADC196641:ADD196641 AMY196641:AMZ196641 AWU196641:AWV196641 BGQ196641:BGR196641 BQM196641:BQN196641 CAI196641:CAJ196641 CKE196641:CKF196641 CUA196641:CUB196641 DDW196641:DDX196641 DNS196641:DNT196641 DXO196641:DXP196641 EHK196641:EHL196641 ERG196641:ERH196641 FBC196641:FBD196641 FKY196641:FKZ196641 FUU196641:FUV196641 GEQ196641:GER196641 GOM196641:GON196641 GYI196641:GYJ196641 HIE196641:HIF196641 HSA196641:HSB196641 IBW196641:IBX196641 ILS196641:ILT196641 IVO196641:IVP196641 JFK196641:JFL196641 JPG196641:JPH196641 JZC196641:JZD196641 KIY196641:KIZ196641 KSU196641:KSV196641 LCQ196641:LCR196641 LMM196641:LMN196641 LWI196641:LWJ196641 MGE196641:MGF196641 MQA196641:MQB196641 MZW196641:MZX196641 NJS196641:NJT196641 NTO196641:NTP196641 ODK196641:ODL196641 ONG196641:ONH196641 OXC196641:OXD196641 PGY196641:PGZ196641 PQU196641:PQV196641 QAQ196641:QAR196641 QKM196641:QKN196641 QUI196641:QUJ196641 REE196641:REF196641 ROA196641:ROB196641 RXW196641:RXX196641 SHS196641:SHT196641 SRO196641:SRP196641 TBK196641:TBL196641 TLG196641:TLH196641 TVC196641:TVD196641 UEY196641:UEZ196641 UOU196641:UOV196641 UYQ196641:UYR196641 VIM196641:VIN196641 VSI196641:VSJ196641 WCE196641:WCF196641 WMA196641:WMB196641 WVW196641:WVX196641 O262177:P262177 JK262177:JL262177 TG262177:TH262177 ADC262177:ADD262177 AMY262177:AMZ262177 AWU262177:AWV262177 BGQ262177:BGR262177 BQM262177:BQN262177 CAI262177:CAJ262177 CKE262177:CKF262177 CUA262177:CUB262177 DDW262177:DDX262177 DNS262177:DNT262177 DXO262177:DXP262177 EHK262177:EHL262177 ERG262177:ERH262177 FBC262177:FBD262177 FKY262177:FKZ262177 FUU262177:FUV262177 GEQ262177:GER262177 GOM262177:GON262177 GYI262177:GYJ262177 HIE262177:HIF262177 HSA262177:HSB262177 IBW262177:IBX262177 ILS262177:ILT262177 IVO262177:IVP262177 JFK262177:JFL262177 JPG262177:JPH262177 JZC262177:JZD262177 KIY262177:KIZ262177 KSU262177:KSV262177 LCQ262177:LCR262177 LMM262177:LMN262177 LWI262177:LWJ262177 MGE262177:MGF262177 MQA262177:MQB262177 MZW262177:MZX262177 NJS262177:NJT262177 NTO262177:NTP262177 ODK262177:ODL262177 ONG262177:ONH262177 OXC262177:OXD262177 PGY262177:PGZ262177 PQU262177:PQV262177 QAQ262177:QAR262177 QKM262177:QKN262177 QUI262177:QUJ262177 REE262177:REF262177 ROA262177:ROB262177 RXW262177:RXX262177 SHS262177:SHT262177 SRO262177:SRP262177 TBK262177:TBL262177 TLG262177:TLH262177 TVC262177:TVD262177 UEY262177:UEZ262177 UOU262177:UOV262177 UYQ262177:UYR262177 VIM262177:VIN262177 VSI262177:VSJ262177 WCE262177:WCF262177 WMA262177:WMB262177 WVW262177:WVX262177 O327713:P327713 JK327713:JL327713 TG327713:TH327713 ADC327713:ADD327713 AMY327713:AMZ327713 AWU327713:AWV327713 BGQ327713:BGR327713 BQM327713:BQN327713 CAI327713:CAJ327713 CKE327713:CKF327713 CUA327713:CUB327713 DDW327713:DDX327713 DNS327713:DNT327713 DXO327713:DXP327713 EHK327713:EHL327713 ERG327713:ERH327713 FBC327713:FBD327713 FKY327713:FKZ327713 FUU327713:FUV327713 GEQ327713:GER327713 GOM327713:GON327713 GYI327713:GYJ327713 HIE327713:HIF327713 HSA327713:HSB327713 IBW327713:IBX327713 ILS327713:ILT327713 IVO327713:IVP327713 JFK327713:JFL327713 JPG327713:JPH327713 JZC327713:JZD327713 KIY327713:KIZ327713 KSU327713:KSV327713 LCQ327713:LCR327713 LMM327713:LMN327713 LWI327713:LWJ327713 MGE327713:MGF327713 MQA327713:MQB327713 MZW327713:MZX327713 NJS327713:NJT327713 NTO327713:NTP327713 ODK327713:ODL327713 ONG327713:ONH327713 OXC327713:OXD327713 PGY327713:PGZ327713 PQU327713:PQV327713 QAQ327713:QAR327713 QKM327713:QKN327713 QUI327713:QUJ327713 REE327713:REF327713 ROA327713:ROB327713 RXW327713:RXX327713 SHS327713:SHT327713 SRO327713:SRP327713 TBK327713:TBL327713 TLG327713:TLH327713 TVC327713:TVD327713 UEY327713:UEZ327713 UOU327713:UOV327713 UYQ327713:UYR327713 VIM327713:VIN327713 VSI327713:VSJ327713 WCE327713:WCF327713 WMA327713:WMB327713 WVW327713:WVX327713 O393249:P393249 JK393249:JL393249 TG393249:TH393249 ADC393249:ADD393249 AMY393249:AMZ393249 AWU393249:AWV393249 BGQ393249:BGR393249 BQM393249:BQN393249 CAI393249:CAJ393249 CKE393249:CKF393249 CUA393249:CUB393249 DDW393249:DDX393249 DNS393249:DNT393249 DXO393249:DXP393249 EHK393249:EHL393249 ERG393249:ERH393249 FBC393249:FBD393249 FKY393249:FKZ393249 FUU393249:FUV393249 GEQ393249:GER393249 GOM393249:GON393249 GYI393249:GYJ393249 HIE393249:HIF393249 HSA393249:HSB393249 IBW393249:IBX393249 ILS393249:ILT393249 IVO393249:IVP393249 JFK393249:JFL393249 JPG393249:JPH393249 JZC393249:JZD393249 KIY393249:KIZ393249 KSU393249:KSV393249 LCQ393249:LCR393249 LMM393249:LMN393249 LWI393249:LWJ393249 MGE393249:MGF393249 MQA393249:MQB393249 MZW393249:MZX393249 NJS393249:NJT393249 NTO393249:NTP393249 ODK393249:ODL393249 ONG393249:ONH393249 OXC393249:OXD393249 PGY393249:PGZ393249 PQU393249:PQV393249 QAQ393249:QAR393249 QKM393249:QKN393249 QUI393249:QUJ393249 REE393249:REF393249 ROA393249:ROB393249 RXW393249:RXX393249 SHS393249:SHT393249 SRO393249:SRP393249 TBK393249:TBL393249 TLG393249:TLH393249 TVC393249:TVD393249 UEY393249:UEZ393249 UOU393249:UOV393249 UYQ393249:UYR393249 VIM393249:VIN393249 VSI393249:VSJ393249 WCE393249:WCF393249 WMA393249:WMB393249 WVW393249:WVX393249 O458785:P458785 JK458785:JL458785 TG458785:TH458785 ADC458785:ADD458785 AMY458785:AMZ458785 AWU458785:AWV458785 BGQ458785:BGR458785 BQM458785:BQN458785 CAI458785:CAJ458785 CKE458785:CKF458785 CUA458785:CUB458785 DDW458785:DDX458785 DNS458785:DNT458785 DXO458785:DXP458785 EHK458785:EHL458785 ERG458785:ERH458785 FBC458785:FBD458785 FKY458785:FKZ458785 FUU458785:FUV458785 GEQ458785:GER458785 GOM458785:GON458785 GYI458785:GYJ458785 HIE458785:HIF458785 HSA458785:HSB458785 IBW458785:IBX458785 ILS458785:ILT458785 IVO458785:IVP458785 JFK458785:JFL458785 JPG458785:JPH458785 JZC458785:JZD458785 KIY458785:KIZ458785 KSU458785:KSV458785 LCQ458785:LCR458785 LMM458785:LMN458785 LWI458785:LWJ458785 MGE458785:MGF458785 MQA458785:MQB458785 MZW458785:MZX458785 NJS458785:NJT458785 NTO458785:NTP458785 ODK458785:ODL458785 ONG458785:ONH458785 OXC458785:OXD458785 PGY458785:PGZ458785 PQU458785:PQV458785 QAQ458785:QAR458785 QKM458785:QKN458785 QUI458785:QUJ458785 REE458785:REF458785 ROA458785:ROB458785 RXW458785:RXX458785 SHS458785:SHT458785 SRO458785:SRP458785 TBK458785:TBL458785 TLG458785:TLH458785 TVC458785:TVD458785 UEY458785:UEZ458785 UOU458785:UOV458785 UYQ458785:UYR458785 VIM458785:VIN458785 VSI458785:VSJ458785 WCE458785:WCF458785 WMA458785:WMB458785 WVW458785:WVX458785 O524321:P524321 JK524321:JL524321 TG524321:TH524321 ADC524321:ADD524321 AMY524321:AMZ524321 AWU524321:AWV524321 BGQ524321:BGR524321 BQM524321:BQN524321 CAI524321:CAJ524321 CKE524321:CKF524321 CUA524321:CUB524321 DDW524321:DDX524321 DNS524321:DNT524321 DXO524321:DXP524321 EHK524321:EHL524321 ERG524321:ERH524321 FBC524321:FBD524321 FKY524321:FKZ524321 FUU524321:FUV524321 GEQ524321:GER524321 GOM524321:GON524321 GYI524321:GYJ524321 HIE524321:HIF524321 HSA524321:HSB524321 IBW524321:IBX524321 ILS524321:ILT524321 IVO524321:IVP524321 JFK524321:JFL524321 JPG524321:JPH524321 JZC524321:JZD524321 KIY524321:KIZ524321 KSU524321:KSV524321 LCQ524321:LCR524321 LMM524321:LMN524321 LWI524321:LWJ524321 MGE524321:MGF524321 MQA524321:MQB524321 MZW524321:MZX524321 NJS524321:NJT524321 NTO524321:NTP524321 ODK524321:ODL524321 ONG524321:ONH524321 OXC524321:OXD524321 PGY524321:PGZ524321 PQU524321:PQV524321 QAQ524321:QAR524321 QKM524321:QKN524321 QUI524321:QUJ524321 REE524321:REF524321 ROA524321:ROB524321 RXW524321:RXX524321 SHS524321:SHT524321 SRO524321:SRP524321 TBK524321:TBL524321 TLG524321:TLH524321 TVC524321:TVD524321 UEY524321:UEZ524321 UOU524321:UOV524321 UYQ524321:UYR524321 VIM524321:VIN524321 VSI524321:VSJ524321 WCE524321:WCF524321 WMA524321:WMB524321 WVW524321:WVX524321 O589857:P589857 JK589857:JL589857 TG589857:TH589857 ADC589857:ADD589857 AMY589857:AMZ589857 AWU589857:AWV589857 BGQ589857:BGR589857 BQM589857:BQN589857 CAI589857:CAJ589857 CKE589857:CKF589857 CUA589857:CUB589857 DDW589857:DDX589857 DNS589857:DNT589857 DXO589857:DXP589857 EHK589857:EHL589857 ERG589857:ERH589857 FBC589857:FBD589857 FKY589857:FKZ589857 FUU589857:FUV589857 GEQ589857:GER589857 GOM589857:GON589857 GYI589857:GYJ589857 HIE589857:HIF589857 HSA589857:HSB589857 IBW589857:IBX589857 ILS589857:ILT589857 IVO589857:IVP589857 JFK589857:JFL589857 JPG589857:JPH589857 JZC589857:JZD589857 KIY589857:KIZ589857 KSU589857:KSV589857 LCQ589857:LCR589857 LMM589857:LMN589857 LWI589857:LWJ589857 MGE589857:MGF589857 MQA589857:MQB589857 MZW589857:MZX589857 NJS589857:NJT589857 NTO589857:NTP589857 ODK589857:ODL589857 ONG589857:ONH589857 OXC589857:OXD589857 PGY589857:PGZ589857 PQU589857:PQV589857 QAQ589857:QAR589857 QKM589857:QKN589857 QUI589857:QUJ589857 REE589857:REF589857 ROA589857:ROB589857 RXW589857:RXX589857 SHS589857:SHT589857 SRO589857:SRP589857 TBK589857:TBL589857 TLG589857:TLH589857 TVC589857:TVD589857 UEY589857:UEZ589857 UOU589857:UOV589857 UYQ589857:UYR589857 VIM589857:VIN589857 VSI589857:VSJ589857 WCE589857:WCF589857 WMA589857:WMB589857 WVW589857:WVX589857 O655393:P655393 JK655393:JL655393 TG655393:TH655393 ADC655393:ADD655393 AMY655393:AMZ655393 AWU655393:AWV655393 BGQ655393:BGR655393 BQM655393:BQN655393 CAI655393:CAJ655393 CKE655393:CKF655393 CUA655393:CUB655393 DDW655393:DDX655393 DNS655393:DNT655393 DXO655393:DXP655393 EHK655393:EHL655393 ERG655393:ERH655393 FBC655393:FBD655393 FKY655393:FKZ655393 FUU655393:FUV655393 GEQ655393:GER655393 GOM655393:GON655393 GYI655393:GYJ655393 HIE655393:HIF655393 HSA655393:HSB655393 IBW655393:IBX655393 ILS655393:ILT655393 IVO655393:IVP655393 JFK655393:JFL655393 JPG655393:JPH655393 JZC655393:JZD655393 KIY655393:KIZ655393 KSU655393:KSV655393 LCQ655393:LCR655393 LMM655393:LMN655393 LWI655393:LWJ655393 MGE655393:MGF655393 MQA655393:MQB655393 MZW655393:MZX655393 NJS655393:NJT655393 NTO655393:NTP655393 ODK655393:ODL655393 ONG655393:ONH655393 OXC655393:OXD655393 PGY655393:PGZ655393 PQU655393:PQV655393 QAQ655393:QAR655393 QKM655393:QKN655393 QUI655393:QUJ655393 REE655393:REF655393 ROA655393:ROB655393 RXW655393:RXX655393 SHS655393:SHT655393 SRO655393:SRP655393 TBK655393:TBL655393 TLG655393:TLH655393 TVC655393:TVD655393 UEY655393:UEZ655393 UOU655393:UOV655393 UYQ655393:UYR655393 VIM655393:VIN655393 VSI655393:VSJ655393 WCE655393:WCF655393 WMA655393:WMB655393 WVW655393:WVX655393 O720929:P720929 JK720929:JL720929 TG720929:TH720929 ADC720929:ADD720929 AMY720929:AMZ720929 AWU720929:AWV720929 BGQ720929:BGR720929 BQM720929:BQN720929 CAI720929:CAJ720929 CKE720929:CKF720929 CUA720929:CUB720929 DDW720929:DDX720929 DNS720929:DNT720929 DXO720929:DXP720929 EHK720929:EHL720929 ERG720929:ERH720929 FBC720929:FBD720929 FKY720929:FKZ720929 FUU720929:FUV720929 GEQ720929:GER720929 GOM720929:GON720929 GYI720929:GYJ720929 HIE720929:HIF720929 HSA720929:HSB720929 IBW720929:IBX720929 ILS720929:ILT720929 IVO720929:IVP720929 JFK720929:JFL720929 JPG720929:JPH720929 JZC720929:JZD720929 KIY720929:KIZ720929 KSU720929:KSV720929 LCQ720929:LCR720929 LMM720929:LMN720929 LWI720929:LWJ720929 MGE720929:MGF720929 MQA720929:MQB720929 MZW720929:MZX720929 NJS720929:NJT720929 NTO720929:NTP720929 ODK720929:ODL720929 ONG720929:ONH720929 OXC720929:OXD720929 PGY720929:PGZ720929 PQU720929:PQV720929 QAQ720929:QAR720929 QKM720929:QKN720929 QUI720929:QUJ720929 REE720929:REF720929 ROA720929:ROB720929 RXW720929:RXX720929 SHS720929:SHT720929 SRO720929:SRP720929 TBK720929:TBL720929 TLG720929:TLH720929 TVC720929:TVD720929 UEY720929:UEZ720929 UOU720929:UOV720929 UYQ720929:UYR720929 VIM720929:VIN720929 VSI720929:VSJ720929 WCE720929:WCF720929 WMA720929:WMB720929 WVW720929:WVX720929 O786465:P786465 JK786465:JL786465 TG786465:TH786465 ADC786465:ADD786465 AMY786465:AMZ786465 AWU786465:AWV786465 BGQ786465:BGR786465 BQM786465:BQN786465 CAI786465:CAJ786465 CKE786465:CKF786465 CUA786465:CUB786465 DDW786465:DDX786465 DNS786465:DNT786465 DXO786465:DXP786465 EHK786465:EHL786465 ERG786465:ERH786465 FBC786465:FBD786465 FKY786465:FKZ786465 FUU786465:FUV786465 GEQ786465:GER786465 GOM786465:GON786465 GYI786465:GYJ786465 HIE786465:HIF786465 HSA786465:HSB786465 IBW786465:IBX786465 ILS786465:ILT786465 IVO786465:IVP786465 JFK786465:JFL786465 JPG786465:JPH786465 JZC786465:JZD786465 KIY786465:KIZ786465 KSU786465:KSV786465 LCQ786465:LCR786465 LMM786465:LMN786465 LWI786465:LWJ786465 MGE786465:MGF786465 MQA786465:MQB786465 MZW786465:MZX786465 NJS786465:NJT786465 NTO786465:NTP786465 ODK786465:ODL786465 ONG786465:ONH786465 OXC786465:OXD786465 PGY786465:PGZ786465 PQU786465:PQV786465 QAQ786465:QAR786465 QKM786465:QKN786465 QUI786465:QUJ786465 REE786465:REF786465 ROA786465:ROB786465 RXW786465:RXX786465 SHS786465:SHT786465 SRO786465:SRP786465 TBK786465:TBL786465 TLG786465:TLH786465 TVC786465:TVD786465 UEY786465:UEZ786465 UOU786465:UOV786465 UYQ786465:UYR786465 VIM786465:VIN786465 VSI786465:VSJ786465 WCE786465:WCF786465 WMA786465:WMB786465 WVW786465:WVX786465 O852001:P852001 JK852001:JL852001 TG852001:TH852001 ADC852001:ADD852001 AMY852001:AMZ852001 AWU852001:AWV852001 BGQ852001:BGR852001 BQM852001:BQN852001 CAI852001:CAJ852001 CKE852001:CKF852001 CUA852001:CUB852001 DDW852001:DDX852001 DNS852001:DNT852001 DXO852001:DXP852001 EHK852001:EHL852001 ERG852001:ERH852001 FBC852001:FBD852001 FKY852001:FKZ852001 FUU852001:FUV852001 GEQ852001:GER852001 GOM852001:GON852001 GYI852001:GYJ852001 HIE852001:HIF852001 HSA852001:HSB852001 IBW852001:IBX852001 ILS852001:ILT852001 IVO852001:IVP852001 JFK852001:JFL852001 JPG852001:JPH852001 JZC852001:JZD852001 KIY852001:KIZ852001 KSU852001:KSV852001 LCQ852001:LCR852001 LMM852001:LMN852001 LWI852001:LWJ852001 MGE852001:MGF852001 MQA852001:MQB852001 MZW852001:MZX852001 NJS852001:NJT852001 NTO852001:NTP852001 ODK852001:ODL852001 ONG852001:ONH852001 OXC852001:OXD852001 PGY852001:PGZ852001 PQU852001:PQV852001 QAQ852001:QAR852001 QKM852001:QKN852001 QUI852001:QUJ852001 REE852001:REF852001 ROA852001:ROB852001 RXW852001:RXX852001 SHS852001:SHT852001 SRO852001:SRP852001 TBK852001:TBL852001 TLG852001:TLH852001 TVC852001:TVD852001 UEY852001:UEZ852001 UOU852001:UOV852001 UYQ852001:UYR852001 VIM852001:VIN852001 VSI852001:VSJ852001 WCE852001:WCF852001 WMA852001:WMB852001 WVW852001:WVX852001 O917537:P917537 JK917537:JL917537 TG917537:TH917537 ADC917537:ADD917537 AMY917537:AMZ917537 AWU917537:AWV917537 BGQ917537:BGR917537 BQM917537:BQN917537 CAI917537:CAJ917537 CKE917537:CKF917537 CUA917537:CUB917537 DDW917537:DDX917537 DNS917537:DNT917537 DXO917537:DXP917537 EHK917537:EHL917537 ERG917537:ERH917537 FBC917537:FBD917537 FKY917537:FKZ917537 FUU917537:FUV917537 GEQ917537:GER917537 GOM917537:GON917537 GYI917537:GYJ917537 HIE917537:HIF917537 HSA917537:HSB917537 IBW917537:IBX917537 ILS917537:ILT917537 IVO917537:IVP917537 JFK917537:JFL917537 JPG917537:JPH917537 JZC917537:JZD917537 KIY917537:KIZ917537 KSU917537:KSV917537 LCQ917537:LCR917537 LMM917537:LMN917537 LWI917537:LWJ917537 MGE917537:MGF917537 MQA917537:MQB917537 MZW917537:MZX917537 NJS917537:NJT917537 NTO917537:NTP917537 ODK917537:ODL917537 ONG917537:ONH917537 OXC917537:OXD917537 PGY917537:PGZ917537 PQU917537:PQV917537 QAQ917537:QAR917537 QKM917537:QKN917537 QUI917537:QUJ917537 REE917537:REF917537 ROA917537:ROB917537 RXW917537:RXX917537 SHS917537:SHT917537 SRO917537:SRP917537 TBK917537:TBL917537 TLG917537:TLH917537 TVC917537:TVD917537 UEY917537:UEZ917537 UOU917537:UOV917537 UYQ917537:UYR917537 VIM917537:VIN917537 VSI917537:VSJ917537 WCE917537:WCF917537 WMA917537:WMB917537 WVW917537:WVX917537 O983073:P983073 JK983073:JL983073 TG983073:TH983073 ADC983073:ADD983073 AMY983073:AMZ983073 AWU983073:AWV983073 BGQ983073:BGR983073 BQM983073:BQN983073 CAI983073:CAJ983073 CKE983073:CKF983073 CUA983073:CUB983073 DDW983073:DDX983073 DNS983073:DNT983073 DXO983073:DXP983073 EHK983073:EHL983073 ERG983073:ERH983073 FBC983073:FBD983073 FKY983073:FKZ983073 FUU983073:FUV983073 GEQ983073:GER983073 GOM983073:GON983073 GYI983073:GYJ983073 HIE983073:HIF983073 HSA983073:HSB983073 IBW983073:IBX983073 ILS983073:ILT983073 IVO983073:IVP983073 JFK983073:JFL983073 JPG983073:JPH983073 JZC983073:JZD983073 KIY983073:KIZ983073 KSU983073:KSV983073 LCQ983073:LCR983073 LMM983073:LMN983073 LWI983073:LWJ983073 MGE983073:MGF983073 MQA983073:MQB983073 MZW983073:MZX983073 NJS983073:NJT983073 NTO983073:NTP983073 ODK983073:ODL983073 ONG983073:ONH983073 OXC983073:OXD983073 PGY983073:PGZ983073 PQU983073:PQV983073 QAQ983073:QAR983073 QKM983073:QKN983073 QUI983073:QUJ983073 REE983073:REF983073 ROA983073:ROB983073 RXW983073:RXX983073 SHS983073:SHT983073 SRO983073:SRP983073 TBK983073:TBL983073 TLG983073:TLH983073 TVC983073:TVD983073 UEY983073:UEZ983073 UOU983073:UOV983073 UYQ983073:UYR983073 VIM983073:VIN983073 VSI983073:VSJ983073 WCE983073:WCF983073 WMA983073:WMB983073 WVW983073:WVX983073 O39:P43 JK39:JL43 TG39:TH43 ADC39:ADD43 AMY39:AMZ43 AWU39:AWV43 BGQ39:BGR43 BQM39:BQN43 CAI39:CAJ43 CKE39:CKF43 CUA39:CUB43 DDW39:DDX43 DNS39:DNT43 DXO39:DXP43 EHK39:EHL43 ERG39:ERH43 FBC39:FBD43 FKY39:FKZ43 FUU39:FUV43 GEQ39:GER43 GOM39:GON43 GYI39:GYJ43 HIE39:HIF43 HSA39:HSB43 IBW39:IBX43 ILS39:ILT43 IVO39:IVP43 JFK39:JFL43 JPG39:JPH43 JZC39:JZD43 KIY39:KIZ43 KSU39:KSV43 LCQ39:LCR43 LMM39:LMN43 LWI39:LWJ43 MGE39:MGF43 MQA39:MQB43 MZW39:MZX43 NJS39:NJT43 NTO39:NTP43 ODK39:ODL43 ONG39:ONH43 OXC39:OXD43 PGY39:PGZ43 PQU39:PQV43 QAQ39:QAR43 QKM39:QKN43 QUI39:QUJ43 REE39:REF43 ROA39:ROB43 RXW39:RXX43 SHS39:SHT43 SRO39:SRP43 TBK39:TBL43 TLG39:TLH43 TVC39:TVD43 UEY39:UEZ43 UOU39:UOV43 UYQ39:UYR43 VIM39:VIN43 VSI39:VSJ43 WCE39:WCF43 WMA39:WMB43 WVW39:WVX43 O65575:P65579 JK65575:JL65579 TG65575:TH65579 ADC65575:ADD65579 AMY65575:AMZ65579 AWU65575:AWV65579 BGQ65575:BGR65579 BQM65575:BQN65579 CAI65575:CAJ65579 CKE65575:CKF65579 CUA65575:CUB65579 DDW65575:DDX65579 DNS65575:DNT65579 DXO65575:DXP65579 EHK65575:EHL65579 ERG65575:ERH65579 FBC65575:FBD65579 FKY65575:FKZ65579 FUU65575:FUV65579 GEQ65575:GER65579 GOM65575:GON65579 GYI65575:GYJ65579 HIE65575:HIF65579 HSA65575:HSB65579 IBW65575:IBX65579 ILS65575:ILT65579 IVO65575:IVP65579 JFK65575:JFL65579 JPG65575:JPH65579 JZC65575:JZD65579 KIY65575:KIZ65579 KSU65575:KSV65579 LCQ65575:LCR65579 LMM65575:LMN65579 LWI65575:LWJ65579 MGE65575:MGF65579 MQA65575:MQB65579 MZW65575:MZX65579 NJS65575:NJT65579 NTO65575:NTP65579 ODK65575:ODL65579 ONG65575:ONH65579 OXC65575:OXD65579 PGY65575:PGZ65579 PQU65575:PQV65579 QAQ65575:QAR65579 QKM65575:QKN65579 QUI65575:QUJ65579 REE65575:REF65579 ROA65575:ROB65579 RXW65575:RXX65579 SHS65575:SHT65579 SRO65575:SRP65579 TBK65575:TBL65579 TLG65575:TLH65579 TVC65575:TVD65579 UEY65575:UEZ65579 UOU65575:UOV65579 UYQ65575:UYR65579 VIM65575:VIN65579 VSI65575:VSJ65579 WCE65575:WCF65579 WMA65575:WMB65579 WVW65575:WVX65579 O131111:P131115 JK131111:JL131115 TG131111:TH131115 ADC131111:ADD131115 AMY131111:AMZ131115 AWU131111:AWV131115 BGQ131111:BGR131115 BQM131111:BQN131115 CAI131111:CAJ131115 CKE131111:CKF131115 CUA131111:CUB131115 DDW131111:DDX131115 DNS131111:DNT131115 DXO131111:DXP131115 EHK131111:EHL131115 ERG131111:ERH131115 FBC131111:FBD131115 FKY131111:FKZ131115 FUU131111:FUV131115 GEQ131111:GER131115 GOM131111:GON131115 GYI131111:GYJ131115 HIE131111:HIF131115 HSA131111:HSB131115 IBW131111:IBX131115 ILS131111:ILT131115 IVO131111:IVP131115 JFK131111:JFL131115 JPG131111:JPH131115 JZC131111:JZD131115 KIY131111:KIZ131115 KSU131111:KSV131115 LCQ131111:LCR131115 LMM131111:LMN131115 LWI131111:LWJ131115 MGE131111:MGF131115 MQA131111:MQB131115 MZW131111:MZX131115 NJS131111:NJT131115 NTO131111:NTP131115 ODK131111:ODL131115 ONG131111:ONH131115 OXC131111:OXD131115 PGY131111:PGZ131115 PQU131111:PQV131115 QAQ131111:QAR131115 QKM131111:QKN131115 QUI131111:QUJ131115 REE131111:REF131115 ROA131111:ROB131115 RXW131111:RXX131115 SHS131111:SHT131115 SRO131111:SRP131115 TBK131111:TBL131115 TLG131111:TLH131115 TVC131111:TVD131115 UEY131111:UEZ131115 UOU131111:UOV131115 UYQ131111:UYR131115 VIM131111:VIN131115 VSI131111:VSJ131115 WCE131111:WCF131115 WMA131111:WMB131115 WVW131111:WVX131115 O196647:P196651 JK196647:JL196651 TG196647:TH196651 ADC196647:ADD196651 AMY196647:AMZ196651 AWU196647:AWV196651 BGQ196647:BGR196651 BQM196647:BQN196651 CAI196647:CAJ196651 CKE196647:CKF196651 CUA196647:CUB196651 DDW196647:DDX196651 DNS196647:DNT196651 DXO196647:DXP196651 EHK196647:EHL196651 ERG196647:ERH196651 FBC196647:FBD196651 FKY196647:FKZ196651 FUU196647:FUV196651 GEQ196647:GER196651 GOM196647:GON196651 GYI196647:GYJ196651 HIE196647:HIF196651 HSA196647:HSB196651 IBW196647:IBX196651 ILS196647:ILT196651 IVO196647:IVP196651 JFK196647:JFL196651 JPG196647:JPH196651 JZC196647:JZD196651 KIY196647:KIZ196651 KSU196647:KSV196651 LCQ196647:LCR196651 LMM196647:LMN196651 LWI196647:LWJ196651 MGE196647:MGF196651 MQA196647:MQB196651 MZW196647:MZX196651 NJS196647:NJT196651 NTO196647:NTP196651 ODK196647:ODL196651 ONG196647:ONH196651 OXC196647:OXD196651 PGY196647:PGZ196651 PQU196647:PQV196651 QAQ196647:QAR196651 QKM196647:QKN196651 QUI196647:QUJ196651 REE196647:REF196651 ROA196647:ROB196651 RXW196647:RXX196651 SHS196647:SHT196651 SRO196647:SRP196651 TBK196647:TBL196651 TLG196647:TLH196651 TVC196647:TVD196651 UEY196647:UEZ196651 UOU196647:UOV196651 UYQ196647:UYR196651 VIM196647:VIN196651 VSI196647:VSJ196651 WCE196647:WCF196651 WMA196647:WMB196651 WVW196647:WVX196651 O262183:P262187 JK262183:JL262187 TG262183:TH262187 ADC262183:ADD262187 AMY262183:AMZ262187 AWU262183:AWV262187 BGQ262183:BGR262187 BQM262183:BQN262187 CAI262183:CAJ262187 CKE262183:CKF262187 CUA262183:CUB262187 DDW262183:DDX262187 DNS262183:DNT262187 DXO262183:DXP262187 EHK262183:EHL262187 ERG262183:ERH262187 FBC262183:FBD262187 FKY262183:FKZ262187 FUU262183:FUV262187 GEQ262183:GER262187 GOM262183:GON262187 GYI262183:GYJ262187 HIE262183:HIF262187 HSA262183:HSB262187 IBW262183:IBX262187 ILS262183:ILT262187 IVO262183:IVP262187 JFK262183:JFL262187 JPG262183:JPH262187 JZC262183:JZD262187 KIY262183:KIZ262187 KSU262183:KSV262187 LCQ262183:LCR262187 LMM262183:LMN262187 LWI262183:LWJ262187 MGE262183:MGF262187 MQA262183:MQB262187 MZW262183:MZX262187 NJS262183:NJT262187 NTO262183:NTP262187 ODK262183:ODL262187 ONG262183:ONH262187 OXC262183:OXD262187 PGY262183:PGZ262187 PQU262183:PQV262187 QAQ262183:QAR262187 QKM262183:QKN262187 QUI262183:QUJ262187 REE262183:REF262187 ROA262183:ROB262187 RXW262183:RXX262187 SHS262183:SHT262187 SRO262183:SRP262187 TBK262183:TBL262187 TLG262183:TLH262187 TVC262183:TVD262187 UEY262183:UEZ262187 UOU262183:UOV262187 UYQ262183:UYR262187 VIM262183:VIN262187 VSI262183:VSJ262187 WCE262183:WCF262187 WMA262183:WMB262187 WVW262183:WVX262187 O327719:P327723 JK327719:JL327723 TG327719:TH327723 ADC327719:ADD327723 AMY327719:AMZ327723 AWU327719:AWV327723 BGQ327719:BGR327723 BQM327719:BQN327723 CAI327719:CAJ327723 CKE327719:CKF327723 CUA327719:CUB327723 DDW327719:DDX327723 DNS327719:DNT327723 DXO327719:DXP327723 EHK327719:EHL327723 ERG327719:ERH327723 FBC327719:FBD327723 FKY327719:FKZ327723 FUU327719:FUV327723 GEQ327719:GER327723 GOM327719:GON327723 GYI327719:GYJ327723 HIE327719:HIF327723 HSA327719:HSB327723 IBW327719:IBX327723 ILS327719:ILT327723 IVO327719:IVP327723 JFK327719:JFL327723 JPG327719:JPH327723 JZC327719:JZD327723 KIY327719:KIZ327723 KSU327719:KSV327723 LCQ327719:LCR327723 LMM327719:LMN327723 LWI327719:LWJ327723 MGE327719:MGF327723 MQA327719:MQB327723 MZW327719:MZX327723 NJS327719:NJT327723 NTO327719:NTP327723 ODK327719:ODL327723 ONG327719:ONH327723 OXC327719:OXD327723 PGY327719:PGZ327723 PQU327719:PQV327723 QAQ327719:QAR327723 QKM327719:QKN327723 QUI327719:QUJ327723 REE327719:REF327723 ROA327719:ROB327723 RXW327719:RXX327723 SHS327719:SHT327723 SRO327719:SRP327723 TBK327719:TBL327723 TLG327719:TLH327723 TVC327719:TVD327723 UEY327719:UEZ327723 UOU327719:UOV327723 UYQ327719:UYR327723 VIM327719:VIN327723 VSI327719:VSJ327723 WCE327719:WCF327723 WMA327719:WMB327723 WVW327719:WVX327723 O393255:P393259 JK393255:JL393259 TG393255:TH393259 ADC393255:ADD393259 AMY393255:AMZ393259 AWU393255:AWV393259 BGQ393255:BGR393259 BQM393255:BQN393259 CAI393255:CAJ393259 CKE393255:CKF393259 CUA393255:CUB393259 DDW393255:DDX393259 DNS393255:DNT393259 DXO393255:DXP393259 EHK393255:EHL393259 ERG393255:ERH393259 FBC393255:FBD393259 FKY393255:FKZ393259 FUU393255:FUV393259 GEQ393255:GER393259 GOM393255:GON393259 GYI393255:GYJ393259 HIE393255:HIF393259 HSA393255:HSB393259 IBW393255:IBX393259 ILS393255:ILT393259 IVO393255:IVP393259 JFK393255:JFL393259 JPG393255:JPH393259 JZC393255:JZD393259 KIY393255:KIZ393259 KSU393255:KSV393259 LCQ393255:LCR393259 LMM393255:LMN393259 LWI393255:LWJ393259 MGE393255:MGF393259 MQA393255:MQB393259 MZW393255:MZX393259 NJS393255:NJT393259 NTO393255:NTP393259 ODK393255:ODL393259 ONG393255:ONH393259 OXC393255:OXD393259 PGY393255:PGZ393259 PQU393255:PQV393259 QAQ393255:QAR393259 QKM393255:QKN393259 QUI393255:QUJ393259 REE393255:REF393259 ROA393255:ROB393259 RXW393255:RXX393259 SHS393255:SHT393259 SRO393255:SRP393259 TBK393255:TBL393259 TLG393255:TLH393259 TVC393255:TVD393259 UEY393255:UEZ393259 UOU393255:UOV393259 UYQ393255:UYR393259 VIM393255:VIN393259 VSI393255:VSJ393259 WCE393255:WCF393259 WMA393255:WMB393259 WVW393255:WVX393259 O458791:P458795 JK458791:JL458795 TG458791:TH458795 ADC458791:ADD458795 AMY458791:AMZ458795 AWU458791:AWV458795 BGQ458791:BGR458795 BQM458791:BQN458795 CAI458791:CAJ458795 CKE458791:CKF458795 CUA458791:CUB458795 DDW458791:DDX458795 DNS458791:DNT458795 DXO458791:DXP458795 EHK458791:EHL458795 ERG458791:ERH458795 FBC458791:FBD458795 FKY458791:FKZ458795 FUU458791:FUV458795 GEQ458791:GER458795 GOM458791:GON458795 GYI458791:GYJ458795 HIE458791:HIF458795 HSA458791:HSB458795 IBW458791:IBX458795 ILS458791:ILT458795 IVO458791:IVP458795 JFK458791:JFL458795 JPG458791:JPH458795 JZC458791:JZD458795 KIY458791:KIZ458795 KSU458791:KSV458795 LCQ458791:LCR458795 LMM458791:LMN458795 LWI458791:LWJ458795 MGE458791:MGF458795 MQA458791:MQB458795 MZW458791:MZX458795 NJS458791:NJT458795 NTO458791:NTP458795 ODK458791:ODL458795 ONG458791:ONH458795 OXC458791:OXD458795 PGY458791:PGZ458795 PQU458791:PQV458795 QAQ458791:QAR458795 QKM458791:QKN458795 QUI458791:QUJ458795 REE458791:REF458795 ROA458791:ROB458795 RXW458791:RXX458795 SHS458791:SHT458795 SRO458791:SRP458795 TBK458791:TBL458795 TLG458791:TLH458795 TVC458791:TVD458795 UEY458791:UEZ458795 UOU458791:UOV458795 UYQ458791:UYR458795 VIM458791:VIN458795 VSI458791:VSJ458795 WCE458791:WCF458795 WMA458791:WMB458795 WVW458791:WVX458795 O524327:P524331 JK524327:JL524331 TG524327:TH524331 ADC524327:ADD524331 AMY524327:AMZ524331 AWU524327:AWV524331 BGQ524327:BGR524331 BQM524327:BQN524331 CAI524327:CAJ524331 CKE524327:CKF524331 CUA524327:CUB524331 DDW524327:DDX524331 DNS524327:DNT524331 DXO524327:DXP524331 EHK524327:EHL524331 ERG524327:ERH524331 FBC524327:FBD524331 FKY524327:FKZ524331 FUU524327:FUV524331 GEQ524327:GER524331 GOM524327:GON524331 GYI524327:GYJ524331 HIE524327:HIF524331 HSA524327:HSB524331 IBW524327:IBX524331 ILS524327:ILT524331 IVO524327:IVP524331 JFK524327:JFL524331 JPG524327:JPH524331 JZC524327:JZD524331 KIY524327:KIZ524331 KSU524327:KSV524331 LCQ524327:LCR524331 LMM524327:LMN524331 LWI524327:LWJ524331 MGE524327:MGF524331 MQA524327:MQB524331 MZW524327:MZX524331 NJS524327:NJT524331 NTO524327:NTP524331 ODK524327:ODL524331 ONG524327:ONH524331 OXC524327:OXD524331 PGY524327:PGZ524331 PQU524327:PQV524331 QAQ524327:QAR524331 QKM524327:QKN524331 QUI524327:QUJ524331 REE524327:REF524331 ROA524327:ROB524331 RXW524327:RXX524331 SHS524327:SHT524331 SRO524327:SRP524331 TBK524327:TBL524331 TLG524327:TLH524331 TVC524327:TVD524331 UEY524327:UEZ524331 UOU524327:UOV524331 UYQ524327:UYR524331 VIM524327:VIN524331 VSI524327:VSJ524331 WCE524327:WCF524331 WMA524327:WMB524331 WVW524327:WVX524331 O589863:P589867 JK589863:JL589867 TG589863:TH589867 ADC589863:ADD589867 AMY589863:AMZ589867 AWU589863:AWV589867 BGQ589863:BGR589867 BQM589863:BQN589867 CAI589863:CAJ589867 CKE589863:CKF589867 CUA589863:CUB589867 DDW589863:DDX589867 DNS589863:DNT589867 DXO589863:DXP589867 EHK589863:EHL589867 ERG589863:ERH589867 FBC589863:FBD589867 FKY589863:FKZ589867 FUU589863:FUV589867 GEQ589863:GER589867 GOM589863:GON589867 GYI589863:GYJ589867 HIE589863:HIF589867 HSA589863:HSB589867 IBW589863:IBX589867 ILS589863:ILT589867 IVO589863:IVP589867 JFK589863:JFL589867 JPG589863:JPH589867 JZC589863:JZD589867 KIY589863:KIZ589867 KSU589863:KSV589867 LCQ589863:LCR589867 LMM589863:LMN589867 LWI589863:LWJ589867 MGE589863:MGF589867 MQA589863:MQB589867 MZW589863:MZX589867 NJS589863:NJT589867 NTO589863:NTP589867 ODK589863:ODL589867 ONG589863:ONH589867 OXC589863:OXD589867 PGY589863:PGZ589867 PQU589863:PQV589867 QAQ589863:QAR589867 QKM589863:QKN589867 QUI589863:QUJ589867 REE589863:REF589867 ROA589863:ROB589867 RXW589863:RXX589867 SHS589863:SHT589867 SRO589863:SRP589867 TBK589863:TBL589867 TLG589863:TLH589867 TVC589863:TVD589867 UEY589863:UEZ589867 UOU589863:UOV589867 UYQ589863:UYR589867 VIM589863:VIN589867 VSI589863:VSJ589867 WCE589863:WCF589867 WMA589863:WMB589867 WVW589863:WVX589867 O655399:P655403 JK655399:JL655403 TG655399:TH655403 ADC655399:ADD655403 AMY655399:AMZ655403 AWU655399:AWV655403 BGQ655399:BGR655403 BQM655399:BQN655403 CAI655399:CAJ655403 CKE655399:CKF655403 CUA655399:CUB655403 DDW655399:DDX655403 DNS655399:DNT655403 DXO655399:DXP655403 EHK655399:EHL655403 ERG655399:ERH655403 FBC655399:FBD655403 FKY655399:FKZ655403 FUU655399:FUV655403 GEQ655399:GER655403 GOM655399:GON655403 GYI655399:GYJ655403 HIE655399:HIF655403 HSA655399:HSB655403 IBW655399:IBX655403 ILS655399:ILT655403 IVO655399:IVP655403 JFK655399:JFL655403 JPG655399:JPH655403 JZC655399:JZD655403 KIY655399:KIZ655403 KSU655399:KSV655403 LCQ655399:LCR655403 LMM655399:LMN655403 LWI655399:LWJ655403 MGE655399:MGF655403 MQA655399:MQB655403 MZW655399:MZX655403 NJS655399:NJT655403 NTO655399:NTP655403 ODK655399:ODL655403 ONG655399:ONH655403 OXC655399:OXD655403 PGY655399:PGZ655403 PQU655399:PQV655403 QAQ655399:QAR655403 QKM655399:QKN655403 QUI655399:QUJ655403 REE655399:REF655403 ROA655399:ROB655403 RXW655399:RXX655403 SHS655399:SHT655403 SRO655399:SRP655403 TBK655399:TBL655403 TLG655399:TLH655403 TVC655399:TVD655403 UEY655399:UEZ655403 UOU655399:UOV655403 UYQ655399:UYR655403 VIM655399:VIN655403 VSI655399:VSJ655403 WCE655399:WCF655403 WMA655399:WMB655403 WVW655399:WVX655403 O720935:P720939 JK720935:JL720939 TG720935:TH720939 ADC720935:ADD720939 AMY720935:AMZ720939 AWU720935:AWV720939 BGQ720935:BGR720939 BQM720935:BQN720939 CAI720935:CAJ720939 CKE720935:CKF720939 CUA720935:CUB720939 DDW720935:DDX720939 DNS720935:DNT720939 DXO720935:DXP720939 EHK720935:EHL720939 ERG720935:ERH720939 FBC720935:FBD720939 FKY720935:FKZ720939 FUU720935:FUV720939 GEQ720935:GER720939 GOM720935:GON720939 GYI720935:GYJ720939 HIE720935:HIF720939 HSA720935:HSB720939 IBW720935:IBX720939 ILS720935:ILT720939 IVO720935:IVP720939 JFK720935:JFL720939 JPG720935:JPH720939 JZC720935:JZD720939 KIY720935:KIZ720939 KSU720935:KSV720939 LCQ720935:LCR720939 LMM720935:LMN720939 LWI720935:LWJ720939 MGE720935:MGF720939 MQA720935:MQB720939 MZW720935:MZX720939 NJS720935:NJT720939 NTO720935:NTP720939 ODK720935:ODL720939 ONG720935:ONH720939 OXC720935:OXD720939 PGY720935:PGZ720939 PQU720935:PQV720939 QAQ720935:QAR720939 QKM720935:QKN720939 QUI720935:QUJ720939 REE720935:REF720939 ROA720935:ROB720939 RXW720935:RXX720939 SHS720935:SHT720939 SRO720935:SRP720939 TBK720935:TBL720939 TLG720935:TLH720939 TVC720935:TVD720939 UEY720935:UEZ720939 UOU720935:UOV720939 UYQ720935:UYR720939 VIM720935:VIN720939 VSI720935:VSJ720939 WCE720935:WCF720939 WMA720935:WMB720939 WVW720935:WVX720939 O786471:P786475 JK786471:JL786475 TG786471:TH786475 ADC786471:ADD786475 AMY786471:AMZ786475 AWU786471:AWV786475 BGQ786471:BGR786475 BQM786471:BQN786475 CAI786471:CAJ786475 CKE786471:CKF786475 CUA786471:CUB786475 DDW786471:DDX786475 DNS786471:DNT786475 DXO786471:DXP786475 EHK786471:EHL786475 ERG786471:ERH786475 FBC786471:FBD786475 FKY786471:FKZ786475 FUU786471:FUV786475 GEQ786471:GER786475 GOM786471:GON786475 GYI786471:GYJ786475 HIE786471:HIF786475 HSA786471:HSB786475 IBW786471:IBX786475 ILS786471:ILT786475 IVO786471:IVP786475 JFK786471:JFL786475 JPG786471:JPH786475 JZC786471:JZD786475 KIY786471:KIZ786475 KSU786471:KSV786475 LCQ786471:LCR786475 LMM786471:LMN786475 LWI786471:LWJ786475 MGE786471:MGF786475 MQA786471:MQB786475 MZW786471:MZX786475 NJS786471:NJT786475 NTO786471:NTP786475 ODK786471:ODL786475 ONG786471:ONH786475 OXC786471:OXD786475 PGY786471:PGZ786475 PQU786471:PQV786475 QAQ786471:QAR786475 QKM786471:QKN786475 QUI786471:QUJ786475 REE786471:REF786475 ROA786471:ROB786475 RXW786471:RXX786475 SHS786471:SHT786475 SRO786471:SRP786475 TBK786471:TBL786475 TLG786471:TLH786475 TVC786471:TVD786475 UEY786471:UEZ786475 UOU786471:UOV786475 UYQ786471:UYR786475 VIM786471:VIN786475 VSI786471:VSJ786475 WCE786471:WCF786475 WMA786471:WMB786475 WVW786471:WVX786475 O852007:P852011 JK852007:JL852011 TG852007:TH852011 ADC852007:ADD852011 AMY852007:AMZ852011 AWU852007:AWV852011 BGQ852007:BGR852011 BQM852007:BQN852011 CAI852007:CAJ852011 CKE852007:CKF852011 CUA852007:CUB852011 DDW852007:DDX852011 DNS852007:DNT852011 DXO852007:DXP852011 EHK852007:EHL852011 ERG852007:ERH852011 FBC852007:FBD852011 FKY852007:FKZ852011 FUU852007:FUV852011 GEQ852007:GER852011 GOM852007:GON852011 GYI852007:GYJ852011 HIE852007:HIF852011 HSA852007:HSB852011 IBW852007:IBX852011 ILS852007:ILT852011 IVO852007:IVP852011 JFK852007:JFL852011 JPG852007:JPH852011 JZC852007:JZD852011 KIY852007:KIZ852011 KSU852007:KSV852011 LCQ852007:LCR852011 LMM852007:LMN852011 LWI852007:LWJ852011 MGE852007:MGF852011 MQA852007:MQB852011 MZW852007:MZX852011 NJS852007:NJT852011 NTO852007:NTP852011 ODK852007:ODL852011 ONG852007:ONH852011 OXC852007:OXD852011 PGY852007:PGZ852011 PQU852007:PQV852011 QAQ852007:QAR852011 QKM852007:QKN852011 QUI852007:QUJ852011 REE852007:REF852011 ROA852007:ROB852011 RXW852007:RXX852011 SHS852007:SHT852011 SRO852007:SRP852011 TBK852007:TBL852011 TLG852007:TLH852011 TVC852007:TVD852011 UEY852007:UEZ852011 UOU852007:UOV852011 UYQ852007:UYR852011 VIM852007:VIN852011 VSI852007:VSJ852011 WCE852007:WCF852011 WMA852007:WMB852011 WVW852007:WVX852011 O917543:P917547 JK917543:JL917547 TG917543:TH917547 ADC917543:ADD917547 AMY917543:AMZ917547 AWU917543:AWV917547 BGQ917543:BGR917547 BQM917543:BQN917547 CAI917543:CAJ917547 CKE917543:CKF917547 CUA917543:CUB917547 DDW917543:DDX917547 DNS917543:DNT917547 DXO917543:DXP917547 EHK917543:EHL917547 ERG917543:ERH917547 FBC917543:FBD917547 FKY917543:FKZ917547 FUU917543:FUV917547 GEQ917543:GER917547 GOM917543:GON917547 GYI917543:GYJ917547 HIE917543:HIF917547 HSA917543:HSB917547 IBW917543:IBX917547 ILS917543:ILT917547 IVO917543:IVP917547 JFK917543:JFL917547 JPG917543:JPH917547 JZC917543:JZD917547 KIY917543:KIZ917547 KSU917543:KSV917547 LCQ917543:LCR917547 LMM917543:LMN917547 LWI917543:LWJ917547 MGE917543:MGF917547 MQA917543:MQB917547 MZW917543:MZX917547 NJS917543:NJT917547 NTO917543:NTP917547 ODK917543:ODL917547 ONG917543:ONH917547 OXC917543:OXD917547 PGY917543:PGZ917547 PQU917543:PQV917547 QAQ917543:QAR917547 QKM917543:QKN917547 QUI917543:QUJ917547 REE917543:REF917547 ROA917543:ROB917547 RXW917543:RXX917547 SHS917543:SHT917547 SRO917543:SRP917547 TBK917543:TBL917547 TLG917543:TLH917547 TVC917543:TVD917547 UEY917543:UEZ917547 UOU917543:UOV917547 UYQ917543:UYR917547 VIM917543:VIN917547 VSI917543:VSJ917547 WCE917543:WCF917547 WMA917543:WMB917547 WVW917543:WVX917547 O983079:P983083 JK983079:JL983083 TG983079:TH983083 ADC983079:ADD983083 AMY983079:AMZ983083 AWU983079:AWV983083 BGQ983079:BGR983083 BQM983079:BQN983083 CAI983079:CAJ983083 CKE983079:CKF983083 CUA983079:CUB983083 DDW983079:DDX983083 DNS983079:DNT983083 DXO983079:DXP983083 EHK983079:EHL983083 ERG983079:ERH983083 FBC983079:FBD983083 FKY983079:FKZ983083 FUU983079:FUV983083 GEQ983079:GER983083 GOM983079:GON983083 GYI983079:GYJ983083 HIE983079:HIF983083 HSA983079:HSB983083 IBW983079:IBX983083 ILS983079:ILT983083 IVO983079:IVP983083 JFK983079:JFL983083 JPG983079:JPH983083 JZC983079:JZD983083 KIY983079:KIZ983083 KSU983079:KSV983083 LCQ983079:LCR983083 LMM983079:LMN983083 LWI983079:LWJ983083 MGE983079:MGF983083 MQA983079:MQB983083 MZW983079:MZX983083 NJS983079:NJT983083 NTO983079:NTP983083 ODK983079:ODL983083 ONG983079:ONH983083 OXC983079:OXD983083 PGY983079:PGZ983083 PQU983079:PQV983083 QAQ983079:QAR983083 QKM983079:QKN983083 QUI983079:QUJ983083 REE983079:REF983083 ROA983079:ROB983083 RXW983079:RXX983083 SHS983079:SHT983083 SRO983079:SRP983083 TBK983079:TBL983083 TLG983079:TLH983083 TVC983079:TVD983083 UEY983079:UEZ983083 UOU983079:UOV983083 UYQ983079:UYR983083 VIM983079:VIN983083 VSI983079:VSJ983083 WCE983079:WCF983083 WMA983079:WMB983083 WVW983079:WVX983083 P44 JL44 TH44 ADD44 AMZ44 AWV44 BGR44 BQN44 CAJ44 CKF44 CUB44 DDX44 DNT44 DXP44 EHL44 ERH44 FBD44 FKZ44 FUV44 GER44 GON44 GYJ44 HIF44 HSB44 IBX44 ILT44 IVP44 JFL44 JPH44 JZD44 KIZ44 KSV44 LCR44 LMN44 LWJ44 MGF44 MQB44 MZX44 NJT44 NTP44 ODL44 ONH44 OXD44 PGZ44 PQV44 QAR44 QKN44 QUJ44 REF44 ROB44 RXX44 SHT44 SRP44 TBL44 TLH44 TVD44 UEZ44 UOV44 UYR44 VIN44 VSJ44 WCF44 WMB44 WVX44 P65580 JL65580 TH65580 ADD65580 AMZ65580 AWV65580 BGR65580 BQN65580 CAJ65580 CKF65580 CUB65580 DDX65580 DNT65580 DXP65580 EHL65580 ERH65580 FBD65580 FKZ65580 FUV65580 GER65580 GON65580 GYJ65580 HIF65580 HSB65580 IBX65580 ILT65580 IVP65580 JFL65580 JPH65580 JZD65580 KIZ65580 KSV65580 LCR65580 LMN65580 LWJ65580 MGF65580 MQB65580 MZX65580 NJT65580 NTP65580 ODL65580 ONH65580 OXD65580 PGZ65580 PQV65580 QAR65580 QKN65580 QUJ65580 REF65580 ROB65580 RXX65580 SHT65580 SRP65580 TBL65580 TLH65580 TVD65580 UEZ65580 UOV65580 UYR65580 VIN65580 VSJ65580 WCF65580 WMB65580 WVX65580 P131116 JL131116 TH131116 ADD131116 AMZ131116 AWV131116 BGR131116 BQN131116 CAJ131116 CKF131116 CUB131116 DDX131116 DNT131116 DXP131116 EHL131116 ERH131116 FBD131116 FKZ131116 FUV131116 GER131116 GON131116 GYJ131116 HIF131116 HSB131116 IBX131116 ILT131116 IVP131116 JFL131116 JPH131116 JZD131116 KIZ131116 KSV131116 LCR131116 LMN131116 LWJ131116 MGF131116 MQB131116 MZX131116 NJT131116 NTP131116 ODL131116 ONH131116 OXD131116 PGZ131116 PQV131116 QAR131116 QKN131116 QUJ131116 REF131116 ROB131116 RXX131116 SHT131116 SRP131116 TBL131116 TLH131116 TVD131116 UEZ131116 UOV131116 UYR131116 VIN131116 VSJ131116 WCF131116 WMB131116 WVX131116 P196652 JL196652 TH196652 ADD196652 AMZ196652 AWV196652 BGR196652 BQN196652 CAJ196652 CKF196652 CUB196652 DDX196652 DNT196652 DXP196652 EHL196652 ERH196652 FBD196652 FKZ196652 FUV196652 GER196652 GON196652 GYJ196652 HIF196652 HSB196652 IBX196652 ILT196652 IVP196652 JFL196652 JPH196652 JZD196652 KIZ196652 KSV196652 LCR196652 LMN196652 LWJ196652 MGF196652 MQB196652 MZX196652 NJT196652 NTP196652 ODL196652 ONH196652 OXD196652 PGZ196652 PQV196652 QAR196652 QKN196652 QUJ196652 REF196652 ROB196652 RXX196652 SHT196652 SRP196652 TBL196652 TLH196652 TVD196652 UEZ196652 UOV196652 UYR196652 VIN196652 VSJ196652 WCF196652 WMB196652 WVX196652 P262188 JL262188 TH262188 ADD262188 AMZ262188 AWV262188 BGR262188 BQN262188 CAJ262188 CKF262188 CUB262188 DDX262188 DNT262188 DXP262188 EHL262188 ERH262188 FBD262188 FKZ262188 FUV262188 GER262188 GON262188 GYJ262188 HIF262188 HSB262188 IBX262188 ILT262188 IVP262188 JFL262188 JPH262188 JZD262188 KIZ262188 KSV262188 LCR262188 LMN262188 LWJ262188 MGF262188 MQB262188 MZX262188 NJT262188 NTP262188 ODL262188 ONH262188 OXD262188 PGZ262188 PQV262188 QAR262188 QKN262188 QUJ262188 REF262188 ROB262188 RXX262188 SHT262188 SRP262188 TBL262188 TLH262188 TVD262188 UEZ262188 UOV262188 UYR262188 VIN262188 VSJ262188 WCF262188 WMB262188 WVX262188 P327724 JL327724 TH327724 ADD327724 AMZ327724 AWV327724 BGR327724 BQN327724 CAJ327724 CKF327724 CUB327724 DDX327724 DNT327724 DXP327724 EHL327724 ERH327724 FBD327724 FKZ327724 FUV327724 GER327724 GON327724 GYJ327724 HIF327724 HSB327724 IBX327724 ILT327724 IVP327724 JFL327724 JPH327724 JZD327724 KIZ327724 KSV327724 LCR327724 LMN327724 LWJ327724 MGF327724 MQB327724 MZX327724 NJT327724 NTP327724 ODL327724 ONH327724 OXD327724 PGZ327724 PQV327724 QAR327724 QKN327724 QUJ327724 REF327724 ROB327724 RXX327724 SHT327724 SRP327724 TBL327724 TLH327724 TVD327724 UEZ327724 UOV327724 UYR327724 VIN327724 VSJ327724 WCF327724 WMB327724 WVX327724 P393260 JL393260 TH393260 ADD393260 AMZ393260 AWV393260 BGR393260 BQN393260 CAJ393260 CKF393260 CUB393260 DDX393260 DNT393260 DXP393260 EHL393260 ERH393260 FBD393260 FKZ393260 FUV393260 GER393260 GON393260 GYJ393260 HIF393260 HSB393260 IBX393260 ILT393260 IVP393260 JFL393260 JPH393260 JZD393260 KIZ393260 KSV393260 LCR393260 LMN393260 LWJ393260 MGF393260 MQB393260 MZX393260 NJT393260 NTP393260 ODL393260 ONH393260 OXD393260 PGZ393260 PQV393260 QAR393260 QKN393260 QUJ393260 REF393260 ROB393260 RXX393260 SHT393260 SRP393260 TBL393260 TLH393260 TVD393260 UEZ393260 UOV393260 UYR393260 VIN393260 VSJ393260 WCF393260 WMB393260 WVX393260 P458796 JL458796 TH458796 ADD458796 AMZ458796 AWV458796 BGR458796 BQN458796 CAJ458796 CKF458796 CUB458796 DDX458796 DNT458796 DXP458796 EHL458796 ERH458796 FBD458796 FKZ458796 FUV458796 GER458796 GON458796 GYJ458796 HIF458796 HSB458796 IBX458796 ILT458796 IVP458796 JFL458796 JPH458796 JZD458796 KIZ458796 KSV458796 LCR458796 LMN458796 LWJ458796 MGF458796 MQB458796 MZX458796 NJT458796 NTP458796 ODL458796 ONH458796 OXD458796 PGZ458796 PQV458796 QAR458796 QKN458796 QUJ458796 REF458796 ROB458796 RXX458796 SHT458796 SRP458796 TBL458796 TLH458796 TVD458796 UEZ458796 UOV458796 UYR458796 VIN458796 VSJ458796 WCF458796 WMB458796 WVX458796 P524332 JL524332 TH524332 ADD524332 AMZ524332 AWV524332 BGR524332 BQN524332 CAJ524332 CKF524332 CUB524332 DDX524332 DNT524332 DXP524332 EHL524332 ERH524332 FBD524332 FKZ524332 FUV524332 GER524332 GON524332 GYJ524332 HIF524332 HSB524332 IBX524332 ILT524332 IVP524332 JFL524332 JPH524332 JZD524332 KIZ524332 KSV524332 LCR524332 LMN524332 LWJ524332 MGF524332 MQB524332 MZX524332 NJT524332 NTP524332 ODL524332 ONH524332 OXD524332 PGZ524332 PQV524332 QAR524332 QKN524332 QUJ524332 REF524332 ROB524332 RXX524332 SHT524332 SRP524332 TBL524332 TLH524332 TVD524332 UEZ524332 UOV524332 UYR524332 VIN524332 VSJ524332 WCF524332 WMB524332 WVX524332 P589868 JL589868 TH589868 ADD589868 AMZ589868 AWV589868 BGR589868 BQN589868 CAJ589868 CKF589868 CUB589868 DDX589868 DNT589868 DXP589868 EHL589868 ERH589868 FBD589868 FKZ589868 FUV589868 GER589868 GON589868 GYJ589868 HIF589868 HSB589868 IBX589868 ILT589868 IVP589868 JFL589868 JPH589868 JZD589868 KIZ589868 KSV589868 LCR589868 LMN589868 LWJ589868 MGF589868 MQB589868 MZX589868 NJT589868 NTP589868 ODL589868 ONH589868 OXD589868 PGZ589868 PQV589868 QAR589868 QKN589868 QUJ589868 REF589868 ROB589868 RXX589868 SHT589868 SRP589868 TBL589868 TLH589868 TVD589868 UEZ589868 UOV589868 UYR589868 VIN589868 VSJ589868 WCF589868 WMB589868 WVX589868 P655404 JL655404 TH655404 ADD655404 AMZ655404 AWV655404 BGR655404 BQN655404 CAJ655404 CKF655404 CUB655404 DDX655404 DNT655404 DXP655404 EHL655404 ERH655404 FBD655404 FKZ655404 FUV655404 GER655404 GON655404 GYJ655404 HIF655404 HSB655404 IBX655404 ILT655404 IVP655404 JFL655404 JPH655404 JZD655404 KIZ655404 KSV655404 LCR655404 LMN655404 LWJ655404 MGF655404 MQB655404 MZX655404 NJT655404 NTP655404 ODL655404 ONH655404 OXD655404 PGZ655404 PQV655404 QAR655404 QKN655404 QUJ655404 REF655404 ROB655404 RXX655404 SHT655404 SRP655404 TBL655404 TLH655404 TVD655404 UEZ655404 UOV655404 UYR655404 VIN655404 VSJ655404 WCF655404 WMB655404 WVX655404 P720940 JL720940 TH720940 ADD720940 AMZ720940 AWV720940 BGR720940 BQN720940 CAJ720940 CKF720940 CUB720940 DDX720940 DNT720940 DXP720940 EHL720940 ERH720940 FBD720940 FKZ720940 FUV720940 GER720940 GON720940 GYJ720940 HIF720940 HSB720940 IBX720940 ILT720940 IVP720940 JFL720940 JPH720940 JZD720940 KIZ720940 KSV720940 LCR720940 LMN720940 LWJ720940 MGF720940 MQB720940 MZX720940 NJT720940 NTP720940 ODL720940 ONH720940 OXD720940 PGZ720940 PQV720940 QAR720940 QKN720940 QUJ720940 REF720940 ROB720940 RXX720940 SHT720940 SRP720940 TBL720940 TLH720940 TVD720940 UEZ720940 UOV720940 UYR720940 VIN720940 VSJ720940 WCF720940 WMB720940 WVX720940 P786476 JL786476 TH786476 ADD786476 AMZ786476 AWV786476 BGR786476 BQN786476 CAJ786476 CKF786476 CUB786476 DDX786476 DNT786476 DXP786476 EHL786476 ERH786476 FBD786476 FKZ786476 FUV786476 GER786476 GON786476 GYJ786476 HIF786476 HSB786476 IBX786476 ILT786476 IVP786476 JFL786476 JPH786476 JZD786476 KIZ786476 KSV786476 LCR786476 LMN786476 LWJ786476 MGF786476 MQB786476 MZX786476 NJT786476 NTP786476 ODL786476 ONH786476 OXD786476 PGZ786476 PQV786476 QAR786476 QKN786476 QUJ786476 REF786476 ROB786476 RXX786476 SHT786476 SRP786476 TBL786476 TLH786476 TVD786476 UEZ786476 UOV786476 UYR786476 VIN786476 VSJ786476 WCF786476 WMB786476 WVX786476 P852012 JL852012 TH852012 ADD852012 AMZ852012 AWV852012 BGR852012 BQN852012 CAJ852012 CKF852012 CUB852012 DDX852012 DNT852012 DXP852012 EHL852012 ERH852012 FBD852012 FKZ852012 FUV852012 GER852012 GON852012 GYJ852012 HIF852012 HSB852012 IBX852012 ILT852012 IVP852012 JFL852012 JPH852012 JZD852012 KIZ852012 KSV852012 LCR852012 LMN852012 LWJ852012 MGF852012 MQB852012 MZX852012 NJT852012 NTP852012 ODL852012 ONH852012 OXD852012 PGZ852012 PQV852012 QAR852012 QKN852012 QUJ852012 REF852012 ROB852012 RXX852012 SHT852012 SRP852012 TBL852012 TLH852012 TVD852012 UEZ852012 UOV852012 UYR852012 VIN852012 VSJ852012 WCF852012 WMB852012 WVX852012 P917548 JL917548 TH917548 ADD917548 AMZ917548 AWV917548 BGR917548 BQN917548 CAJ917548 CKF917548 CUB917548 DDX917548 DNT917548 DXP917548 EHL917548 ERH917548 FBD917548 FKZ917548 FUV917548 GER917548 GON917548 GYJ917548 HIF917548 HSB917548 IBX917548 ILT917548 IVP917548 JFL917548 JPH917548 JZD917548 KIZ917548 KSV917548 LCR917548 LMN917548 LWJ917548 MGF917548 MQB917548 MZX917548 NJT917548 NTP917548 ODL917548 ONH917548 OXD917548 PGZ917548 PQV917548 QAR917548 QKN917548 QUJ917548 REF917548 ROB917548 RXX917548 SHT917548 SRP917548 TBL917548 TLH917548 TVD917548 UEZ917548 UOV917548 UYR917548 VIN917548 VSJ917548 WCF917548 WMB917548 WVX917548 P983084 JL983084 TH983084 ADD983084 AMZ983084 AWV983084 BGR983084 BQN983084 CAJ983084 CKF983084 CUB983084 DDX983084 DNT983084 DXP983084 EHL983084 ERH983084 FBD983084 FKZ983084 FUV983084 GER983084 GON983084 GYJ983084 HIF983084 HSB983084 IBX983084 ILT983084 IVP983084 JFL983084 JPH983084 JZD983084 KIZ983084 KSV983084 LCR983084 LMN983084 LWJ983084 MGF983084 MQB983084 MZX983084 NJT983084 NTP983084 ODL983084 ONH983084 OXD983084 PGZ983084 PQV983084 QAR983084 QKN983084 QUJ983084 REF983084 ROB983084 RXX983084 SHT983084 SRP983084 TBL983084 TLH983084 TVD983084 UEZ983084 UOV983084 UYR983084 VIN983084 VSJ983084 WCF983084 WMB983084 WVX983084 O46:P53 JK46:JL53 TG46:TH53 ADC46:ADD53 AMY46:AMZ53 AWU46:AWV53 BGQ46:BGR53 BQM46:BQN53 CAI46:CAJ53 CKE46:CKF53 CUA46:CUB53 DDW46:DDX53 DNS46:DNT53 DXO46:DXP53 EHK46:EHL53 ERG46:ERH53 FBC46:FBD53 FKY46:FKZ53 FUU46:FUV53 GEQ46:GER53 GOM46:GON53 GYI46:GYJ53 HIE46:HIF53 HSA46:HSB53 IBW46:IBX53 ILS46:ILT53 IVO46:IVP53 JFK46:JFL53 JPG46:JPH53 JZC46:JZD53 KIY46:KIZ53 KSU46:KSV53 LCQ46:LCR53 LMM46:LMN53 LWI46:LWJ53 MGE46:MGF53 MQA46:MQB53 MZW46:MZX53 NJS46:NJT53 NTO46:NTP53 ODK46:ODL53 ONG46:ONH53 OXC46:OXD53 PGY46:PGZ53 PQU46:PQV53 QAQ46:QAR53 QKM46:QKN53 QUI46:QUJ53 REE46:REF53 ROA46:ROB53 RXW46:RXX53 SHS46:SHT53 SRO46:SRP53 TBK46:TBL53 TLG46:TLH53 TVC46:TVD53 UEY46:UEZ53 UOU46:UOV53 UYQ46:UYR53 VIM46:VIN53 VSI46:VSJ53 WCE46:WCF53 WMA46:WMB53 WVW46:WVX53 O65582:P65589 JK65582:JL65589 TG65582:TH65589 ADC65582:ADD65589 AMY65582:AMZ65589 AWU65582:AWV65589 BGQ65582:BGR65589 BQM65582:BQN65589 CAI65582:CAJ65589 CKE65582:CKF65589 CUA65582:CUB65589 DDW65582:DDX65589 DNS65582:DNT65589 DXO65582:DXP65589 EHK65582:EHL65589 ERG65582:ERH65589 FBC65582:FBD65589 FKY65582:FKZ65589 FUU65582:FUV65589 GEQ65582:GER65589 GOM65582:GON65589 GYI65582:GYJ65589 HIE65582:HIF65589 HSA65582:HSB65589 IBW65582:IBX65589 ILS65582:ILT65589 IVO65582:IVP65589 JFK65582:JFL65589 JPG65582:JPH65589 JZC65582:JZD65589 KIY65582:KIZ65589 KSU65582:KSV65589 LCQ65582:LCR65589 LMM65582:LMN65589 LWI65582:LWJ65589 MGE65582:MGF65589 MQA65582:MQB65589 MZW65582:MZX65589 NJS65582:NJT65589 NTO65582:NTP65589 ODK65582:ODL65589 ONG65582:ONH65589 OXC65582:OXD65589 PGY65582:PGZ65589 PQU65582:PQV65589 QAQ65582:QAR65589 QKM65582:QKN65589 QUI65582:QUJ65589 REE65582:REF65589 ROA65582:ROB65589 RXW65582:RXX65589 SHS65582:SHT65589 SRO65582:SRP65589 TBK65582:TBL65589 TLG65582:TLH65589 TVC65582:TVD65589 UEY65582:UEZ65589 UOU65582:UOV65589 UYQ65582:UYR65589 VIM65582:VIN65589 VSI65582:VSJ65589 WCE65582:WCF65589 WMA65582:WMB65589 WVW65582:WVX65589 O131118:P131125 JK131118:JL131125 TG131118:TH131125 ADC131118:ADD131125 AMY131118:AMZ131125 AWU131118:AWV131125 BGQ131118:BGR131125 BQM131118:BQN131125 CAI131118:CAJ131125 CKE131118:CKF131125 CUA131118:CUB131125 DDW131118:DDX131125 DNS131118:DNT131125 DXO131118:DXP131125 EHK131118:EHL131125 ERG131118:ERH131125 FBC131118:FBD131125 FKY131118:FKZ131125 FUU131118:FUV131125 GEQ131118:GER131125 GOM131118:GON131125 GYI131118:GYJ131125 HIE131118:HIF131125 HSA131118:HSB131125 IBW131118:IBX131125 ILS131118:ILT131125 IVO131118:IVP131125 JFK131118:JFL131125 JPG131118:JPH131125 JZC131118:JZD131125 KIY131118:KIZ131125 KSU131118:KSV131125 LCQ131118:LCR131125 LMM131118:LMN131125 LWI131118:LWJ131125 MGE131118:MGF131125 MQA131118:MQB131125 MZW131118:MZX131125 NJS131118:NJT131125 NTO131118:NTP131125 ODK131118:ODL131125 ONG131118:ONH131125 OXC131118:OXD131125 PGY131118:PGZ131125 PQU131118:PQV131125 QAQ131118:QAR131125 QKM131118:QKN131125 QUI131118:QUJ131125 REE131118:REF131125 ROA131118:ROB131125 RXW131118:RXX131125 SHS131118:SHT131125 SRO131118:SRP131125 TBK131118:TBL131125 TLG131118:TLH131125 TVC131118:TVD131125 UEY131118:UEZ131125 UOU131118:UOV131125 UYQ131118:UYR131125 VIM131118:VIN131125 VSI131118:VSJ131125 WCE131118:WCF131125 WMA131118:WMB131125 WVW131118:WVX131125 O196654:P196661 JK196654:JL196661 TG196654:TH196661 ADC196654:ADD196661 AMY196654:AMZ196661 AWU196654:AWV196661 BGQ196654:BGR196661 BQM196654:BQN196661 CAI196654:CAJ196661 CKE196654:CKF196661 CUA196654:CUB196661 DDW196654:DDX196661 DNS196654:DNT196661 DXO196654:DXP196661 EHK196654:EHL196661 ERG196654:ERH196661 FBC196654:FBD196661 FKY196654:FKZ196661 FUU196654:FUV196661 GEQ196654:GER196661 GOM196654:GON196661 GYI196654:GYJ196661 HIE196654:HIF196661 HSA196654:HSB196661 IBW196654:IBX196661 ILS196654:ILT196661 IVO196654:IVP196661 JFK196654:JFL196661 JPG196654:JPH196661 JZC196654:JZD196661 KIY196654:KIZ196661 KSU196654:KSV196661 LCQ196654:LCR196661 LMM196654:LMN196661 LWI196654:LWJ196661 MGE196654:MGF196661 MQA196654:MQB196661 MZW196654:MZX196661 NJS196654:NJT196661 NTO196654:NTP196661 ODK196654:ODL196661 ONG196654:ONH196661 OXC196654:OXD196661 PGY196654:PGZ196661 PQU196654:PQV196661 QAQ196654:QAR196661 QKM196654:QKN196661 QUI196654:QUJ196661 REE196654:REF196661 ROA196654:ROB196661 RXW196654:RXX196661 SHS196654:SHT196661 SRO196654:SRP196661 TBK196654:TBL196661 TLG196654:TLH196661 TVC196654:TVD196661 UEY196654:UEZ196661 UOU196654:UOV196661 UYQ196654:UYR196661 VIM196654:VIN196661 VSI196654:VSJ196661 WCE196654:WCF196661 WMA196654:WMB196661 WVW196654:WVX196661 O262190:P262197 JK262190:JL262197 TG262190:TH262197 ADC262190:ADD262197 AMY262190:AMZ262197 AWU262190:AWV262197 BGQ262190:BGR262197 BQM262190:BQN262197 CAI262190:CAJ262197 CKE262190:CKF262197 CUA262190:CUB262197 DDW262190:DDX262197 DNS262190:DNT262197 DXO262190:DXP262197 EHK262190:EHL262197 ERG262190:ERH262197 FBC262190:FBD262197 FKY262190:FKZ262197 FUU262190:FUV262197 GEQ262190:GER262197 GOM262190:GON262197 GYI262190:GYJ262197 HIE262190:HIF262197 HSA262190:HSB262197 IBW262190:IBX262197 ILS262190:ILT262197 IVO262190:IVP262197 JFK262190:JFL262197 JPG262190:JPH262197 JZC262190:JZD262197 KIY262190:KIZ262197 KSU262190:KSV262197 LCQ262190:LCR262197 LMM262190:LMN262197 LWI262190:LWJ262197 MGE262190:MGF262197 MQA262190:MQB262197 MZW262190:MZX262197 NJS262190:NJT262197 NTO262190:NTP262197 ODK262190:ODL262197 ONG262190:ONH262197 OXC262190:OXD262197 PGY262190:PGZ262197 PQU262190:PQV262197 QAQ262190:QAR262197 QKM262190:QKN262197 QUI262190:QUJ262197 REE262190:REF262197 ROA262190:ROB262197 RXW262190:RXX262197 SHS262190:SHT262197 SRO262190:SRP262197 TBK262190:TBL262197 TLG262190:TLH262197 TVC262190:TVD262197 UEY262190:UEZ262197 UOU262190:UOV262197 UYQ262190:UYR262197 VIM262190:VIN262197 VSI262190:VSJ262197 WCE262190:WCF262197 WMA262190:WMB262197 WVW262190:WVX262197 O327726:P327733 JK327726:JL327733 TG327726:TH327733 ADC327726:ADD327733 AMY327726:AMZ327733 AWU327726:AWV327733 BGQ327726:BGR327733 BQM327726:BQN327733 CAI327726:CAJ327733 CKE327726:CKF327733 CUA327726:CUB327733 DDW327726:DDX327733 DNS327726:DNT327733 DXO327726:DXP327733 EHK327726:EHL327733 ERG327726:ERH327733 FBC327726:FBD327733 FKY327726:FKZ327733 FUU327726:FUV327733 GEQ327726:GER327733 GOM327726:GON327733 GYI327726:GYJ327733 HIE327726:HIF327733 HSA327726:HSB327733 IBW327726:IBX327733 ILS327726:ILT327733 IVO327726:IVP327733 JFK327726:JFL327733 JPG327726:JPH327733 JZC327726:JZD327733 KIY327726:KIZ327733 KSU327726:KSV327733 LCQ327726:LCR327733 LMM327726:LMN327733 LWI327726:LWJ327733 MGE327726:MGF327733 MQA327726:MQB327733 MZW327726:MZX327733 NJS327726:NJT327733 NTO327726:NTP327733 ODK327726:ODL327733 ONG327726:ONH327733 OXC327726:OXD327733 PGY327726:PGZ327733 PQU327726:PQV327733 QAQ327726:QAR327733 QKM327726:QKN327733 QUI327726:QUJ327733 REE327726:REF327733 ROA327726:ROB327733 RXW327726:RXX327733 SHS327726:SHT327733 SRO327726:SRP327733 TBK327726:TBL327733 TLG327726:TLH327733 TVC327726:TVD327733 UEY327726:UEZ327733 UOU327726:UOV327733 UYQ327726:UYR327733 VIM327726:VIN327733 VSI327726:VSJ327733 WCE327726:WCF327733 WMA327726:WMB327733 WVW327726:WVX327733 O393262:P393269 JK393262:JL393269 TG393262:TH393269 ADC393262:ADD393269 AMY393262:AMZ393269 AWU393262:AWV393269 BGQ393262:BGR393269 BQM393262:BQN393269 CAI393262:CAJ393269 CKE393262:CKF393269 CUA393262:CUB393269 DDW393262:DDX393269 DNS393262:DNT393269 DXO393262:DXP393269 EHK393262:EHL393269 ERG393262:ERH393269 FBC393262:FBD393269 FKY393262:FKZ393269 FUU393262:FUV393269 GEQ393262:GER393269 GOM393262:GON393269 GYI393262:GYJ393269 HIE393262:HIF393269 HSA393262:HSB393269 IBW393262:IBX393269 ILS393262:ILT393269 IVO393262:IVP393269 JFK393262:JFL393269 JPG393262:JPH393269 JZC393262:JZD393269 KIY393262:KIZ393269 KSU393262:KSV393269 LCQ393262:LCR393269 LMM393262:LMN393269 LWI393262:LWJ393269 MGE393262:MGF393269 MQA393262:MQB393269 MZW393262:MZX393269 NJS393262:NJT393269 NTO393262:NTP393269 ODK393262:ODL393269 ONG393262:ONH393269 OXC393262:OXD393269 PGY393262:PGZ393269 PQU393262:PQV393269 QAQ393262:QAR393269 QKM393262:QKN393269 QUI393262:QUJ393269 REE393262:REF393269 ROA393262:ROB393269 RXW393262:RXX393269 SHS393262:SHT393269 SRO393262:SRP393269 TBK393262:TBL393269 TLG393262:TLH393269 TVC393262:TVD393269 UEY393262:UEZ393269 UOU393262:UOV393269 UYQ393262:UYR393269 VIM393262:VIN393269 VSI393262:VSJ393269 WCE393262:WCF393269 WMA393262:WMB393269 WVW393262:WVX393269 O458798:P458805 JK458798:JL458805 TG458798:TH458805 ADC458798:ADD458805 AMY458798:AMZ458805 AWU458798:AWV458805 BGQ458798:BGR458805 BQM458798:BQN458805 CAI458798:CAJ458805 CKE458798:CKF458805 CUA458798:CUB458805 DDW458798:DDX458805 DNS458798:DNT458805 DXO458798:DXP458805 EHK458798:EHL458805 ERG458798:ERH458805 FBC458798:FBD458805 FKY458798:FKZ458805 FUU458798:FUV458805 GEQ458798:GER458805 GOM458798:GON458805 GYI458798:GYJ458805 HIE458798:HIF458805 HSA458798:HSB458805 IBW458798:IBX458805 ILS458798:ILT458805 IVO458798:IVP458805 JFK458798:JFL458805 JPG458798:JPH458805 JZC458798:JZD458805 KIY458798:KIZ458805 KSU458798:KSV458805 LCQ458798:LCR458805 LMM458798:LMN458805 LWI458798:LWJ458805 MGE458798:MGF458805 MQA458798:MQB458805 MZW458798:MZX458805 NJS458798:NJT458805 NTO458798:NTP458805 ODK458798:ODL458805 ONG458798:ONH458805 OXC458798:OXD458805 PGY458798:PGZ458805 PQU458798:PQV458805 QAQ458798:QAR458805 QKM458798:QKN458805 QUI458798:QUJ458805 REE458798:REF458805 ROA458798:ROB458805 RXW458798:RXX458805 SHS458798:SHT458805 SRO458798:SRP458805 TBK458798:TBL458805 TLG458798:TLH458805 TVC458798:TVD458805 UEY458798:UEZ458805 UOU458798:UOV458805 UYQ458798:UYR458805 VIM458798:VIN458805 VSI458798:VSJ458805 WCE458798:WCF458805 WMA458798:WMB458805 WVW458798:WVX458805 O524334:P524341 JK524334:JL524341 TG524334:TH524341 ADC524334:ADD524341 AMY524334:AMZ524341 AWU524334:AWV524341 BGQ524334:BGR524341 BQM524334:BQN524341 CAI524334:CAJ524341 CKE524334:CKF524341 CUA524334:CUB524341 DDW524334:DDX524341 DNS524334:DNT524341 DXO524334:DXP524341 EHK524334:EHL524341 ERG524334:ERH524341 FBC524334:FBD524341 FKY524334:FKZ524341 FUU524334:FUV524341 GEQ524334:GER524341 GOM524334:GON524341 GYI524334:GYJ524341 HIE524334:HIF524341 HSA524334:HSB524341 IBW524334:IBX524341 ILS524334:ILT524341 IVO524334:IVP524341 JFK524334:JFL524341 JPG524334:JPH524341 JZC524334:JZD524341 KIY524334:KIZ524341 KSU524334:KSV524341 LCQ524334:LCR524341 LMM524334:LMN524341 LWI524334:LWJ524341 MGE524334:MGF524341 MQA524334:MQB524341 MZW524334:MZX524341 NJS524334:NJT524341 NTO524334:NTP524341 ODK524334:ODL524341 ONG524334:ONH524341 OXC524334:OXD524341 PGY524334:PGZ524341 PQU524334:PQV524341 QAQ524334:QAR524341 QKM524334:QKN524341 QUI524334:QUJ524341 REE524334:REF524341 ROA524334:ROB524341 RXW524334:RXX524341 SHS524334:SHT524341 SRO524334:SRP524341 TBK524334:TBL524341 TLG524334:TLH524341 TVC524334:TVD524341 UEY524334:UEZ524341 UOU524334:UOV524341 UYQ524334:UYR524341 VIM524334:VIN524341 VSI524334:VSJ524341 WCE524334:WCF524341 WMA524334:WMB524341 WVW524334:WVX524341 O589870:P589877 JK589870:JL589877 TG589870:TH589877 ADC589870:ADD589877 AMY589870:AMZ589877 AWU589870:AWV589877 BGQ589870:BGR589877 BQM589870:BQN589877 CAI589870:CAJ589877 CKE589870:CKF589877 CUA589870:CUB589877 DDW589870:DDX589877 DNS589870:DNT589877 DXO589870:DXP589877 EHK589870:EHL589877 ERG589870:ERH589877 FBC589870:FBD589877 FKY589870:FKZ589877 FUU589870:FUV589877 GEQ589870:GER589877 GOM589870:GON589877 GYI589870:GYJ589877 HIE589870:HIF589877 HSA589870:HSB589877 IBW589870:IBX589877 ILS589870:ILT589877 IVO589870:IVP589877 JFK589870:JFL589877 JPG589870:JPH589877 JZC589870:JZD589877 KIY589870:KIZ589877 KSU589870:KSV589877 LCQ589870:LCR589877 LMM589870:LMN589877 LWI589870:LWJ589877 MGE589870:MGF589877 MQA589870:MQB589877 MZW589870:MZX589877 NJS589870:NJT589877 NTO589870:NTP589877 ODK589870:ODL589877 ONG589870:ONH589877 OXC589870:OXD589877 PGY589870:PGZ589877 PQU589870:PQV589877 QAQ589870:QAR589877 QKM589870:QKN589877 QUI589870:QUJ589877 REE589870:REF589877 ROA589870:ROB589877 RXW589870:RXX589877 SHS589870:SHT589877 SRO589870:SRP589877 TBK589870:TBL589877 TLG589870:TLH589877 TVC589870:TVD589877 UEY589870:UEZ589877 UOU589870:UOV589877 UYQ589870:UYR589877 VIM589870:VIN589877 VSI589870:VSJ589877 WCE589870:WCF589877 WMA589870:WMB589877 WVW589870:WVX589877 O655406:P655413 JK655406:JL655413 TG655406:TH655413 ADC655406:ADD655413 AMY655406:AMZ655413 AWU655406:AWV655413 BGQ655406:BGR655413 BQM655406:BQN655413 CAI655406:CAJ655413 CKE655406:CKF655413 CUA655406:CUB655413 DDW655406:DDX655413 DNS655406:DNT655413 DXO655406:DXP655413 EHK655406:EHL655413 ERG655406:ERH655413 FBC655406:FBD655413 FKY655406:FKZ655413 FUU655406:FUV655413 GEQ655406:GER655413 GOM655406:GON655413 GYI655406:GYJ655413 HIE655406:HIF655413 HSA655406:HSB655413 IBW655406:IBX655413 ILS655406:ILT655413 IVO655406:IVP655413 JFK655406:JFL655413 JPG655406:JPH655413 JZC655406:JZD655413 KIY655406:KIZ655413 KSU655406:KSV655413 LCQ655406:LCR655413 LMM655406:LMN655413 LWI655406:LWJ655413 MGE655406:MGF655413 MQA655406:MQB655413 MZW655406:MZX655413 NJS655406:NJT655413 NTO655406:NTP655413 ODK655406:ODL655413 ONG655406:ONH655413 OXC655406:OXD655413 PGY655406:PGZ655413 PQU655406:PQV655413 QAQ655406:QAR655413 QKM655406:QKN655413 QUI655406:QUJ655413 REE655406:REF655413 ROA655406:ROB655413 RXW655406:RXX655413 SHS655406:SHT655413 SRO655406:SRP655413 TBK655406:TBL655413 TLG655406:TLH655413 TVC655406:TVD655413 UEY655406:UEZ655413 UOU655406:UOV655413 UYQ655406:UYR655413 VIM655406:VIN655413 VSI655406:VSJ655413 WCE655406:WCF655413 WMA655406:WMB655413 WVW655406:WVX655413 O720942:P720949 JK720942:JL720949 TG720942:TH720949 ADC720942:ADD720949 AMY720942:AMZ720949 AWU720942:AWV720949 BGQ720942:BGR720949 BQM720942:BQN720949 CAI720942:CAJ720949 CKE720942:CKF720949 CUA720942:CUB720949 DDW720942:DDX720949 DNS720942:DNT720949 DXO720942:DXP720949 EHK720942:EHL720949 ERG720942:ERH720949 FBC720942:FBD720949 FKY720942:FKZ720949 FUU720942:FUV720949 GEQ720942:GER720949 GOM720942:GON720949 GYI720942:GYJ720949 HIE720942:HIF720949 HSA720942:HSB720949 IBW720942:IBX720949 ILS720942:ILT720949 IVO720942:IVP720949 JFK720942:JFL720949 JPG720942:JPH720949 JZC720942:JZD720949 KIY720942:KIZ720949 KSU720942:KSV720949 LCQ720942:LCR720949 LMM720942:LMN720949 LWI720942:LWJ720949 MGE720942:MGF720949 MQA720942:MQB720949 MZW720942:MZX720949 NJS720942:NJT720949 NTO720942:NTP720949 ODK720942:ODL720949 ONG720942:ONH720949 OXC720942:OXD720949 PGY720942:PGZ720949 PQU720942:PQV720949 QAQ720942:QAR720949 QKM720942:QKN720949 QUI720942:QUJ720949 REE720942:REF720949 ROA720942:ROB720949 RXW720942:RXX720949 SHS720942:SHT720949 SRO720942:SRP720949 TBK720942:TBL720949 TLG720942:TLH720949 TVC720942:TVD720949 UEY720942:UEZ720949 UOU720942:UOV720949 UYQ720942:UYR720949 VIM720942:VIN720949 VSI720942:VSJ720949 WCE720942:WCF720949 WMA720942:WMB720949 WVW720942:WVX720949 O786478:P786485 JK786478:JL786485 TG786478:TH786485 ADC786478:ADD786485 AMY786478:AMZ786485 AWU786478:AWV786485 BGQ786478:BGR786485 BQM786478:BQN786485 CAI786478:CAJ786485 CKE786478:CKF786485 CUA786478:CUB786485 DDW786478:DDX786485 DNS786478:DNT786485 DXO786478:DXP786485 EHK786478:EHL786485 ERG786478:ERH786485 FBC786478:FBD786485 FKY786478:FKZ786485 FUU786478:FUV786485 GEQ786478:GER786485 GOM786478:GON786485 GYI786478:GYJ786485 HIE786478:HIF786485 HSA786478:HSB786485 IBW786478:IBX786485 ILS786478:ILT786485 IVO786478:IVP786485 JFK786478:JFL786485 JPG786478:JPH786485 JZC786478:JZD786485 KIY786478:KIZ786485 KSU786478:KSV786485 LCQ786478:LCR786485 LMM786478:LMN786485 LWI786478:LWJ786485 MGE786478:MGF786485 MQA786478:MQB786485 MZW786478:MZX786485 NJS786478:NJT786485 NTO786478:NTP786485 ODK786478:ODL786485 ONG786478:ONH786485 OXC786478:OXD786485 PGY786478:PGZ786485 PQU786478:PQV786485 QAQ786478:QAR786485 QKM786478:QKN786485 QUI786478:QUJ786485 REE786478:REF786485 ROA786478:ROB786485 RXW786478:RXX786485 SHS786478:SHT786485 SRO786478:SRP786485 TBK786478:TBL786485 TLG786478:TLH786485 TVC786478:TVD786485 UEY786478:UEZ786485 UOU786478:UOV786485 UYQ786478:UYR786485 VIM786478:VIN786485 VSI786478:VSJ786485 WCE786478:WCF786485 WMA786478:WMB786485 WVW786478:WVX786485 O852014:P852021 JK852014:JL852021 TG852014:TH852021 ADC852014:ADD852021 AMY852014:AMZ852021 AWU852014:AWV852021 BGQ852014:BGR852021 BQM852014:BQN852021 CAI852014:CAJ852021 CKE852014:CKF852021 CUA852014:CUB852021 DDW852014:DDX852021 DNS852014:DNT852021 DXO852014:DXP852021 EHK852014:EHL852021 ERG852014:ERH852021 FBC852014:FBD852021 FKY852014:FKZ852021 FUU852014:FUV852021 GEQ852014:GER852021 GOM852014:GON852021 GYI852014:GYJ852021 HIE852014:HIF852021 HSA852014:HSB852021 IBW852014:IBX852021 ILS852014:ILT852021 IVO852014:IVP852021 JFK852014:JFL852021 JPG852014:JPH852021 JZC852014:JZD852021 KIY852014:KIZ852021 KSU852014:KSV852021 LCQ852014:LCR852021 LMM852014:LMN852021 LWI852014:LWJ852021 MGE852014:MGF852021 MQA852014:MQB852021 MZW852014:MZX852021 NJS852014:NJT852021 NTO852014:NTP852021 ODK852014:ODL852021 ONG852014:ONH852021 OXC852014:OXD852021 PGY852014:PGZ852021 PQU852014:PQV852021 QAQ852014:QAR852021 QKM852014:QKN852021 QUI852014:QUJ852021 REE852014:REF852021 ROA852014:ROB852021 RXW852014:RXX852021 SHS852014:SHT852021 SRO852014:SRP852021 TBK852014:TBL852021 TLG852014:TLH852021 TVC852014:TVD852021 UEY852014:UEZ852021 UOU852014:UOV852021 UYQ852014:UYR852021 VIM852014:VIN852021 VSI852014:VSJ852021 WCE852014:WCF852021 WMA852014:WMB852021 WVW852014:WVX852021 O917550:P917557 JK917550:JL917557 TG917550:TH917557 ADC917550:ADD917557 AMY917550:AMZ917557 AWU917550:AWV917557 BGQ917550:BGR917557 BQM917550:BQN917557 CAI917550:CAJ917557 CKE917550:CKF917557 CUA917550:CUB917557 DDW917550:DDX917557 DNS917550:DNT917557 DXO917550:DXP917557 EHK917550:EHL917557 ERG917550:ERH917557 FBC917550:FBD917557 FKY917550:FKZ917557 FUU917550:FUV917557 GEQ917550:GER917557 GOM917550:GON917557 GYI917550:GYJ917557 HIE917550:HIF917557 HSA917550:HSB917557 IBW917550:IBX917557 ILS917550:ILT917557 IVO917550:IVP917557 JFK917550:JFL917557 JPG917550:JPH917557 JZC917550:JZD917557 KIY917550:KIZ917557 KSU917550:KSV917557 LCQ917550:LCR917557 LMM917550:LMN917557 LWI917550:LWJ917557 MGE917550:MGF917557 MQA917550:MQB917557 MZW917550:MZX917557 NJS917550:NJT917557 NTO917550:NTP917557 ODK917550:ODL917557 ONG917550:ONH917557 OXC917550:OXD917557 PGY917550:PGZ917557 PQU917550:PQV917557 QAQ917550:QAR917557 QKM917550:QKN917557 QUI917550:QUJ917557 REE917550:REF917557 ROA917550:ROB917557 RXW917550:RXX917557 SHS917550:SHT917557 SRO917550:SRP917557 TBK917550:TBL917557 TLG917550:TLH917557 TVC917550:TVD917557 UEY917550:UEZ917557 UOU917550:UOV917557 UYQ917550:UYR917557 VIM917550:VIN917557 VSI917550:VSJ917557 WCE917550:WCF917557 WMA917550:WMB917557 WVW917550:WVX917557 O983086:P983093 JK983086:JL983093 TG983086:TH983093 ADC983086:ADD983093 AMY983086:AMZ983093 AWU983086:AWV983093 BGQ983086:BGR983093 BQM983086:BQN983093 CAI983086:CAJ983093 CKE983086:CKF983093 CUA983086:CUB983093 DDW983086:DDX983093 DNS983086:DNT983093 DXO983086:DXP983093 EHK983086:EHL983093 ERG983086:ERH983093 FBC983086:FBD983093 FKY983086:FKZ983093 FUU983086:FUV983093 GEQ983086:GER983093 GOM983086:GON983093 GYI983086:GYJ983093 HIE983086:HIF983093 HSA983086:HSB983093 IBW983086:IBX983093 ILS983086:ILT983093 IVO983086:IVP983093 JFK983086:JFL983093 JPG983086:JPH983093 JZC983086:JZD983093 KIY983086:KIZ983093 KSU983086:KSV983093 LCQ983086:LCR983093 LMM983086:LMN983093 LWI983086:LWJ983093 MGE983086:MGF983093 MQA983086:MQB983093 MZW983086:MZX983093 NJS983086:NJT983093 NTO983086:NTP983093 ODK983086:ODL983093 ONG983086:ONH983093 OXC983086:OXD983093 PGY983086:PGZ983093 PQU983086:PQV983093 QAQ983086:QAR983093 QKM983086:QKN983093 QUI983086:QUJ983093 REE983086:REF983093 ROA983086:ROB983093 RXW983086:RXX983093 SHS983086:SHT983093 SRO983086:SRP983093 TBK983086:TBL983093 TLG983086:TLH983093 TVC983086:TVD983093 UEY983086:UEZ983093 UOU983086:UOV983093 UYQ983086:UYR983093 VIM983086:VIN983093 VSI983086:VSJ983093 WCE983086:WCF983093 WMA983086:WMB983093 WVW983086:WVX983093 P58:P60 JL58:JL60 TH58:TH60 ADD58:ADD60 AMZ58:AMZ60 AWV58:AWV60 BGR58:BGR60 BQN58:BQN60 CAJ58:CAJ60 CKF58:CKF60 CUB58:CUB60 DDX58:DDX60 DNT58:DNT60 DXP58:DXP60 EHL58:EHL60 ERH58:ERH60 FBD58:FBD60 FKZ58:FKZ60 FUV58:FUV60 GER58:GER60 GON58:GON60 GYJ58:GYJ60 HIF58:HIF60 HSB58:HSB60 IBX58:IBX60 ILT58:ILT60 IVP58:IVP60 JFL58:JFL60 JPH58:JPH60 JZD58:JZD60 KIZ58:KIZ60 KSV58:KSV60 LCR58:LCR60 LMN58:LMN60 LWJ58:LWJ60 MGF58:MGF60 MQB58:MQB60 MZX58:MZX60 NJT58:NJT60 NTP58:NTP60 ODL58:ODL60 ONH58:ONH60 OXD58:OXD60 PGZ58:PGZ60 PQV58:PQV60 QAR58:QAR60 QKN58:QKN60 QUJ58:QUJ60 REF58:REF60 ROB58:ROB60 RXX58:RXX60 SHT58:SHT60 SRP58:SRP60 TBL58:TBL60 TLH58:TLH60 TVD58:TVD60 UEZ58:UEZ60 UOV58:UOV60 UYR58:UYR60 VIN58:VIN60 VSJ58:VSJ60 WCF58:WCF60 WMB58:WMB60 WVX58:WVX60 P65594:P65596 JL65594:JL65596 TH65594:TH65596 ADD65594:ADD65596 AMZ65594:AMZ65596 AWV65594:AWV65596 BGR65594:BGR65596 BQN65594:BQN65596 CAJ65594:CAJ65596 CKF65594:CKF65596 CUB65594:CUB65596 DDX65594:DDX65596 DNT65594:DNT65596 DXP65594:DXP65596 EHL65594:EHL65596 ERH65594:ERH65596 FBD65594:FBD65596 FKZ65594:FKZ65596 FUV65594:FUV65596 GER65594:GER65596 GON65594:GON65596 GYJ65594:GYJ65596 HIF65594:HIF65596 HSB65594:HSB65596 IBX65594:IBX65596 ILT65594:ILT65596 IVP65594:IVP65596 JFL65594:JFL65596 JPH65594:JPH65596 JZD65594:JZD65596 KIZ65594:KIZ65596 KSV65594:KSV65596 LCR65594:LCR65596 LMN65594:LMN65596 LWJ65594:LWJ65596 MGF65594:MGF65596 MQB65594:MQB65596 MZX65594:MZX65596 NJT65594:NJT65596 NTP65594:NTP65596 ODL65594:ODL65596 ONH65594:ONH65596 OXD65594:OXD65596 PGZ65594:PGZ65596 PQV65594:PQV65596 QAR65594:QAR65596 QKN65594:QKN65596 QUJ65594:QUJ65596 REF65594:REF65596 ROB65594:ROB65596 RXX65594:RXX65596 SHT65594:SHT65596 SRP65594:SRP65596 TBL65594:TBL65596 TLH65594:TLH65596 TVD65594:TVD65596 UEZ65594:UEZ65596 UOV65594:UOV65596 UYR65594:UYR65596 VIN65594:VIN65596 VSJ65594:VSJ65596 WCF65594:WCF65596 WMB65594:WMB65596 WVX65594:WVX65596 P131130:P131132 JL131130:JL131132 TH131130:TH131132 ADD131130:ADD131132 AMZ131130:AMZ131132 AWV131130:AWV131132 BGR131130:BGR131132 BQN131130:BQN131132 CAJ131130:CAJ131132 CKF131130:CKF131132 CUB131130:CUB131132 DDX131130:DDX131132 DNT131130:DNT131132 DXP131130:DXP131132 EHL131130:EHL131132 ERH131130:ERH131132 FBD131130:FBD131132 FKZ131130:FKZ131132 FUV131130:FUV131132 GER131130:GER131132 GON131130:GON131132 GYJ131130:GYJ131132 HIF131130:HIF131132 HSB131130:HSB131132 IBX131130:IBX131132 ILT131130:ILT131132 IVP131130:IVP131132 JFL131130:JFL131132 JPH131130:JPH131132 JZD131130:JZD131132 KIZ131130:KIZ131132 KSV131130:KSV131132 LCR131130:LCR131132 LMN131130:LMN131132 LWJ131130:LWJ131132 MGF131130:MGF131132 MQB131130:MQB131132 MZX131130:MZX131132 NJT131130:NJT131132 NTP131130:NTP131132 ODL131130:ODL131132 ONH131130:ONH131132 OXD131130:OXD131132 PGZ131130:PGZ131132 PQV131130:PQV131132 QAR131130:QAR131132 QKN131130:QKN131132 QUJ131130:QUJ131132 REF131130:REF131132 ROB131130:ROB131132 RXX131130:RXX131132 SHT131130:SHT131132 SRP131130:SRP131132 TBL131130:TBL131132 TLH131130:TLH131132 TVD131130:TVD131132 UEZ131130:UEZ131132 UOV131130:UOV131132 UYR131130:UYR131132 VIN131130:VIN131132 VSJ131130:VSJ131132 WCF131130:WCF131132 WMB131130:WMB131132 WVX131130:WVX131132 P196666:P196668 JL196666:JL196668 TH196666:TH196668 ADD196666:ADD196668 AMZ196666:AMZ196668 AWV196666:AWV196668 BGR196666:BGR196668 BQN196666:BQN196668 CAJ196666:CAJ196668 CKF196666:CKF196668 CUB196666:CUB196668 DDX196666:DDX196668 DNT196666:DNT196668 DXP196666:DXP196668 EHL196666:EHL196668 ERH196666:ERH196668 FBD196666:FBD196668 FKZ196666:FKZ196668 FUV196666:FUV196668 GER196666:GER196668 GON196666:GON196668 GYJ196666:GYJ196668 HIF196666:HIF196668 HSB196666:HSB196668 IBX196666:IBX196668 ILT196666:ILT196668 IVP196666:IVP196668 JFL196666:JFL196668 JPH196666:JPH196668 JZD196666:JZD196668 KIZ196666:KIZ196668 KSV196666:KSV196668 LCR196666:LCR196668 LMN196666:LMN196668 LWJ196666:LWJ196668 MGF196666:MGF196668 MQB196666:MQB196668 MZX196666:MZX196668 NJT196666:NJT196668 NTP196666:NTP196668 ODL196666:ODL196668 ONH196666:ONH196668 OXD196666:OXD196668 PGZ196666:PGZ196668 PQV196666:PQV196668 QAR196666:QAR196668 QKN196666:QKN196668 QUJ196666:QUJ196668 REF196666:REF196668 ROB196666:ROB196668 RXX196666:RXX196668 SHT196666:SHT196668 SRP196666:SRP196668 TBL196666:TBL196668 TLH196666:TLH196668 TVD196666:TVD196668 UEZ196666:UEZ196668 UOV196666:UOV196668 UYR196666:UYR196668 VIN196666:VIN196668 VSJ196666:VSJ196668 WCF196666:WCF196668 WMB196666:WMB196668 WVX196666:WVX196668 P262202:P262204 JL262202:JL262204 TH262202:TH262204 ADD262202:ADD262204 AMZ262202:AMZ262204 AWV262202:AWV262204 BGR262202:BGR262204 BQN262202:BQN262204 CAJ262202:CAJ262204 CKF262202:CKF262204 CUB262202:CUB262204 DDX262202:DDX262204 DNT262202:DNT262204 DXP262202:DXP262204 EHL262202:EHL262204 ERH262202:ERH262204 FBD262202:FBD262204 FKZ262202:FKZ262204 FUV262202:FUV262204 GER262202:GER262204 GON262202:GON262204 GYJ262202:GYJ262204 HIF262202:HIF262204 HSB262202:HSB262204 IBX262202:IBX262204 ILT262202:ILT262204 IVP262202:IVP262204 JFL262202:JFL262204 JPH262202:JPH262204 JZD262202:JZD262204 KIZ262202:KIZ262204 KSV262202:KSV262204 LCR262202:LCR262204 LMN262202:LMN262204 LWJ262202:LWJ262204 MGF262202:MGF262204 MQB262202:MQB262204 MZX262202:MZX262204 NJT262202:NJT262204 NTP262202:NTP262204 ODL262202:ODL262204 ONH262202:ONH262204 OXD262202:OXD262204 PGZ262202:PGZ262204 PQV262202:PQV262204 QAR262202:QAR262204 QKN262202:QKN262204 QUJ262202:QUJ262204 REF262202:REF262204 ROB262202:ROB262204 RXX262202:RXX262204 SHT262202:SHT262204 SRP262202:SRP262204 TBL262202:TBL262204 TLH262202:TLH262204 TVD262202:TVD262204 UEZ262202:UEZ262204 UOV262202:UOV262204 UYR262202:UYR262204 VIN262202:VIN262204 VSJ262202:VSJ262204 WCF262202:WCF262204 WMB262202:WMB262204 WVX262202:WVX262204 P327738:P327740 JL327738:JL327740 TH327738:TH327740 ADD327738:ADD327740 AMZ327738:AMZ327740 AWV327738:AWV327740 BGR327738:BGR327740 BQN327738:BQN327740 CAJ327738:CAJ327740 CKF327738:CKF327740 CUB327738:CUB327740 DDX327738:DDX327740 DNT327738:DNT327740 DXP327738:DXP327740 EHL327738:EHL327740 ERH327738:ERH327740 FBD327738:FBD327740 FKZ327738:FKZ327740 FUV327738:FUV327740 GER327738:GER327740 GON327738:GON327740 GYJ327738:GYJ327740 HIF327738:HIF327740 HSB327738:HSB327740 IBX327738:IBX327740 ILT327738:ILT327740 IVP327738:IVP327740 JFL327738:JFL327740 JPH327738:JPH327740 JZD327738:JZD327740 KIZ327738:KIZ327740 KSV327738:KSV327740 LCR327738:LCR327740 LMN327738:LMN327740 LWJ327738:LWJ327740 MGF327738:MGF327740 MQB327738:MQB327740 MZX327738:MZX327740 NJT327738:NJT327740 NTP327738:NTP327740 ODL327738:ODL327740 ONH327738:ONH327740 OXD327738:OXD327740 PGZ327738:PGZ327740 PQV327738:PQV327740 QAR327738:QAR327740 QKN327738:QKN327740 QUJ327738:QUJ327740 REF327738:REF327740 ROB327738:ROB327740 RXX327738:RXX327740 SHT327738:SHT327740 SRP327738:SRP327740 TBL327738:TBL327740 TLH327738:TLH327740 TVD327738:TVD327740 UEZ327738:UEZ327740 UOV327738:UOV327740 UYR327738:UYR327740 VIN327738:VIN327740 VSJ327738:VSJ327740 WCF327738:WCF327740 WMB327738:WMB327740 WVX327738:WVX327740 P393274:P393276 JL393274:JL393276 TH393274:TH393276 ADD393274:ADD393276 AMZ393274:AMZ393276 AWV393274:AWV393276 BGR393274:BGR393276 BQN393274:BQN393276 CAJ393274:CAJ393276 CKF393274:CKF393276 CUB393274:CUB393276 DDX393274:DDX393276 DNT393274:DNT393276 DXP393274:DXP393276 EHL393274:EHL393276 ERH393274:ERH393276 FBD393274:FBD393276 FKZ393274:FKZ393276 FUV393274:FUV393276 GER393274:GER393276 GON393274:GON393276 GYJ393274:GYJ393276 HIF393274:HIF393276 HSB393274:HSB393276 IBX393274:IBX393276 ILT393274:ILT393276 IVP393274:IVP393276 JFL393274:JFL393276 JPH393274:JPH393276 JZD393274:JZD393276 KIZ393274:KIZ393276 KSV393274:KSV393276 LCR393274:LCR393276 LMN393274:LMN393276 LWJ393274:LWJ393276 MGF393274:MGF393276 MQB393274:MQB393276 MZX393274:MZX393276 NJT393274:NJT393276 NTP393274:NTP393276 ODL393274:ODL393276 ONH393274:ONH393276 OXD393274:OXD393276 PGZ393274:PGZ393276 PQV393274:PQV393276 QAR393274:QAR393276 QKN393274:QKN393276 QUJ393274:QUJ393276 REF393274:REF393276 ROB393274:ROB393276 RXX393274:RXX393276 SHT393274:SHT393276 SRP393274:SRP393276 TBL393274:TBL393276 TLH393274:TLH393276 TVD393274:TVD393276 UEZ393274:UEZ393276 UOV393274:UOV393276 UYR393274:UYR393276 VIN393274:VIN393276 VSJ393274:VSJ393276 WCF393274:WCF393276 WMB393274:WMB393276 WVX393274:WVX393276 P458810:P458812 JL458810:JL458812 TH458810:TH458812 ADD458810:ADD458812 AMZ458810:AMZ458812 AWV458810:AWV458812 BGR458810:BGR458812 BQN458810:BQN458812 CAJ458810:CAJ458812 CKF458810:CKF458812 CUB458810:CUB458812 DDX458810:DDX458812 DNT458810:DNT458812 DXP458810:DXP458812 EHL458810:EHL458812 ERH458810:ERH458812 FBD458810:FBD458812 FKZ458810:FKZ458812 FUV458810:FUV458812 GER458810:GER458812 GON458810:GON458812 GYJ458810:GYJ458812 HIF458810:HIF458812 HSB458810:HSB458812 IBX458810:IBX458812 ILT458810:ILT458812 IVP458810:IVP458812 JFL458810:JFL458812 JPH458810:JPH458812 JZD458810:JZD458812 KIZ458810:KIZ458812 KSV458810:KSV458812 LCR458810:LCR458812 LMN458810:LMN458812 LWJ458810:LWJ458812 MGF458810:MGF458812 MQB458810:MQB458812 MZX458810:MZX458812 NJT458810:NJT458812 NTP458810:NTP458812 ODL458810:ODL458812 ONH458810:ONH458812 OXD458810:OXD458812 PGZ458810:PGZ458812 PQV458810:PQV458812 QAR458810:QAR458812 QKN458810:QKN458812 QUJ458810:QUJ458812 REF458810:REF458812 ROB458810:ROB458812 RXX458810:RXX458812 SHT458810:SHT458812 SRP458810:SRP458812 TBL458810:TBL458812 TLH458810:TLH458812 TVD458810:TVD458812 UEZ458810:UEZ458812 UOV458810:UOV458812 UYR458810:UYR458812 VIN458810:VIN458812 VSJ458810:VSJ458812 WCF458810:WCF458812 WMB458810:WMB458812 WVX458810:WVX458812 P524346:P524348 JL524346:JL524348 TH524346:TH524348 ADD524346:ADD524348 AMZ524346:AMZ524348 AWV524346:AWV524348 BGR524346:BGR524348 BQN524346:BQN524348 CAJ524346:CAJ524348 CKF524346:CKF524348 CUB524346:CUB524348 DDX524346:DDX524348 DNT524346:DNT524348 DXP524346:DXP524348 EHL524346:EHL524348 ERH524346:ERH524348 FBD524346:FBD524348 FKZ524346:FKZ524348 FUV524346:FUV524348 GER524346:GER524348 GON524346:GON524348 GYJ524346:GYJ524348 HIF524346:HIF524348 HSB524346:HSB524348 IBX524346:IBX524348 ILT524346:ILT524348 IVP524346:IVP524348 JFL524346:JFL524348 JPH524346:JPH524348 JZD524346:JZD524348 KIZ524346:KIZ524348 KSV524346:KSV524348 LCR524346:LCR524348 LMN524346:LMN524348 LWJ524346:LWJ524348 MGF524346:MGF524348 MQB524346:MQB524348 MZX524346:MZX524348 NJT524346:NJT524348 NTP524346:NTP524348 ODL524346:ODL524348 ONH524346:ONH524348 OXD524346:OXD524348 PGZ524346:PGZ524348 PQV524346:PQV524348 QAR524346:QAR524348 QKN524346:QKN524348 QUJ524346:QUJ524348 REF524346:REF524348 ROB524346:ROB524348 RXX524346:RXX524348 SHT524346:SHT524348 SRP524346:SRP524348 TBL524346:TBL524348 TLH524346:TLH524348 TVD524346:TVD524348 UEZ524346:UEZ524348 UOV524346:UOV524348 UYR524346:UYR524348 VIN524346:VIN524348 VSJ524346:VSJ524348 WCF524346:WCF524348 WMB524346:WMB524348 WVX524346:WVX524348 P589882:P589884 JL589882:JL589884 TH589882:TH589884 ADD589882:ADD589884 AMZ589882:AMZ589884 AWV589882:AWV589884 BGR589882:BGR589884 BQN589882:BQN589884 CAJ589882:CAJ589884 CKF589882:CKF589884 CUB589882:CUB589884 DDX589882:DDX589884 DNT589882:DNT589884 DXP589882:DXP589884 EHL589882:EHL589884 ERH589882:ERH589884 FBD589882:FBD589884 FKZ589882:FKZ589884 FUV589882:FUV589884 GER589882:GER589884 GON589882:GON589884 GYJ589882:GYJ589884 HIF589882:HIF589884 HSB589882:HSB589884 IBX589882:IBX589884 ILT589882:ILT589884 IVP589882:IVP589884 JFL589882:JFL589884 JPH589882:JPH589884 JZD589882:JZD589884 KIZ589882:KIZ589884 KSV589882:KSV589884 LCR589882:LCR589884 LMN589882:LMN589884 LWJ589882:LWJ589884 MGF589882:MGF589884 MQB589882:MQB589884 MZX589882:MZX589884 NJT589882:NJT589884 NTP589882:NTP589884 ODL589882:ODL589884 ONH589882:ONH589884 OXD589882:OXD589884 PGZ589882:PGZ589884 PQV589882:PQV589884 QAR589882:QAR589884 QKN589882:QKN589884 QUJ589882:QUJ589884 REF589882:REF589884 ROB589882:ROB589884 RXX589882:RXX589884 SHT589882:SHT589884 SRP589882:SRP589884 TBL589882:TBL589884 TLH589882:TLH589884 TVD589882:TVD589884 UEZ589882:UEZ589884 UOV589882:UOV589884 UYR589882:UYR589884 VIN589882:VIN589884 VSJ589882:VSJ589884 WCF589882:WCF589884 WMB589882:WMB589884 WVX589882:WVX589884 P655418:P655420 JL655418:JL655420 TH655418:TH655420 ADD655418:ADD655420 AMZ655418:AMZ655420 AWV655418:AWV655420 BGR655418:BGR655420 BQN655418:BQN655420 CAJ655418:CAJ655420 CKF655418:CKF655420 CUB655418:CUB655420 DDX655418:DDX655420 DNT655418:DNT655420 DXP655418:DXP655420 EHL655418:EHL655420 ERH655418:ERH655420 FBD655418:FBD655420 FKZ655418:FKZ655420 FUV655418:FUV655420 GER655418:GER655420 GON655418:GON655420 GYJ655418:GYJ655420 HIF655418:HIF655420 HSB655418:HSB655420 IBX655418:IBX655420 ILT655418:ILT655420 IVP655418:IVP655420 JFL655418:JFL655420 JPH655418:JPH655420 JZD655418:JZD655420 KIZ655418:KIZ655420 KSV655418:KSV655420 LCR655418:LCR655420 LMN655418:LMN655420 LWJ655418:LWJ655420 MGF655418:MGF655420 MQB655418:MQB655420 MZX655418:MZX655420 NJT655418:NJT655420 NTP655418:NTP655420 ODL655418:ODL655420 ONH655418:ONH655420 OXD655418:OXD655420 PGZ655418:PGZ655420 PQV655418:PQV655420 QAR655418:QAR655420 QKN655418:QKN655420 QUJ655418:QUJ655420 REF655418:REF655420 ROB655418:ROB655420 RXX655418:RXX655420 SHT655418:SHT655420 SRP655418:SRP655420 TBL655418:TBL655420 TLH655418:TLH655420 TVD655418:TVD655420 UEZ655418:UEZ655420 UOV655418:UOV655420 UYR655418:UYR655420 VIN655418:VIN655420 VSJ655418:VSJ655420 WCF655418:WCF655420 WMB655418:WMB655420 WVX655418:WVX655420 P720954:P720956 JL720954:JL720956 TH720954:TH720956 ADD720954:ADD720956 AMZ720954:AMZ720956 AWV720954:AWV720956 BGR720954:BGR720956 BQN720954:BQN720956 CAJ720954:CAJ720956 CKF720954:CKF720956 CUB720954:CUB720956 DDX720954:DDX720956 DNT720954:DNT720956 DXP720954:DXP720956 EHL720954:EHL720956 ERH720954:ERH720956 FBD720954:FBD720956 FKZ720954:FKZ720956 FUV720954:FUV720956 GER720954:GER720956 GON720954:GON720956 GYJ720954:GYJ720956 HIF720954:HIF720956 HSB720954:HSB720956 IBX720954:IBX720956 ILT720954:ILT720956 IVP720954:IVP720956 JFL720954:JFL720956 JPH720954:JPH720956 JZD720954:JZD720956 KIZ720954:KIZ720956 KSV720954:KSV720956 LCR720954:LCR720956 LMN720954:LMN720956 LWJ720954:LWJ720956 MGF720954:MGF720956 MQB720954:MQB720956 MZX720954:MZX720956 NJT720954:NJT720956 NTP720954:NTP720956 ODL720954:ODL720956 ONH720954:ONH720956 OXD720954:OXD720956 PGZ720954:PGZ720956 PQV720954:PQV720956 QAR720954:QAR720956 QKN720954:QKN720956 QUJ720954:QUJ720956 REF720954:REF720956 ROB720954:ROB720956 RXX720954:RXX720956 SHT720954:SHT720956 SRP720954:SRP720956 TBL720954:TBL720956 TLH720954:TLH720956 TVD720954:TVD720956 UEZ720954:UEZ720956 UOV720954:UOV720956 UYR720954:UYR720956 VIN720954:VIN720956 VSJ720954:VSJ720956 WCF720954:WCF720956 WMB720954:WMB720956 WVX720954:WVX720956 P786490:P786492 JL786490:JL786492 TH786490:TH786492 ADD786490:ADD786492 AMZ786490:AMZ786492 AWV786490:AWV786492 BGR786490:BGR786492 BQN786490:BQN786492 CAJ786490:CAJ786492 CKF786490:CKF786492 CUB786490:CUB786492 DDX786490:DDX786492 DNT786490:DNT786492 DXP786490:DXP786492 EHL786490:EHL786492 ERH786490:ERH786492 FBD786490:FBD786492 FKZ786490:FKZ786492 FUV786490:FUV786492 GER786490:GER786492 GON786490:GON786492 GYJ786490:GYJ786492 HIF786490:HIF786492 HSB786490:HSB786492 IBX786490:IBX786492 ILT786490:ILT786492 IVP786490:IVP786492 JFL786490:JFL786492 JPH786490:JPH786492 JZD786490:JZD786492 KIZ786490:KIZ786492 KSV786490:KSV786492 LCR786490:LCR786492 LMN786490:LMN786492 LWJ786490:LWJ786492 MGF786490:MGF786492 MQB786490:MQB786492 MZX786490:MZX786492 NJT786490:NJT786492 NTP786490:NTP786492 ODL786490:ODL786492 ONH786490:ONH786492 OXD786490:OXD786492 PGZ786490:PGZ786492 PQV786490:PQV786492 QAR786490:QAR786492 QKN786490:QKN786492 QUJ786490:QUJ786492 REF786490:REF786492 ROB786490:ROB786492 RXX786490:RXX786492 SHT786490:SHT786492 SRP786490:SRP786492 TBL786490:TBL786492 TLH786490:TLH786492 TVD786490:TVD786492 UEZ786490:UEZ786492 UOV786490:UOV786492 UYR786490:UYR786492 VIN786490:VIN786492 VSJ786490:VSJ786492 WCF786490:WCF786492 WMB786490:WMB786492 WVX786490:WVX786492 P852026:P852028 JL852026:JL852028 TH852026:TH852028 ADD852026:ADD852028 AMZ852026:AMZ852028 AWV852026:AWV852028 BGR852026:BGR852028 BQN852026:BQN852028 CAJ852026:CAJ852028 CKF852026:CKF852028 CUB852026:CUB852028 DDX852026:DDX852028 DNT852026:DNT852028 DXP852026:DXP852028 EHL852026:EHL852028 ERH852026:ERH852028 FBD852026:FBD852028 FKZ852026:FKZ852028 FUV852026:FUV852028 GER852026:GER852028 GON852026:GON852028 GYJ852026:GYJ852028 HIF852026:HIF852028 HSB852026:HSB852028 IBX852026:IBX852028 ILT852026:ILT852028 IVP852026:IVP852028 JFL852026:JFL852028 JPH852026:JPH852028 JZD852026:JZD852028 KIZ852026:KIZ852028 KSV852026:KSV852028 LCR852026:LCR852028 LMN852026:LMN852028 LWJ852026:LWJ852028 MGF852026:MGF852028 MQB852026:MQB852028 MZX852026:MZX852028 NJT852026:NJT852028 NTP852026:NTP852028 ODL852026:ODL852028 ONH852026:ONH852028 OXD852026:OXD852028 PGZ852026:PGZ852028 PQV852026:PQV852028 QAR852026:QAR852028 QKN852026:QKN852028 QUJ852026:QUJ852028 REF852026:REF852028 ROB852026:ROB852028 RXX852026:RXX852028 SHT852026:SHT852028 SRP852026:SRP852028 TBL852026:TBL852028 TLH852026:TLH852028 TVD852026:TVD852028 UEZ852026:UEZ852028 UOV852026:UOV852028 UYR852026:UYR852028 VIN852026:VIN852028 VSJ852026:VSJ852028 WCF852026:WCF852028 WMB852026:WMB852028 WVX852026:WVX852028 P917562:P917564 JL917562:JL917564 TH917562:TH917564 ADD917562:ADD917564 AMZ917562:AMZ917564 AWV917562:AWV917564 BGR917562:BGR917564 BQN917562:BQN917564 CAJ917562:CAJ917564 CKF917562:CKF917564 CUB917562:CUB917564 DDX917562:DDX917564 DNT917562:DNT917564 DXP917562:DXP917564 EHL917562:EHL917564 ERH917562:ERH917564 FBD917562:FBD917564 FKZ917562:FKZ917564 FUV917562:FUV917564 GER917562:GER917564 GON917562:GON917564 GYJ917562:GYJ917564 HIF917562:HIF917564 HSB917562:HSB917564 IBX917562:IBX917564 ILT917562:ILT917564 IVP917562:IVP917564 JFL917562:JFL917564 JPH917562:JPH917564 JZD917562:JZD917564 KIZ917562:KIZ917564 KSV917562:KSV917564 LCR917562:LCR917564 LMN917562:LMN917564 LWJ917562:LWJ917564 MGF917562:MGF917564 MQB917562:MQB917564 MZX917562:MZX917564 NJT917562:NJT917564 NTP917562:NTP917564 ODL917562:ODL917564 ONH917562:ONH917564 OXD917562:OXD917564 PGZ917562:PGZ917564 PQV917562:PQV917564 QAR917562:QAR917564 QKN917562:QKN917564 QUJ917562:QUJ917564 REF917562:REF917564 ROB917562:ROB917564 RXX917562:RXX917564 SHT917562:SHT917564 SRP917562:SRP917564 TBL917562:TBL917564 TLH917562:TLH917564 TVD917562:TVD917564 UEZ917562:UEZ917564 UOV917562:UOV917564 UYR917562:UYR917564 VIN917562:VIN917564 VSJ917562:VSJ917564 WCF917562:WCF917564 WMB917562:WMB917564 WVX917562:WVX917564 P983098:P983100 JL983098:JL983100 TH983098:TH983100 ADD983098:ADD983100 AMZ983098:AMZ983100 AWV983098:AWV983100 BGR983098:BGR983100 BQN983098:BQN983100 CAJ983098:CAJ983100 CKF983098:CKF983100 CUB983098:CUB983100 DDX983098:DDX983100 DNT983098:DNT983100 DXP983098:DXP983100 EHL983098:EHL983100 ERH983098:ERH983100 FBD983098:FBD983100 FKZ983098:FKZ983100 FUV983098:FUV983100 GER983098:GER983100 GON983098:GON983100 GYJ983098:GYJ983100 HIF983098:HIF983100 HSB983098:HSB983100 IBX983098:IBX983100 ILT983098:ILT983100 IVP983098:IVP983100 JFL983098:JFL983100 JPH983098:JPH983100 JZD983098:JZD983100 KIZ983098:KIZ983100 KSV983098:KSV983100 LCR983098:LCR983100 LMN983098:LMN983100 LWJ983098:LWJ983100 MGF983098:MGF983100 MQB983098:MQB983100 MZX983098:MZX983100 NJT983098:NJT983100 NTP983098:NTP983100 ODL983098:ODL983100 ONH983098:ONH983100 OXD983098:OXD983100 PGZ983098:PGZ983100 PQV983098:PQV983100 QAR983098:QAR983100 QKN983098:QKN983100 QUJ983098:QUJ983100 REF983098:REF983100 ROB983098:ROB983100 RXX983098:RXX983100 SHT983098:SHT983100 SRP983098:SRP983100 TBL983098:TBL983100 TLH983098:TLH983100 TVD983098:TVD983100 UEZ983098:UEZ983100 UOV983098:UOV983100 UYR983098:UYR983100 VIN983098:VIN983100 VSJ983098:VSJ983100 WCF983098:WCF983100 WMB983098:WMB983100 WVX983098:WVX983100 O56:P57 JK56:JL57 TG56:TH57 ADC56:ADD57 AMY56:AMZ57 AWU56:AWV57 BGQ56:BGR57 BQM56:BQN57 CAI56:CAJ57 CKE56:CKF57 CUA56:CUB57 DDW56:DDX57 DNS56:DNT57 DXO56:DXP57 EHK56:EHL57 ERG56:ERH57 FBC56:FBD57 FKY56:FKZ57 FUU56:FUV57 GEQ56:GER57 GOM56:GON57 GYI56:GYJ57 HIE56:HIF57 HSA56:HSB57 IBW56:IBX57 ILS56:ILT57 IVO56:IVP57 JFK56:JFL57 JPG56:JPH57 JZC56:JZD57 KIY56:KIZ57 KSU56:KSV57 LCQ56:LCR57 LMM56:LMN57 LWI56:LWJ57 MGE56:MGF57 MQA56:MQB57 MZW56:MZX57 NJS56:NJT57 NTO56:NTP57 ODK56:ODL57 ONG56:ONH57 OXC56:OXD57 PGY56:PGZ57 PQU56:PQV57 QAQ56:QAR57 QKM56:QKN57 QUI56:QUJ57 REE56:REF57 ROA56:ROB57 RXW56:RXX57 SHS56:SHT57 SRO56:SRP57 TBK56:TBL57 TLG56:TLH57 TVC56:TVD57 UEY56:UEZ57 UOU56:UOV57 UYQ56:UYR57 VIM56:VIN57 VSI56:VSJ57 WCE56:WCF57 WMA56:WMB57 WVW56:WVX57 O65592:P65593 JK65592:JL65593 TG65592:TH65593 ADC65592:ADD65593 AMY65592:AMZ65593 AWU65592:AWV65593 BGQ65592:BGR65593 BQM65592:BQN65593 CAI65592:CAJ65593 CKE65592:CKF65593 CUA65592:CUB65593 DDW65592:DDX65593 DNS65592:DNT65593 DXO65592:DXP65593 EHK65592:EHL65593 ERG65592:ERH65593 FBC65592:FBD65593 FKY65592:FKZ65593 FUU65592:FUV65593 GEQ65592:GER65593 GOM65592:GON65593 GYI65592:GYJ65593 HIE65592:HIF65593 HSA65592:HSB65593 IBW65592:IBX65593 ILS65592:ILT65593 IVO65592:IVP65593 JFK65592:JFL65593 JPG65592:JPH65593 JZC65592:JZD65593 KIY65592:KIZ65593 KSU65592:KSV65593 LCQ65592:LCR65593 LMM65592:LMN65593 LWI65592:LWJ65593 MGE65592:MGF65593 MQA65592:MQB65593 MZW65592:MZX65593 NJS65592:NJT65593 NTO65592:NTP65593 ODK65592:ODL65593 ONG65592:ONH65593 OXC65592:OXD65593 PGY65592:PGZ65593 PQU65592:PQV65593 QAQ65592:QAR65593 QKM65592:QKN65593 QUI65592:QUJ65593 REE65592:REF65593 ROA65592:ROB65593 RXW65592:RXX65593 SHS65592:SHT65593 SRO65592:SRP65593 TBK65592:TBL65593 TLG65592:TLH65593 TVC65592:TVD65593 UEY65592:UEZ65593 UOU65592:UOV65593 UYQ65592:UYR65593 VIM65592:VIN65593 VSI65592:VSJ65593 WCE65592:WCF65593 WMA65592:WMB65593 WVW65592:WVX65593 O131128:P131129 JK131128:JL131129 TG131128:TH131129 ADC131128:ADD131129 AMY131128:AMZ131129 AWU131128:AWV131129 BGQ131128:BGR131129 BQM131128:BQN131129 CAI131128:CAJ131129 CKE131128:CKF131129 CUA131128:CUB131129 DDW131128:DDX131129 DNS131128:DNT131129 DXO131128:DXP131129 EHK131128:EHL131129 ERG131128:ERH131129 FBC131128:FBD131129 FKY131128:FKZ131129 FUU131128:FUV131129 GEQ131128:GER131129 GOM131128:GON131129 GYI131128:GYJ131129 HIE131128:HIF131129 HSA131128:HSB131129 IBW131128:IBX131129 ILS131128:ILT131129 IVO131128:IVP131129 JFK131128:JFL131129 JPG131128:JPH131129 JZC131128:JZD131129 KIY131128:KIZ131129 KSU131128:KSV131129 LCQ131128:LCR131129 LMM131128:LMN131129 LWI131128:LWJ131129 MGE131128:MGF131129 MQA131128:MQB131129 MZW131128:MZX131129 NJS131128:NJT131129 NTO131128:NTP131129 ODK131128:ODL131129 ONG131128:ONH131129 OXC131128:OXD131129 PGY131128:PGZ131129 PQU131128:PQV131129 QAQ131128:QAR131129 QKM131128:QKN131129 QUI131128:QUJ131129 REE131128:REF131129 ROA131128:ROB131129 RXW131128:RXX131129 SHS131128:SHT131129 SRO131128:SRP131129 TBK131128:TBL131129 TLG131128:TLH131129 TVC131128:TVD131129 UEY131128:UEZ131129 UOU131128:UOV131129 UYQ131128:UYR131129 VIM131128:VIN131129 VSI131128:VSJ131129 WCE131128:WCF131129 WMA131128:WMB131129 WVW131128:WVX131129 O196664:P196665 JK196664:JL196665 TG196664:TH196665 ADC196664:ADD196665 AMY196664:AMZ196665 AWU196664:AWV196665 BGQ196664:BGR196665 BQM196664:BQN196665 CAI196664:CAJ196665 CKE196664:CKF196665 CUA196664:CUB196665 DDW196664:DDX196665 DNS196664:DNT196665 DXO196664:DXP196665 EHK196664:EHL196665 ERG196664:ERH196665 FBC196664:FBD196665 FKY196664:FKZ196665 FUU196664:FUV196665 GEQ196664:GER196665 GOM196664:GON196665 GYI196664:GYJ196665 HIE196664:HIF196665 HSA196664:HSB196665 IBW196664:IBX196665 ILS196664:ILT196665 IVO196664:IVP196665 JFK196664:JFL196665 JPG196664:JPH196665 JZC196664:JZD196665 KIY196664:KIZ196665 KSU196664:KSV196665 LCQ196664:LCR196665 LMM196664:LMN196665 LWI196664:LWJ196665 MGE196664:MGF196665 MQA196664:MQB196665 MZW196664:MZX196665 NJS196664:NJT196665 NTO196664:NTP196665 ODK196664:ODL196665 ONG196664:ONH196665 OXC196664:OXD196665 PGY196664:PGZ196665 PQU196664:PQV196665 QAQ196664:QAR196665 QKM196664:QKN196665 QUI196664:QUJ196665 REE196664:REF196665 ROA196664:ROB196665 RXW196664:RXX196665 SHS196664:SHT196665 SRO196664:SRP196665 TBK196664:TBL196665 TLG196664:TLH196665 TVC196664:TVD196665 UEY196664:UEZ196665 UOU196664:UOV196665 UYQ196664:UYR196665 VIM196664:VIN196665 VSI196664:VSJ196665 WCE196664:WCF196665 WMA196664:WMB196665 WVW196664:WVX196665 O262200:P262201 JK262200:JL262201 TG262200:TH262201 ADC262200:ADD262201 AMY262200:AMZ262201 AWU262200:AWV262201 BGQ262200:BGR262201 BQM262200:BQN262201 CAI262200:CAJ262201 CKE262200:CKF262201 CUA262200:CUB262201 DDW262200:DDX262201 DNS262200:DNT262201 DXO262200:DXP262201 EHK262200:EHL262201 ERG262200:ERH262201 FBC262200:FBD262201 FKY262200:FKZ262201 FUU262200:FUV262201 GEQ262200:GER262201 GOM262200:GON262201 GYI262200:GYJ262201 HIE262200:HIF262201 HSA262200:HSB262201 IBW262200:IBX262201 ILS262200:ILT262201 IVO262200:IVP262201 JFK262200:JFL262201 JPG262200:JPH262201 JZC262200:JZD262201 KIY262200:KIZ262201 KSU262200:KSV262201 LCQ262200:LCR262201 LMM262200:LMN262201 LWI262200:LWJ262201 MGE262200:MGF262201 MQA262200:MQB262201 MZW262200:MZX262201 NJS262200:NJT262201 NTO262200:NTP262201 ODK262200:ODL262201 ONG262200:ONH262201 OXC262200:OXD262201 PGY262200:PGZ262201 PQU262200:PQV262201 QAQ262200:QAR262201 QKM262200:QKN262201 QUI262200:QUJ262201 REE262200:REF262201 ROA262200:ROB262201 RXW262200:RXX262201 SHS262200:SHT262201 SRO262200:SRP262201 TBK262200:TBL262201 TLG262200:TLH262201 TVC262200:TVD262201 UEY262200:UEZ262201 UOU262200:UOV262201 UYQ262200:UYR262201 VIM262200:VIN262201 VSI262200:VSJ262201 WCE262200:WCF262201 WMA262200:WMB262201 WVW262200:WVX262201 O327736:P327737 JK327736:JL327737 TG327736:TH327737 ADC327736:ADD327737 AMY327736:AMZ327737 AWU327736:AWV327737 BGQ327736:BGR327737 BQM327736:BQN327737 CAI327736:CAJ327737 CKE327736:CKF327737 CUA327736:CUB327737 DDW327736:DDX327737 DNS327736:DNT327737 DXO327736:DXP327737 EHK327736:EHL327737 ERG327736:ERH327737 FBC327736:FBD327737 FKY327736:FKZ327737 FUU327736:FUV327737 GEQ327736:GER327737 GOM327736:GON327737 GYI327736:GYJ327737 HIE327736:HIF327737 HSA327736:HSB327737 IBW327736:IBX327737 ILS327736:ILT327737 IVO327736:IVP327737 JFK327736:JFL327737 JPG327736:JPH327737 JZC327736:JZD327737 KIY327736:KIZ327737 KSU327736:KSV327737 LCQ327736:LCR327737 LMM327736:LMN327737 LWI327736:LWJ327737 MGE327736:MGF327737 MQA327736:MQB327737 MZW327736:MZX327737 NJS327736:NJT327737 NTO327736:NTP327737 ODK327736:ODL327737 ONG327736:ONH327737 OXC327736:OXD327737 PGY327736:PGZ327737 PQU327736:PQV327737 QAQ327736:QAR327737 QKM327736:QKN327737 QUI327736:QUJ327737 REE327736:REF327737 ROA327736:ROB327737 RXW327736:RXX327737 SHS327736:SHT327737 SRO327736:SRP327737 TBK327736:TBL327737 TLG327736:TLH327737 TVC327736:TVD327737 UEY327736:UEZ327737 UOU327736:UOV327737 UYQ327736:UYR327737 VIM327736:VIN327737 VSI327736:VSJ327737 WCE327736:WCF327737 WMA327736:WMB327737 WVW327736:WVX327737 O393272:P393273 JK393272:JL393273 TG393272:TH393273 ADC393272:ADD393273 AMY393272:AMZ393273 AWU393272:AWV393273 BGQ393272:BGR393273 BQM393272:BQN393273 CAI393272:CAJ393273 CKE393272:CKF393273 CUA393272:CUB393273 DDW393272:DDX393273 DNS393272:DNT393273 DXO393272:DXP393273 EHK393272:EHL393273 ERG393272:ERH393273 FBC393272:FBD393273 FKY393272:FKZ393273 FUU393272:FUV393273 GEQ393272:GER393273 GOM393272:GON393273 GYI393272:GYJ393273 HIE393272:HIF393273 HSA393272:HSB393273 IBW393272:IBX393273 ILS393272:ILT393273 IVO393272:IVP393273 JFK393272:JFL393273 JPG393272:JPH393273 JZC393272:JZD393273 KIY393272:KIZ393273 KSU393272:KSV393273 LCQ393272:LCR393273 LMM393272:LMN393273 LWI393272:LWJ393273 MGE393272:MGF393273 MQA393272:MQB393273 MZW393272:MZX393273 NJS393272:NJT393273 NTO393272:NTP393273 ODK393272:ODL393273 ONG393272:ONH393273 OXC393272:OXD393273 PGY393272:PGZ393273 PQU393272:PQV393273 QAQ393272:QAR393273 QKM393272:QKN393273 QUI393272:QUJ393273 REE393272:REF393273 ROA393272:ROB393273 RXW393272:RXX393273 SHS393272:SHT393273 SRO393272:SRP393273 TBK393272:TBL393273 TLG393272:TLH393273 TVC393272:TVD393273 UEY393272:UEZ393273 UOU393272:UOV393273 UYQ393272:UYR393273 VIM393272:VIN393273 VSI393272:VSJ393273 WCE393272:WCF393273 WMA393272:WMB393273 WVW393272:WVX393273 O458808:P458809 JK458808:JL458809 TG458808:TH458809 ADC458808:ADD458809 AMY458808:AMZ458809 AWU458808:AWV458809 BGQ458808:BGR458809 BQM458808:BQN458809 CAI458808:CAJ458809 CKE458808:CKF458809 CUA458808:CUB458809 DDW458808:DDX458809 DNS458808:DNT458809 DXO458808:DXP458809 EHK458808:EHL458809 ERG458808:ERH458809 FBC458808:FBD458809 FKY458808:FKZ458809 FUU458808:FUV458809 GEQ458808:GER458809 GOM458808:GON458809 GYI458808:GYJ458809 HIE458808:HIF458809 HSA458808:HSB458809 IBW458808:IBX458809 ILS458808:ILT458809 IVO458808:IVP458809 JFK458808:JFL458809 JPG458808:JPH458809 JZC458808:JZD458809 KIY458808:KIZ458809 KSU458808:KSV458809 LCQ458808:LCR458809 LMM458808:LMN458809 LWI458808:LWJ458809 MGE458808:MGF458809 MQA458808:MQB458809 MZW458808:MZX458809 NJS458808:NJT458809 NTO458808:NTP458809 ODK458808:ODL458809 ONG458808:ONH458809 OXC458808:OXD458809 PGY458808:PGZ458809 PQU458808:PQV458809 QAQ458808:QAR458809 QKM458808:QKN458809 QUI458808:QUJ458809 REE458808:REF458809 ROA458808:ROB458809 RXW458808:RXX458809 SHS458808:SHT458809 SRO458808:SRP458809 TBK458808:TBL458809 TLG458808:TLH458809 TVC458808:TVD458809 UEY458808:UEZ458809 UOU458808:UOV458809 UYQ458808:UYR458809 VIM458808:VIN458809 VSI458808:VSJ458809 WCE458808:WCF458809 WMA458808:WMB458809 WVW458808:WVX458809 O524344:P524345 JK524344:JL524345 TG524344:TH524345 ADC524344:ADD524345 AMY524344:AMZ524345 AWU524344:AWV524345 BGQ524344:BGR524345 BQM524344:BQN524345 CAI524344:CAJ524345 CKE524344:CKF524345 CUA524344:CUB524345 DDW524344:DDX524345 DNS524344:DNT524345 DXO524344:DXP524345 EHK524344:EHL524345 ERG524344:ERH524345 FBC524344:FBD524345 FKY524344:FKZ524345 FUU524344:FUV524345 GEQ524344:GER524345 GOM524344:GON524345 GYI524344:GYJ524345 HIE524344:HIF524345 HSA524344:HSB524345 IBW524344:IBX524345 ILS524344:ILT524345 IVO524344:IVP524345 JFK524344:JFL524345 JPG524344:JPH524345 JZC524344:JZD524345 KIY524344:KIZ524345 KSU524344:KSV524345 LCQ524344:LCR524345 LMM524344:LMN524345 LWI524344:LWJ524345 MGE524344:MGF524345 MQA524344:MQB524345 MZW524344:MZX524345 NJS524344:NJT524345 NTO524344:NTP524345 ODK524344:ODL524345 ONG524344:ONH524345 OXC524344:OXD524345 PGY524344:PGZ524345 PQU524344:PQV524345 QAQ524344:QAR524345 QKM524344:QKN524345 QUI524344:QUJ524345 REE524344:REF524345 ROA524344:ROB524345 RXW524344:RXX524345 SHS524344:SHT524345 SRO524344:SRP524345 TBK524344:TBL524345 TLG524344:TLH524345 TVC524344:TVD524345 UEY524344:UEZ524345 UOU524344:UOV524345 UYQ524344:UYR524345 VIM524344:VIN524345 VSI524344:VSJ524345 WCE524344:WCF524345 WMA524344:WMB524345 WVW524344:WVX524345 O589880:P589881 JK589880:JL589881 TG589880:TH589881 ADC589880:ADD589881 AMY589880:AMZ589881 AWU589880:AWV589881 BGQ589880:BGR589881 BQM589880:BQN589881 CAI589880:CAJ589881 CKE589880:CKF589881 CUA589880:CUB589881 DDW589880:DDX589881 DNS589880:DNT589881 DXO589880:DXP589881 EHK589880:EHL589881 ERG589880:ERH589881 FBC589880:FBD589881 FKY589880:FKZ589881 FUU589880:FUV589881 GEQ589880:GER589881 GOM589880:GON589881 GYI589880:GYJ589881 HIE589880:HIF589881 HSA589880:HSB589881 IBW589880:IBX589881 ILS589880:ILT589881 IVO589880:IVP589881 JFK589880:JFL589881 JPG589880:JPH589881 JZC589880:JZD589881 KIY589880:KIZ589881 KSU589880:KSV589881 LCQ589880:LCR589881 LMM589880:LMN589881 LWI589880:LWJ589881 MGE589880:MGF589881 MQA589880:MQB589881 MZW589880:MZX589881 NJS589880:NJT589881 NTO589880:NTP589881 ODK589880:ODL589881 ONG589880:ONH589881 OXC589880:OXD589881 PGY589880:PGZ589881 PQU589880:PQV589881 QAQ589880:QAR589881 QKM589880:QKN589881 QUI589880:QUJ589881 REE589880:REF589881 ROA589880:ROB589881 RXW589880:RXX589881 SHS589880:SHT589881 SRO589880:SRP589881 TBK589880:TBL589881 TLG589880:TLH589881 TVC589880:TVD589881 UEY589880:UEZ589881 UOU589880:UOV589881 UYQ589880:UYR589881 VIM589880:VIN589881 VSI589880:VSJ589881 WCE589880:WCF589881 WMA589880:WMB589881 WVW589880:WVX589881 O655416:P655417 JK655416:JL655417 TG655416:TH655417 ADC655416:ADD655417 AMY655416:AMZ655417 AWU655416:AWV655417 BGQ655416:BGR655417 BQM655416:BQN655417 CAI655416:CAJ655417 CKE655416:CKF655417 CUA655416:CUB655417 DDW655416:DDX655417 DNS655416:DNT655417 DXO655416:DXP655417 EHK655416:EHL655417 ERG655416:ERH655417 FBC655416:FBD655417 FKY655416:FKZ655417 FUU655416:FUV655417 GEQ655416:GER655417 GOM655416:GON655417 GYI655416:GYJ655417 HIE655416:HIF655417 HSA655416:HSB655417 IBW655416:IBX655417 ILS655416:ILT655417 IVO655416:IVP655417 JFK655416:JFL655417 JPG655416:JPH655417 JZC655416:JZD655417 KIY655416:KIZ655417 KSU655416:KSV655417 LCQ655416:LCR655417 LMM655416:LMN655417 LWI655416:LWJ655417 MGE655416:MGF655417 MQA655416:MQB655417 MZW655416:MZX655417 NJS655416:NJT655417 NTO655416:NTP655417 ODK655416:ODL655417 ONG655416:ONH655417 OXC655416:OXD655417 PGY655416:PGZ655417 PQU655416:PQV655417 QAQ655416:QAR655417 QKM655416:QKN655417 QUI655416:QUJ655417 REE655416:REF655417 ROA655416:ROB655417 RXW655416:RXX655417 SHS655416:SHT655417 SRO655416:SRP655417 TBK655416:TBL655417 TLG655416:TLH655417 TVC655416:TVD655417 UEY655416:UEZ655417 UOU655416:UOV655417 UYQ655416:UYR655417 VIM655416:VIN655417 VSI655416:VSJ655417 WCE655416:WCF655417 WMA655416:WMB655417 WVW655416:WVX655417 O720952:P720953 JK720952:JL720953 TG720952:TH720953 ADC720952:ADD720953 AMY720952:AMZ720953 AWU720952:AWV720953 BGQ720952:BGR720953 BQM720952:BQN720953 CAI720952:CAJ720953 CKE720952:CKF720953 CUA720952:CUB720953 DDW720952:DDX720953 DNS720952:DNT720953 DXO720952:DXP720953 EHK720952:EHL720953 ERG720952:ERH720953 FBC720952:FBD720953 FKY720952:FKZ720953 FUU720952:FUV720953 GEQ720952:GER720953 GOM720952:GON720953 GYI720952:GYJ720953 HIE720952:HIF720953 HSA720952:HSB720953 IBW720952:IBX720953 ILS720952:ILT720953 IVO720952:IVP720953 JFK720952:JFL720953 JPG720952:JPH720953 JZC720952:JZD720953 KIY720952:KIZ720953 KSU720952:KSV720953 LCQ720952:LCR720953 LMM720952:LMN720953 LWI720952:LWJ720953 MGE720952:MGF720953 MQA720952:MQB720953 MZW720952:MZX720953 NJS720952:NJT720953 NTO720952:NTP720953 ODK720952:ODL720953 ONG720952:ONH720953 OXC720952:OXD720953 PGY720952:PGZ720953 PQU720952:PQV720953 QAQ720952:QAR720953 QKM720952:QKN720953 QUI720952:QUJ720953 REE720952:REF720953 ROA720952:ROB720953 RXW720952:RXX720953 SHS720952:SHT720953 SRO720952:SRP720953 TBK720952:TBL720953 TLG720952:TLH720953 TVC720952:TVD720953 UEY720952:UEZ720953 UOU720952:UOV720953 UYQ720952:UYR720953 VIM720952:VIN720953 VSI720952:VSJ720953 WCE720952:WCF720953 WMA720952:WMB720953 WVW720952:WVX720953 O786488:P786489 JK786488:JL786489 TG786488:TH786489 ADC786488:ADD786489 AMY786488:AMZ786489 AWU786488:AWV786489 BGQ786488:BGR786489 BQM786488:BQN786489 CAI786488:CAJ786489 CKE786488:CKF786489 CUA786488:CUB786489 DDW786488:DDX786489 DNS786488:DNT786489 DXO786488:DXP786489 EHK786488:EHL786489 ERG786488:ERH786489 FBC786488:FBD786489 FKY786488:FKZ786489 FUU786488:FUV786489 GEQ786488:GER786489 GOM786488:GON786489 GYI786488:GYJ786489 HIE786488:HIF786489 HSA786488:HSB786489 IBW786488:IBX786489 ILS786488:ILT786489 IVO786488:IVP786489 JFK786488:JFL786489 JPG786488:JPH786489 JZC786488:JZD786489 KIY786488:KIZ786489 KSU786488:KSV786489 LCQ786488:LCR786489 LMM786488:LMN786489 LWI786488:LWJ786489 MGE786488:MGF786489 MQA786488:MQB786489 MZW786488:MZX786489 NJS786488:NJT786489 NTO786488:NTP786489 ODK786488:ODL786489 ONG786488:ONH786489 OXC786488:OXD786489 PGY786488:PGZ786489 PQU786488:PQV786489 QAQ786488:QAR786489 QKM786488:QKN786489 QUI786488:QUJ786489 REE786488:REF786489 ROA786488:ROB786489 RXW786488:RXX786489 SHS786488:SHT786489 SRO786488:SRP786489 TBK786488:TBL786489 TLG786488:TLH786489 TVC786488:TVD786489 UEY786488:UEZ786489 UOU786488:UOV786489 UYQ786488:UYR786489 VIM786488:VIN786489 VSI786488:VSJ786489 WCE786488:WCF786489 WMA786488:WMB786489 WVW786488:WVX786489 O852024:P852025 JK852024:JL852025 TG852024:TH852025 ADC852024:ADD852025 AMY852024:AMZ852025 AWU852024:AWV852025 BGQ852024:BGR852025 BQM852024:BQN852025 CAI852024:CAJ852025 CKE852024:CKF852025 CUA852024:CUB852025 DDW852024:DDX852025 DNS852024:DNT852025 DXO852024:DXP852025 EHK852024:EHL852025 ERG852024:ERH852025 FBC852024:FBD852025 FKY852024:FKZ852025 FUU852024:FUV852025 GEQ852024:GER852025 GOM852024:GON852025 GYI852024:GYJ852025 HIE852024:HIF852025 HSA852024:HSB852025 IBW852024:IBX852025 ILS852024:ILT852025 IVO852024:IVP852025 JFK852024:JFL852025 JPG852024:JPH852025 JZC852024:JZD852025 KIY852024:KIZ852025 KSU852024:KSV852025 LCQ852024:LCR852025 LMM852024:LMN852025 LWI852024:LWJ852025 MGE852024:MGF852025 MQA852024:MQB852025 MZW852024:MZX852025 NJS852024:NJT852025 NTO852024:NTP852025 ODK852024:ODL852025 ONG852024:ONH852025 OXC852024:OXD852025 PGY852024:PGZ852025 PQU852024:PQV852025 QAQ852024:QAR852025 QKM852024:QKN852025 QUI852024:QUJ852025 REE852024:REF852025 ROA852024:ROB852025 RXW852024:RXX852025 SHS852024:SHT852025 SRO852024:SRP852025 TBK852024:TBL852025 TLG852024:TLH852025 TVC852024:TVD852025 UEY852024:UEZ852025 UOU852024:UOV852025 UYQ852024:UYR852025 VIM852024:VIN852025 VSI852024:VSJ852025 WCE852024:WCF852025 WMA852024:WMB852025 WVW852024:WVX852025 O917560:P917561 JK917560:JL917561 TG917560:TH917561 ADC917560:ADD917561 AMY917560:AMZ917561 AWU917560:AWV917561 BGQ917560:BGR917561 BQM917560:BQN917561 CAI917560:CAJ917561 CKE917560:CKF917561 CUA917560:CUB917561 DDW917560:DDX917561 DNS917560:DNT917561 DXO917560:DXP917561 EHK917560:EHL917561 ERG917560:ERH917561 FBC917560:FBD917561 FKY917560:FKZ917561 FUU917560:FUV917561 GEQ917560:GER917561 GOM917560:GON917561 GYI917560:GYJ917561 HIE917560:HIF917561 HSA917560:HSB917561 IBW917560:IBX917561 ILS917560:ILT917561 IVO917560:IVP917561 JFK917560:JFL917561 JPG917560:JPH917561 JZC917560:JZD917561 KIY917560:KIZ917561 KSU917560:KSV917561 LCQ917560:LCR917561 LMM917560:LMN917561 LWI917560:LWJ917561 MGE917560:MGF917561 MQA917560:MQB917561 MZW917560:MZX917561 NJS917560:NJT917561 NTO917560:NTP917561 ODK917560:ODL917561 ONG917560:ONH917561 OXC917560:OXD917561 PGY917560:PGZ917561 PQU917560:PQV917561 QAQ917560:QAR917561 QKM917560:QKN917561 QUI917560:QUJ917561 REE917560:REF917561 ROA917560:ROB917561 RXW917560:RXX917561 SHS917560:SHT917561 SRO917560:SRP917561 TBK917560:TBL917561 TLG917560:TLH917561 TVC917560:TVD917561 UEY917560:UEZ917561 UOU917560:UOV917561 UYQ917560:UYR917561 VIM917560:VIN917561 VSI917560:VSJ917561 WCE917560:WCF917561 WMA917560:WMB917561 WVW917560:WVX917561 O983096:P983097 JK983096:JL983097 TG983096:TH983097 ADC983096:ADD983097 AMY983096:AMZ983097 AWU983096:AWV983097 BGQ983096:BGR983097 BQM983096:BQN983097 CAI983096:CAJ983097 CKE983096:CKF983097 CUA983096:CUB983097 DDW983096:DDX983097 DNS983096:DNT983097 DXO983096:DXP983097 EHK983096:EHL983097 ERG983096:ERH983097 FBC983096:FBD983097 FKY983096:FKZ983097 FUU983096:FUV983097 GEQ983096:GER983097 GOM983096:GON983097 GYI983096:GYJ983097 HIE983096:HIF983097 HSA983096:HSB983097 IBW983096:IBX983097 ILS983096:ILT983097 IVO983096:IVP983097 JFK983096:JFL983097 JPG983096:JPH983097 JZC983096:JZD983097 KIY983096:KIZ983097 KSU983096:KSV983097 LCQ983096:LCR983097 LMM983096:LMN983097 LWI983096:LWJ983097 MGE983096:MGF983097 MQA983096:MQB983097 MZW983096:MZX983097 NJS983096:NJT983097 NTO983096:NTP983097 ODK983096:ODL983097 ONG983096:ONH983097 OXC983096:OXD983097 PGY983096:PGZ983097 PQU983096:PQV983097 QAQ983096:QAR983097 QKM983096:QKN983097 QUI983096:QUJ983097 REE983096:REF983097 ROA983096:ROB983097 RXW983096:RXX983097 SHS983096:SHT983097 SRO983096:SRP983097 TBK983096:TBL983097 TLG983096:TLH983097 TVC983096:TVD983097 UEY983096:UEZ983097 UOU983096:UOV983097 UYQ983096:UYR983097 VIM983096:VIN983097 VSI983096:VSJ983097 WCE983096:WCF983097 WMA983096:WMB983097 WVW983096:WVX983097 P54 JL54 TH54 ADD54 AMZ54 AWV54 BGR54 BQN54 CAJ54 CKF54 CUB54 DDX54 DNT54 DXP54 EHL54 ERH54 FBD54 FKZ54 FUV54 GER54 GON54 GYJ54 HIF54 HSB54 IBX54 ILT54 IVP54 JFL54 JPH54 JZD54 KIZ54 KSV54 LCR54 LMN54 LWJ54 MGF54 MQB54 MZX54 NJT54 NTP54 ODL54 ONH54 OXD54 PGZ54 PQV54 QAR54 QKN54 QUJ54 REF54 ROB54 RXX54 SHT54 SRP54 TBL54 TLH54 TVD54 UEZ54 UOV54 UYR54 VIN54 VSJ54 WCF54 WMB54 WVX54 P65590 JL65590 TH65590 ADD65590 AMZ65590 AWV65590 BGR65590 BQN65590 CAJ65590 CKF65590 CUB65590 DDX65590 DNT65590 DXP65590 EHL65590 ERH65590 FBD65590 FKZ65590 FUV65590 GER65590 GON65590 GYJ65590 HIF65590 HSB65590 IBX65590 ILT65590 IVP65590 JFL65590 JPH65590 JZD65590 KIZ65590 KSV65590 LCR65590 LMN65590 LWJ65590 MGF65590 MQB65590 MZX65590 NJT65590 NTP65590 ODL65590 ONH65590 OXD65590 PGZ65590 PQV65590 QAR65590 QKN65590 QUJ65590 REF65590 ROB65590 RXX65590 SHT65590 SRP65590 TBL65590 TLH65590 TVD65590 UEZ65590 UOV65590 UYR65590 VIN65590 VSJ65590 WCF65590 WMB65590 WVX65590 P131126 JL131126 TH131126 ADD131126 AMZ131126 AWV131126 BGR131126 BQN131126 CAJ131126 CKF131126 CUB131126 DDX131126 DNT131126 DXP131126 EHL131126 ERH131126 FBD131126 FKZ131126 FUV131126 GER131126 GON131126 GYJ131126 HIF131126 HSB131126 IBX131126 ILT131126 IVP131126 JFL131126 JPH131126 JZD131126 KIZ131126 KSV131126 LCR131126 LMN131126 LWJ131126 MGF131126 MQB131126 MZX131126 NJT131126 NTP131126 ODL131126 ONH131126 OXD131126 PGZ131126 PQV131126 QAR131126 QKN131126 QUJ131126 REF131126 ROB131126 RXX131126 SHT131126 SRP131126 TBL131126 TLH131126 TVD131126 UEZ131126 UOV131126 UYR131126 VIN131126 VSJ131126 WCF131126 WMB131126 WVX131126 P196662 JL196662 TH196662 ADD196662 AMZ196662 AWV196662 BGR196662 BQN196662 CAJ196662 CKF196662 CUB196662 DDX196662 DNT196662 DXP196662 EHL196662 ERH196662 FBD196662 FKZ196662 FUV196662 GER196662 GON196662 GYJ196662 HIF196662 HSB196662 IBX196662 ILT196662 IVP196662 JFL196662 JPH196662 JZD196662 KIZ196662 KSV196662 LCR196662 LMN196662 LWJ196662 MGF196662 MQB196662 MZX196662 NJT196662 NTP196662 ODL196662 ONH196662 OXD196662 PGZ196662 PQV196662 QAR196662 QKN196662 QUJ196662 REF196662 ROB196662 RXX196662 SHT196662 SRP196662 TBL196662 TLH196662 TVD196662 UEZ196662 UOV196662 UYR196662 VIN196662 VSJ196662 WCF196662 WMB196662 WVX196662 P262198 JL262198 TH262198 ADD262198 AMZ262198 AWV262198 BGR262198 BQN262198 CAJ262198 CKF262198 CUB262198 DDX262198 DNT262198 DXP262198 EHL262198 ERH262198 FBD262198 FKZ262198 FUV262198 GER262198 GON262198 GYJ262198 HIF262198 HSB262198 IBX262198 ILT262198 IVP262198 JFL262198 JPH262198 JZD262198 KIZ262198 KSV262198 LCR262198 LMN262198 LWJ262198 MGF262198 MQB262198 MZX262198 NJT262198 NTP262198 ODL262198 ONH262198 OXD262198 PGZ262198 PQV262198 QAR262198 QKN262198 QUJ262198 REF262198 ROB262198 RXX262198 SHT262198 SRP262198 TBL262198 TLH262198 TVD262198 UEZ262198 UOV262198 UYR262198 VIN262198 VSJ262198 WCF262198 WMB262198 WVX262198 P327734 JL327734 TH327734 ADD327734 AMZ327734 AWV327734 BGR327734 BQN327734 CAJ327734 CKF327734 CUB327734 DDX327734 DNT327734 DXP327734 EHL327734 ERH327734 FBD327734 FKZ327734 FUV327734 GER327734 GON327734 GYJ327734 HIF327734 HSB327734 IBX327734 ILT327734 IVP327734 JFL327734 JPH327734 JZD327734 KIZ327734 KSV327734 LCR327734 LMN327734 LWJ327734 MGF327734 MQB327734 MZX327734 NJT327734 NTP327734 ODL327734 ONH327734 OXD327734 PGZ327734 PQV327734 QAR327734 QKN327734 QUJ327734 REF327734 ROB327734 RXX327734 SHT327734 SRP327734 TBL327734 TLH327734 TVD327734 UEZ327734 UOV327734 UYR327734 VIN327734 VSJ327734 WCF327734 WMB327734 WVX327734 P393270 JL393270 TH393270 ADD393270 AMZ393270 AWV393270 BGR393270 BQN393270 CAJ393270 CKF393270 CUB393270 DDX393270 DNT393270 DXP393270 EHL393270 ERH393270 FBD393270 FKZ393270 FUV393270 GER393270 GON393270 GYJ393270 HIF393270 HSB393270 IBX393270 ILT393270 IVP393270 JFL393270 JPH393270 JZD393270 KIZ393270 KSV393270 LCR393270 LMN393270 LWJ393270 MGF393270 MQB393270 MZX393270 NJT393270 NTP393270 ODL393270 ONH393270 OXD393270 PGZ393270 PQV393270 QAR393270 QKN393270 QUJ393270 REF393270 ROB393270 RXX393270 SHT393270 SRP393270 TBL393270 TLH393270 TVD393270 UEZ393270 UOV393270 UYR393270 VIN393270 VSJ393270 WCF393270 WMB393270 WVX393270 P458806 JL458806 TH458806 ADD458806 AMZ458806 AWV458806 BGR458806 BQN458806 CAJ458806 CKF458806 CUB458806 DDX458806 DNT458806 DXP458806 EHL458806 ERH458806 FBD458806 FKZ458806 FUV458806 GER458806 GON458806 GYJ458806 HIF458806 HSB458806 IBX458806 ILT458806 IVP458806 JFL458806 JPH458806 JZD458806 KIZ458806 KSV458806 LCR458806 LMN458806 LWJ458806 MGF458806 MQB458806 MZX458806 NJT458806 NTP458806 ODL458806 ONH458806 OXD458806 PGZ458806 PQV458806 QAR458806 QKN458806 QUJ458806 REF458806 ROB458806 RXX458806 SHT458806 SRP458806 TBL458806 TLH458806 TVD458806 UEZ458806 UOV458806 UYR458806 VIN458806 VSJ458806 WCF458806 WMB458806 WVX458806 P524342 JL524342 TH524342 ADD524342 AMZ524342 AWV524342 BGR524342 BQN524342 CAJ524342 CKF524342 CUB524342 DDX524342 DNT524342 DXP524342 EHL524342 ERH524342 FBD524342 FKZ524342 FUV524342 GER524342 GON524342 GYJ524342 HIF524342 HSB524342 IBX524342 ILT524342 IVP524342 JFL524342 JPH524342 JZD524342 KIZ524342 KSV524342 LCR524342 LMN524342 LWJ524342 MGF524342 MQB524342 MZX524342 NJT524342 NTP524342 ODL524342 ONH524342 OXD524342 PGZ524342 PQV524342 QAR524342 QKN524342 QUJ524342 REF524342 ROB524342 RXX524342 SHT524342 SRP524342 TBL524342 TLH524342 TVD524342 UEZ524342 UOV524342 UYR524342 VIN524342 VSJ524342 WCF524342 WMB524342 WVX524342 P589878 JL589878 TH589878 ADD589878 AMZ589878 AWV589878 BGR589878 BQN589878 CAJ589878 CKF589878 CUB589878 DDX589878 DNT589878 DXP589878 EHL589878 ERH589878 FBD589878 FKZ589878 FUV589878 GER589878 GON589878 GYJ589878 HIF589878 HSB589878 IBX589878 ILT589878 IVP589878 JFL589878 JPH589878 JZD589878 KIZ589878 KSV589878 LCR589878 LMN589878 LWJ589878 MGF589878 MQB589878 MZX589878 NJT589878 NTP589878 ODL589878 ONH589878 OXD589878 PGZ589878 PQV589878 QAR589878 QKN589878 QUJ589878 REF589878 ROB589878 RXX589878 SHT589878 SRP589878 TBL589878 TLH589878 TVD589878 UEZ589878 UOV589878 UYR589878 VIN589878 VSJ589878 WCF589878 WMB589878 WVX589878 P655414 JL655414 TH655414 ADD655414 AMZ655414 AWV655414 BGR655414 BQN655414 CAJ655414 CKF655414 CUB655414 DDX655414 DNT655414 DXP655414 EHL655414 ERH655414 FBD655414 FKZ655414 FUV655414 GER655414 GON655414 GYJ655414 HIF655414 HSB655414 IBX655414 ILT655414 IVP655414 JFL655414 JPH655414 JZD655414 KIZ655414 KSV655414 LCR655414 LMN655414 LWJ655414 MGF655414 MQB655414 MZX655414 NJT655414 NTP655414 ODL655414 ONH655414 OXD655414 PGZ655414 PQV655414 QAR655414 QKN655414 QUJ655414 REF655414 ROB655414 RXX655414 SHT655414 SRP655414 TBL655414 TLH655414 TVD655414 UEZ655414 UOV655414 UYR655414 VIN655414 VSJ655414 WCF655414 WMB655414 WVX655414 P720950 JL720950 TH720950 ADD720950 AMZ720950 AWV720950 BGR720950 BQN720950 CAJ720950 CKF720950 CUB720950 DDX720950 DNT720950 DXP720950 EHL720950 ERH720950 FBD720950 FKZ720950 FUV720950 GER720950 GON720950 GYJ720950 HIF720950 HSB720950 IBX720950 ILT720950 IVP720950 JFL720950 JPH720950 JZD720950 KIZ720950 KSV720950 LCR720950 LMN720950 LWJ720950 MGF720950 MQB720950 MZX720950 NJT720950 NTP720950 ODL720950 ONH720950 OXD720950 PGZ720950 PQV720950 QAR720950 QKN720950 QUJ720950 REF720950 ROB720950 RXX720950 SHT720950 SRP720950 TBL720950 TLH720950 TVD720950 UEZ720950 UOV720950 UYR720950 VIN720950 VSJ720950 WCF720950 WMB720950 WVX720950 P786486 JL786486 TH786486 ADD786486 AMZ786486 AWV786486 BGR786486 BQN786486 CAJ786486 CKF786486 CUB786486 DDX786486 DNT786486 DXP786486 EHL786486 ERH786486 FBD786486 FKZ786486 FUV786486 GER786486 GON786486 GYJ786486 HIF786486 HSB786486 IBX786486 ILT786486 IVP786486 JFL786486 JPH786486 JZD786486 KIZ786486 KSV786486 LCR786486 LMN786486 LWJ786486 MGF786486 MQB786486 MZX786486 NJT786486 NTP786486 ODL786486 ONH786486 OXD786486 PGZ786486 PQV786486 QAR786486 QKN786486 QUJ786486 REF786486 ROB786486 RXX786486 SHT786486 SRP786486 TBL786486 TLH786486 TVD786486 UEZ786486 UOV786486 UYR786486 VIN786486 VSJ786486 WCF786486 WMB786486 WVX786486 P852022 JL852022 TH852022 ADD852022 AMZ852022 AWV852022 BGR852022 BQN852022 CAJ852022 CKF852022 CUB852022 DDX852022 DNT852022 DXP852022 EHL852022 ERH852022 FBD852022 FKZ852022 FUV852022 GER852022 GON852022 GYJ852022 HIF852022 HSB852022 IBX852022 ILT852022 IVP852022 JFL852022 JPH852022 JZD852022 KIZ852022 KSV852022 LCR852022 LMN852022 LWJ852022 MGF852022 MQB852022 MZX852022 NJT852022 NTP852022 ODL852022 ONH852022 OXD852022 PGZ852022 PQV852022 QAR852022 QKN852022 QUJ852022 REF852022 ROB852022 RXX852022 SHT852022 SRP852022 TBL852022 TLH852022 TVD852022 UEZ852022 UOV852022 UYR852022 VIN852022 VSJ852022 WCF852022 WMB852022 WVX852022 P917558 JL917558 TH917558 ADD917558 AMZ917558 AWV917558 BGR917558 BQN917558 CAJ917558 CKF917558 CUB917558 DDX917558 DNT917558 DXP917558 EHL917558 ERH917558 FBD917558 FKZ917558 FUV917558 GER917558 GON917558 GYJ917558 HIF917558 HSB917558 IBX917558 ILT917558 IVP917558 JFL917558 JPH917558 JZD917558 KIZ917558 KSV917558 LCR917558 LMN917558 LWJ917558 MGF917558 MQB917558 MZX917558 NJT917558 NTP917558 ODL917558 ONH917558 OXD917558 PGZ917558 PQV917558 QAR917558 QKN917558 QUJ917558 REF917558 ROB917558 RXX917558 SHT917558 SRP917558 TBL917558 TLH917558 TVD917558 UEZ917558 UOV917558 UYR917558 VIN917558 VSJ917558 WCF917558 WMB917558 WVX917558 P983094 JL983094 TH983094 ADD983094 AMZ983094 AWV983094 BGR983094 BQN983094 CAJ983094 CKF983094 CUB983094 DDX983094 DNT983094 DXP983094 EHL983094 ERH983094 FBD983094 FKZ983094 FUV983094 GER983094 GON983094 GYJ983094 HIF983094 HSB983094 IBX983094 ILT983094 IVP983094 JFL983094 JPH983094 JZD983094 KIZ983094 KSV983094 LCR983094 LMN983094 LWJ983094 MGF983094 MQB983094 MZX983094 NJT983094 NTP983094 ODL983094 ONH983094 OXD983094 PGZ983094 PQV983094 QAR983094 QKN983094 QUJ983094 REF983094 ROB983094 RXX983094 SHT983094 SRP983094 TBL983094 TLH983094 TVD983094 UEZ983094 UOV983094 UYR983094 VIN983094 VSJ983094 WCF983094 WMB983094 WVX983094 O35:P37 JK35:JL37 TG35:TH37 ADC35:ADD37 AMY35:AMZ37 AWU35:AWV37 BGQ35:BGR37 BQM35:BQN37 CAI35:CAJ37 CKE35:CKF37 CUA35:CUB37 DDW35:DDX37 DNS35:DNT37 DXO35:DXP37 EHK35:EHL37 ERG35:ERH37 FBC35:FBD37 FKY35:FKZ37 FUU35:FUV37 GEQ35:GER37 GOM35:GON37 GYI35:GYJ37 HIE35:HIF37 HSA35:HSB37 IBW35:IBX37 ILS35:ILT37 IVO35:IVP37 JFK35:JFL37 JPG35:JPH37 JZC35:JZD37 KIY35:KIZ37 KSU35:KSV37 LCQ35:LCR37 LMM35:LMN37 LWI35:LWJ37 MGE35:MGF37 MQA35:MQB37 MZW35:MZX37 NJS35:NJT37 NTO35:NTP37 ODK35:ODL37 ONG35:ONH37 OXC35:OXD37 PGY35:PGZ37 PQU35:PQV37 QAQ35:QAR37 QKM35:QKN37 QUI35:QUJ37 REE35:REF37 ROA35:ROB37 RXW35:RXX37 SHS35:SHT37 SRO35:SRP37 TBK35:TBL37 TLG35:TLH37 TVC35:TVD37 UEY35:UEZ37 UOU35:UOV37 UYQ35:UYR37 VIM35:VIN37 VSI35:VSJ37 WCE35:WCF37 WMA35:WMB37 WVW35:WVX37 O65571:P65573 JK65571:JL65573 TG65571:TH65573 ADC65571:ADD65573 AMY65571:AMZ65573 AWU65571:AWV65573 BGQ65571:BGR65573 BQM65571:BQN65573 CAI65571:CAJ65573 CKE65571:CKF65573 CUA65571:CUB65573 DDW65571:DDX65573 DNS65571:DNT65573 DXO65571:DXP65573 EHK65571:EHL65573 ERG65571:ERH65573 FBC65571:FBD65573 FKY65571:FKZ65573 FUU65571:FUV65573 GEQ65571:GER65573 GOM65571:GON65573 GYI65571:GYJ65573 HIE65571:HIF65573 HSA65571:HSB65573 IBW65571:IBX65573 ILS65571:ILT65573 IVO65571:IVP65573 JFK65571:JFL65573 JPG65571:JPH65573 JZC65571:JZD65573 KIY65571:KIZ65573 KSU65571:KSV65573 LCQ65571:LCR65573 LMM65571:LMN65573 LWI65571:LWJ65573 MGE65571:MGF65573 MQA65571:MQB65573 MZW65571:MZX65573 NJS65571:NJT65573 NTO65571:NTP65573 ODK65571:ODL65573 ONG65571:ONH65573 OXC65571:OXD65573 PGY65571:PGZ65573 PQU65571:PQV65573 QAQ65571:QAR65573 QKM65571:QKN65573 QUI65571:QUJ65573 REE65571:REF65573 ROA65571:ROB65573 RXW65571:RXX65573 SHS65571:SHT65573 SRO65571:SRP65573 TBK65571:TBL65573 TLG65571:TLH65573 TVC65571:TVD65573 UEY65571:UEZ65573 UOU65571:UOV65573 UYQ65571:UYR65573 VIM65571:VIN65573 VSI65571:VSJ65573 WCE65571:WCF65573 WMA65571:WMB65573 WVW65571:WVX65573 O131107:P131109 JK131107:JL131109 TG131107:TH131109 ADC131107:ADD131109 AMY131107:AMZ131109 AWU131107:AWV131109 BGQ131107:BGR131109 BQM131107:BQN131109 CAI131107:CAJ131109 CKE131107:CKF131109 CUA131107:CUB131109 DDW131107:DDX131109 DNS131107:DNT131109 DXO131107:DXP131109 EHK131107:EHL131109 ERG131107:ERH131109 FBC131107:FBD131109 FKY131107:FKZ131109 FUU131107:FUV131109 GEQ131107:GER131109 GOM131107:GON131109 GYI131107:GYJ131109 HIE131107:HIF131109 HSA131107:HSB131109 IBW131107:IBX131109 ILS131107:ILT131109 IVO131107:IVP131109 JFK131107:JFL131109 JPG131107:JPH131109 JZC131107:JZD131109 KIY131107:KIZ131109 KSU131107:KSV131109 LCQ131107:LCR131109 LMM131107:LMN131109 LWI131107:LWJ131109 MGE131107:MGF131109 MQA131107:MQB131109 MZW131107:MZX131109 NJS131107:NJT131109 NTO131107:NTP131109 ODK131107:ODL131109 ONG131107:ONH131109 OXC131107:OXD131109 PGY131107:PGZ131109 PQU131107:PQV131109 QAQ131107:QAR131109 QKM131107:QKN131109 QUI131107:QUJ131109 REE131107:REF131109 ROA131107:ROB131109 RXW131107:RXX131109 SHS131107:SHT131109 SRO131107:SRP131109 TBK131107:TBL131109 TLG131107:TLH131109 TVC131107:TVD131109 UEY131107:UEZ131109 UOU131107:UOV131109 UYQ131107:UYR131109 VIM131107:VIN131109 VSI131107:VSJ131109 WCE131107:WCF131109 WMA131107:WMB131109 WVW131107:WVX131109 O196643:P196645 JK196643:JL196645 TG196643:TH196645 ADC196643:ADD196645 AMY196643:AMZ196645 AWU196643:AWV196645 BGQ196643:BGR196645 BQM196643:BQN196645 CAI196643:CAJ196645 CKE196643:CKF196645 CUA196643:CUB196645 DDW196643:DDX196645 DNS196643:DNT196645 DXO196643:DXP196645 EHK196643:EHL196645 ERG196643:ERH196645 FBC196643:FBD196645 FKY196643:FKZ196645 FUU196643:FUV196645 GEQ196643:GER196645 GOM196643:GON196645 GYI196643:GYJ196645 HIE196643:HIF196645 HSA196643:HSB196645 IBW196643:IBX196645 ILS196643:ILT196645 IVO196643:IVP196645 JFK196643:JFL196645 JPG196643:JPH196645 JZC196643:JZD196645 KIY196643:KIZ196645 KSU196643:KSV196645 LCQ196643:LCR196645 LMM196643:LMN196645 LWI196643:LWJ196645 MGE196643:MGF196645 MQA196643:MQB196645 MZW196643:MZX196645 NJS196643:NJT196645 NTO196643:NTP196645 ODK196643:ODL196645 ONG196643:ONH196645 OXC196643:OXD196645 PGY196643:PGZ196645 PQU196643:PQV196645 QAQ196643:QAR196645 QKM196643:QKN196645 QUI196643:QUJ196645 REE196643:REF196645 ROA196643:ROB196645 RXW196643:RXX196645 SHS196643:SHT196645 SRO196643:SRP196645 TBK196643:TBL196645 TLG196643:TLH196645 TVC196643:TVD196645 UEY196643:UEZ196645 UOU196643:UOV196645 UYQ196643:UYR196645 VIM196643:VIN196645 VSI196643:VSJ196645 WCE196643:WCF196645 WMA196643:WMB196645 WVW196643:WVX196645 O262179:P262181 JK262179:JL262181 TG262179:TH262181 ADC262179:ADD262181 AMY262179:AMZ262181 AWU262179:AWV262181 BGQ262179:BGR262181 BQM262179:BQN262181 CAI262179:CAJ262181 CKE262179:CKF262181 CUA262179:CUB262181 DDW262179:DDX262181 DNS262179:DNT262181 DXO262179:DXP262181 EHK262179:EHL262181 ERG262179:ERH262181 FBC262179:FBD262181 FKY262179:FKZ262181 FUU262179:FUV262181 GEQ262179:GER262181 GOM262179:GON262181 GYI262179:GYJ262181 HIE262179:HIF262181 HSA262179:HSB262181 IBW262179:IBX262181 ILS262179:ILT262181 IVO262179:IVP262181 JFK262179:JFL262181 JPG262179:JPH262181 JZC262179:JZD262181 KIY262179:KIZ262181 KSU262179:KSV262181 LCQ262179:LCR262181 LMM262179:LMN262181 LWI262179:LWJ262181 MGE262179:MGF262181 MQA262179:MQB262181 MZW262179:MZX262181 NJS262179:NJT262181 NTO262179:NTP262181 ODK262179:ODL262181 ONG262179:ONH262181 OXC262179:OXD262181 PGY262179:PGZ262181 PQU262179:PQV262181 QAQ262179:QAR262181 QKM262179:QKN262181 QUI262179:QUJ262181 REE262179:REF262181 ROA262179:ROB262181 RXW262179:RXX262181 SHS262179:SHT262181 SRO262179:SRP262181 TBK262179:TBL262181 TLG262179:TLH262181 TVC262179:TVD262181 UEY262179:UEZ262181 UOU262179:UOV262181 UYQ262179:UYR262181 VIM262179:VIN262181 VSI262179:VSJ262181 WCE262179:WCF262181 WMA262179:WMB262181 WVW262179:WVX262181 O327715:P327717 JK327715:JL327717 TG327715:TH327717 ADC327715:ADD327717 AMY327715:AMZ327717 AWU327715:AWV327717 BGQ327715:BGR327717 BQM327715:BQN327717 CAI327715:CAJ327717 CKE327715:CKF327717 CUA327715:CUB327717 DDW327715:DDX327717 DNS327715:DNT327717 DXO327715:DXP327717 EHK327715:EHL327717 ERG327715:ERH327717 FBC327715:FBD327717 FKY327715:FKZ327717 FUU327715:FUV327717 GEQ327715:GER327717 GOM327715:GON327717 GYI327715:GYJ327717 HIE327715:HIF327717 HSA327715:HSB327717 IBW327715:IBX327717 ILS327715:ILT327717 IVO327715:IVP327717 JFK327715:JFL327717 JPG327715:JPH327717 JZC327715:JZD327717 KIY327715:KIZ327717 KSU327715:KSV327717 LCQ327715:LCR327717 LMM327715:LMN327717 LWI327715:LWJ327717 MGE327715:MGF327717 MQA327715:MQB327717 MZW327715:MZX327717 NJS327715:NJT327717 NTO327715:NTP327717 ODK327715:ODL327717 ONG327715:ONH327717 OXC327715:OXD327717 PGY327715:PGZ327717 PQU327715:PQV327717 QAQ327715:QAR327717 QKM327715:QKN327717 QUI327715:QUJ327717 REE327715:REF327717 ROA327715:ROB327717 RXW327715:RXX327717 SHS327715:SHT327717 SRO327715:SRP327717 TBK327715:TBL327717 TLG327715:TLH327717 TVC327715:TVD327717 UEY327715:UEZ327717 UOU327715:UOV327717 UYQ327715:UYR327717 VIM327715:VIN327717 VSI327715:VSJ327717 WCE327715:WCF327717 WMA327715:WMB327717 WVW327715:WVX327717 O393251:P393253 JK393251:JL393253 TG393251:TH393253 ADC393251:ADD393253 AMY393251:AMZ393253 AWU393251:AWV393253 BGQ393251:BGR393253 BQM393251:BQN393253 CAI393251:CAJ393253 CKE393251:CKF393253 CUA393251:CUB393253 DDW393251:DDX393253 DNS393251:DNT393253 DXO393251:DXP393253 EHK393251:EHL393253 ERG393251:ERH393253 FBC393251:FBD393253 FKY393251:FKZ393253 FUU393251:FUV393253 GEQ393251:GER393253 GOM393251:GON393253 GYI393251:GYJ393253 HIE393251:HIF393253 HSA393251:HSB393253 IBW393251:IBX393253 ILS393251:ILT393253 IVO393251:IVP393253 JFK393251:JFL393253 JPG393251:JPH393253 JZC393251:JZD393253 KIY393251:KIZ393253 KSU393251:KSV393253 LCQ393251:LCR393253 LMM393251:LMN393253 LWI393251:LWJ393253 MGE393251:MGF393253 MQA393251:MQB393253 MZW393251:MZX393253 NJS393251:NJT393253 NTO393251:NTP393253 ODK393251:ODL393253 ONG393251:ONH393253 OXC393251:OXD393253 PGY393251:PGZ393253 PQU393251:PQV393253 QAQ393251:QAR393253 QKM393251:QKN393253 QUI393251:QUJ393253 REE393251:REF393253 ROA393251:ROB393253 RXW393251:RXX393253 SHS393251:SHT393253 SRO393251:SRP393253 TBK393251:TBL393253 TLG393251:TLH393253 TVC393251:TVD393253 UEY393251:UEZ393253 UOU393251:UOV393253 UYQ393251:UYR393253 VIM393251:VIN393253 VSI393251:VSJ393253 WCE393251:WCF393253 WMA393251:WMB393253 WVW393251:WVX393253 O458787:P458789 JK458787:JL458789 TG458787:TH458789 ADC458787:ADD458789 AMY458787:AMZ458789 AWU458787:AWV458789 BGQ458787:BGR458789 BQM458787:BQN458789 CAI458787:CAJ458789 CKE458787:CKF458789 CUA458787:CUB458789 DDW458787:DDX458789 DNS458787:DNT458789 DXO458787:DXP458789 EHK458787:EHL458789 ERG458787:ERH458789 FBC458787:FBD458789 FKY458787:FKZ458789 FUU458787:FUV458789 GEQ458787:GER458789 GOM458787:GON458789 GYI458787:GYJ458789 HIE458787:HIF458789 HSA458787:HSB458789 IBW458787:IBX458789 ILS458787:ILT458789 IVO458787:IVP458789 JFK458787:JFL458789 JPG458787:JPH458789 JZC458787:JZD458789 KIY458787:KIZ458789 KSU458787:KSV458789 LCQ458787:LCR458789 LMM458787:LMN458789 LWI458787:LWJ458789 MGE458787:MGF458789 MQA458787:MQB458789 MZW458787:MZX458789 NJS458787:NJT458789 NTO458787:NTP458789 ODK458787:ODL458789 ONG458787:ONH458789 OXC458787:OXD458789 PGY458787:PGZ458789 PQU458787:PQV458789 QAQ458787:QAR458789 QKM458787:QKN458789 QUI458787:QUJ458789 REE458787:REF458789 ROA458787:ROB458789 RXW458787:RXX458789 SHS458787:SHT458789 SRO458787:SRP458789 TBK458787:TBL458789 TLG458787:TLH458789 TVC458787:TVD458789 UEY458787:UEZ458789 UOU458787:UOV458789 UYQ458787:UYR458789 VIM458787:VIN458789 VSI458787:VSJ458789 WCE458787:WCF458789 WMA458787:WMB458789 WVW458787:WVX458789 O524323:P524325 JK524323:JL524325 TG524323:TH524325 ADC524323:ADD524325 AMY524323:AMZ524325 AWU524323:AWV524325 BGQ524323:BGR524325 BQM524323:BQN524325 CAI524323:CAJ524325 CKE524323:CKF524325 CUA524323:CUB524325 DDW524323:DDX524325 DNS524323:DNT524325 DXO524323:DXP524325 EHK524323:EHL524325 ERG524323:ERH524325 FBC524323:FBD524325 FKY524323:FKZ524325 FUU524323:FUV524325 GEQ524323:GER524325 GOM524323:GON524325 GYI524323:GYJ524325 HIE524323:HIF524325 HSA524323:HSB524325 IBW524323:IBX524325 ILS524323:ILT524325 IVO524323:IVP524325 JFK524323:JFL524325 JPG524323:JPH524325 JZC524323:JZD524325 KIY524323:KIZ524325 KSU524323:KSV524325 LCQ524323:LCR524325 LMM524323:LMN524325 LWI524323:LWJ524325 MGE524323:MGF524325 MQA524323:MQB524325 MZW524323:MZX524325 NJS524323:NJT524325 NTO524323:NTP524325 ODK524323:ODL524325 ONG524323:ONH524325 OXC524323:OXD524325 PGY524323:PGZ524325 PQU524323:PQV524325 QAQ524323:QAR524325 QKM524323:QKN524325 QUI524323:QUJ524325 REE524323:REF524325 ROA524323:ROB524325 RXW524323:RXX524325 SHS524323:SHT524325 SRO524323:SRP524325 TBK524323:TBL524325 TLG524323:TLH524325 TVC524323:TVD524325 UEY524323:UEZ524325 UOU524323:UOV524325 UYQ524323:UYR524325 VIM524323:VIN524325 VSI524323:VSJ524325 WCE524323:WCF524325 WMA524323:WMB524325 WVW524323:WVX524325 O589859:P589861 JK589859:JL589861 TG589859:TH589861 ADC589859:ADD589861 AMY589859:AMZ589861 AWU589859:AWV589861 BGQ589859:BGR589861 BQM589859:BQN589861 CAI589859:CAJ589861 CKE589859:CKF589861 CUA589859:CUB589861 DDW589859:DDX589861 DNS589859:DNT589861 DXO589859:DXP589861 EHK589859:EHL589861 ERG589859:ERH589861 FBC589859:FBD589861 FKY589859:FKZ589861 FUU589859:FUV589861 GEQ589859:GER589861 GOM589859:GON589861 GYI589859:GYJ589861 HIE589859:HIF589861 HSA589859:HSB589861 IBW589859:IBX589861 ILS589859:ILT589861 IVO589859:IVP589861 JFK589859:JFL589861 JPG589859:JPH589861 JZC589859:JZD589861 KIY589859:KIZ589861 KSU589859:KSV589861 LCQ589859:LCR589861 LMM589859:LMN589861 LWI589859:LWJ589861 MGE589859:MGF589861 MQA589859:MQB589861 MZW589859:MZX589861 NJS589859:NJT589861 NTO589859:NTP589861 ODK589859:ODL589861 ONG589859:ONH589861 OXC589859:OXD589861 PGY589859:PGZ589861 PQU589859:PQV589861 QAQ589859:QAR589861 QKM589859:QKN589861 QUI589859:QUJ589861 REE589859:REF589861 ROA589859:ROB589861 RXW589859:RXX589861 SHS589859:SHT589861 SRO589859:SRP589861 TBK589859:TBL589861 TLG589859:TLH589861 TVC589859:TVD589861 UEY589859:UEZ589861 UOU589859:UOV589861 UYQ589859:UYR589861 VIM589859:VIN589861 VSI589859:VSJ589861 WCE589859:WCF589861 WMA589859:WMB589861 WVW589859:WVX589861 O655395:P655397 JK655395:JL655397 TG655395:TH655397 ADC655395:ADD655397 AMY655395:AMZ655397 AWU655395:AWV655397 BGQ655395:BGR655397 BQM655395:BQN655397 CAI655395:CAJ655397 CKE655395:CKF655397 CUA655395:CUB655397 DDW655395:DDX655397 DNS655395:DNT655397 DXO655395:DXP655397 EHK655395:EHL655397 ERG655395:ERH655397 FBC655395:FBD655397 FKY655395:FKZ655397 FUU655395:FUV655397 GEQ655395:GER655397 GOM655395:GON655397 GYI655395:GYJ655397 HIE655395:HIF655397 HSA655395:HSB655397 IBW655395:IBX655397 ILS655395:ILT655397 IVO655395:IVP655397 JFK655395:JFL655397 JPG655395:JPH655397 JZC655395:JZD655397 KIY655395:KIZ655397 KSU655395:KSV655397 LCQ655395:LCR655397 LMM655395:LMN655397 LWI655395:LWJ655397 MGE655395:MGF655397 MQA655395:MQB655397 MZW655395:MZX655397 NJS655395:NJT655397 NTO655395:NTP655397 ODK655395:ODL655397 ONG655395:ONH655397 OXC655395:OXD655397 PGY655395:PGZ655397 PQU655395:PQV655397 QAQ655395:QAR655397 QKM655395:QKN655397 QUI655395:QUJ655397 REE655395:REF655397 ROA655395:ROB655397 RXW655395:RXX655397 SHS655395:SHT655397 SRO655395:SRP655397 TBK655395:TBL655397 TLG655395:TLH655397 TVC655395:TVD655397 UEY655395:UEZ655397 UOU655395:UOV655397 UYQ655395:UYR655397 VIM655395:VIN655397 VSI655395:VSJ655397 WCE655395:WCF655397 WMA655395:WMB655397 WVW655395:WVX655397 O720931:P720933 JK720931:JL720933 TG720931:TH720933 ADC720931:ADD720933 AMY720931:AMZ720933 AWU720931:AWV720933 BGQ720931:BGR720933 BQM720931:BQN720933 CAI720931:CAJ720933 CKE720931:CKF720933 CUA720931:CUB720933 DDW720931:DDX720933 DNS720931:DNT720933 DXO720931:DXP720933 EHK720931:EHL720933 ERG720931:ERH720933 FBC720931:FBD720933 FKY720931:FKZ720933 FUU720931:FUV720933 GEQ720931:GER720933 GOM720931:GON720933 GYI720931:GYJ720933 HIE720931:HIF720933 HSA720931:HSB720933 IBW720931:IBX720933 ILS720931:ILT720933 IVO720931:IVP720933 JFK720931:JFL720933 JPG720931:JPH720933 JZC720931:JZD720933 KIY720931:KIZ720933 KSU720931:KSV720933 LCQ720931:LCR720933 LMM720931:LMN720933 LWI720931:LWJ720933 MGE720931:MGF720933 MQA720931:MQB720933 MZW720931:MZX720933 NJS720931:NJT720933 NTO720931:NTP720933 ODK720931:ODL720933 ONG720931:ONH720933 OXC720931:OXD720933 PGY720931:PGZ720933 PQU720931:PQV720933 QAQ720931:QAR720933 QKM720931:QKN720933 QUI720931:QUJ720933 REE720931:REF720933 ROA720931:ROB720933 RXW720931:RXX720933 SHS720931:SHT720933 SRO720931:SRP720933 TBK720931:TBL720933 TLG720931:TLH720933 TVC720931:TVD720933 UEY720931:UEZ720933 UOU720931:UOV720933 UYQ720931:UYR720933 VIM720931:VIN720933 VSI720931:VSJ720933 WCE720931:WCF720933 WMA720931:WMB720933 WVW720931:WVX720933 O786467:P786469 JK786467:JL786469 TG786467:TH786469 ADC786467:ADD786469 AMY786467:AMZ786469 AWU786467:AWV786469 BGQ786467:BGR786469 BQM786467:BQN786469 CAI786467:CAJ786469 CKE786467:CKF786469 CUA786467:CUB786469 DDW786467:DDX786469 DNS786467:DNT786469 DXO786467:DXP786469 EHK786467:EHL786469 ERG786467:ERH786469 FBC786467:FBD786469 FKY786467:FKZ786469 FUU786467:FUV786469 GEQ786467:GER786469 GOM786467:GON786469 GYI786467:GYJ786469 HIE786467:HIF786469 HSA786467:HSB786469 IBW786467:IBX786469 ILS786467:ILT786469 IVO786467:IVP786469 JFK786467:JFL786469 JPG786467:JPH786469 JZC786467:JZD786469 KIY786467:KIZ786469 KSU786467:KSV786469 LCQ786467:LCR786469 LMM786467:LMN786469 LWI786467:LWJ786469 MGE786467:MGF786469 MQA786467:MQB786469 MZW786467:MZX786469 NJS786467:NJT786469 NTO786467:NTP786469 ODK786467:ODL786469 ONG786467:ONH786469 OXC786467:OXD786469 PGY786467:PGZ786469 PQU786467:PQV786469 QAQ786467:QAR786469 QKM786467:QKN786469 QUI786467:QUJ786469 REE786467:REF786469 ROA786467:ROB786469 RXW786467:RXX786469 SHS786467:SHT786469 SRO786467:SRP786469 TBK786467:TBL786469 TLG786467:TLH786469 TVC786467:TVD786469 UEY786467:UEZ786469 UOU786467:UOV786469 UYQ786467:UYR786469 VIM786467:VIN786469 VSI786467:VSJ786469 WCE786467:WCF786469 WMA786467:WMB786469 WVW786467:WVX786469 O852003:P852005 JK852003:JL852005 TG852003:TH852005 ADC852003:ADD852005 AMY852003:AMZ852005 AWU852003:AWV852005 BGQ852003:BGR852005 BQM852003:BQN852005 CAI852003:CAJ852005 CKE852003:CKF852005 CUA852003:CUB852005 DDW852003:DDX852005 DNS852003:DNT852005 DXO852003:DXP852005 EHK852003:EHL852005 ERG852003:ERH852005 FBC852003:FBD852005 FKY852003:FKZ852005 FUU852003:FUV852005 GEQ852003:GER852005 GOM852003:GON852005 GYI852003:GYJ852005 HIE852003:HIF852005 HSA852003:HSB852005 IBW852003:IBX852005 ILS852003:ILT852005 IVO852003:IVP852005 JFK852003:JFL852005 JPG852003:JPH852005 JZC852003:JZD852005 KIY852003:KIZ852005 KSU852003:KSV852005 LCQ852003:LCR852005 LMM852003:LMN852005 LWI852003:LWJ852005 MGE852003:MGF852005 MQA852003:MQB852005 MZW852003:MZX852005 NJS852003:NJT852005 NTO852003:NTP852005 ODK852003:ODL852005 ONG852003:ONH852005 OXC852003:OXD852005 PGY852003:PGZ852005 PQU852003:PQV852005 QAQ852003:QAR852005 QKM852003:QKN852005 QUI852003:QUJ852005 REE852003:REF852005 ROA852003:ROB852005 RXW852003:RXX852005 SHS852003:SHT852005 SRO852003:SRP852005 TBK852003:TBL852005 TLG852003:TLH852005 TVC852003:TVD852005 UEY852003:UEZ852005 UOU852003:UOV852005 UYQ852003:UYR852005 VIM852003:VIN852005 VSI852003:VSJ852005 WCE852003:WCF852005 WMA852003:WMB852005 WVW852003:WVX852005 O917539:P917541 JK917539:JL917541 TG917539:TH917541 ADC917539:ADD917541 AMY917539:AMZ917541 AWU917539:AWV917541 BGQ917539:BGR917541 BQM917539:BQN917541 CAI917539:CAJ917541 CKE917539:CKF917541 CUA917539:CUB917541 DDW917539:DDX917541 DNS917539:DNT917541 DXO917539:DXP917541 EHK917539:EHL917541 ERG917539:ERH917541 FBC917539:FBD917541 FKY917539:FKZ917541 FUU917539:FUV917541 GEQ917539:GER917541 GOM917539:GON917541 GYI917539:GYJ917541 HIE917539:HIF917541 HSA917539:HSB917541 IBW917539:IBX917541 ILS917539:ILT917541 IVO917539:IVP917541 JFK917539:JFL917541 JPG917539:JPH917541 JZC917539:JZD917541 KIY917539:KIZ917541 KSU917539:KSV917541 LCQ917539:LCR917541 LMM917539:LMN917541 LWI917539:LWJ917541 MGE917539:MGF917541 MQA917539:MQB917541 MZW917539:MZX917541 NJS917539:NJT917541 NTO917539:NTP917541 ODK917539:ODL917541 ONG917539:ONH917541 OXC917539:OXD917541 PGY917539:PGZ917541 PQU917539:PQV917541 QAQ917539:QAR917541 QKM917539:QKN917541 QUI917539:QUJ917541 REE917539:REF917541 ROA917539:ROB917541 RXW917539:RXX917541 SHS917539:SHT917541 SRO917539:SRP917541 TBK917539:TBL917541 TLG917539:TLH917541 TVC917539:TVD917541 UEY917539:UEZ917541 UOU917539:UOV917541 UYQ917539:UYR917541 VIM917539:VIN917541 VSI917539:VSJ917541 WCE917539:WCF917541 WMA917539:WMB917541 WVW917539:WVX917541 O983075:P983077 JK983075:JL983077 TG983075:TH983077 ADC983075:ADD983077 AMY983075:AMZ983077 AWU983075:AWV983077 BGQ983075:BGR983077 BQM983075:BQN983077 CAI983075:CAJ983077 CKE983075:CKF983077 CUA983075:CUB983077 DDW983075:DDX983077 DNS983075:DNT983077 DXO983075:DXP983077 EHK983075:EHL983077 ERG983075:ERH983077 FBC983075:FBD983077 FKY983075:FKZ983077 FUU983075:FUV983077 GEQ983075:GER983077 GOM983075:GON983077 GYI983075:GYJ983077 HIE983075:HIF983077 HSA983075:HSB983077 IBW983075:IBX983077 ILS983075:ILT983077 IVO983075:IVP983077 JFK983075:JFL983077 JPG983075:JPH983077 JZC983075:JZD983077 KIY983075:KIZ983077 KSU983075:KSV983077 LCQ983075:LCR983077 LMM983075:LMN983077 LWI983075:LWJ983077 MGE983075:MGF983077 MQA983075:MQB983077 MZW983075:MZX983077 NJS983075:NJT983077 NTO983075:NTP983077 ODK983075:ODL983077 ONG983075:ONH983077 OXC983075:OXD983077 PGY983075:PGZ983077 PQU983075:PQV983077 QAQ983075:QAR983077 QKM983075:QKN983077 QUI983075:QUJ983077 REE983075:REF983077 ROA983075:ROB983077 RXW983075:RXX983077 SHS983075:SHT983077 SRO983075:SRP983077 TBK983075:TBL983077 TLG983075:TLH983077 TVC983075:TVD983077 UEY983075:UEZ983077 UOU983075:UOV983077 UYQ983075:UYR983077 VIM983075:VIN983077 VSI983075:VSJ983077 WCE983075:WCF983077 WMA983075:WMB983077 WVW983075:WVX983077</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tabColor rgb="FF66FF33"/>
    <pageSetUpPr fitToPage="1"/>
  </sheetPr>
  <dimension ref="A1:U194"/>
  <sheetViews>
    <sheetView showGridLines="0" view="pageBreakPreview" topLeftCell="A28" zoomScale="75" zoomScaleNormal="75" zoomScaleSheetLayoutView="75" workbookViewId="0">
      <selection activeCell="B29" sqref="B29"/>
    </sheetView>
  </sheetViews>
  <sheetFormatPr defaultRowHeight="12.75"/>
  <cols>
    <col min="1" max="1" width="9.140625" style="1324"/>
    <col min="2" max="2" width="20" style="1324" customWidth="1"/>
    <col min="3" max="3" width="18.140625" style="1324" customWidth="1"/>
    <col min="4" max="4" width="12.7109375" style="1324" customWidth="1"/>
    <col min="5" max="5" width="19.85546875" style="1324" customWidth="1"/>
    <col min="6" max="6" width="12.28515625" style="1324" customWidth="1"/>
    <col min="7" max="7" width="9.28515625" style="1324" customWidth="1"/>
    <col min="8" max="8" width="11" style="1324" customWidth="1"/>
    <col min="9" max="9" width="9.28515625" style="1324" customWidth="1"/>
    <col min="10" max="10" width="26.42578125" style="1324" customWidth="1"/>
    <col min="11" max="11" width="11" style="1324" customWidth="1"/>
    <col min="12" max="12" width="8.28515625" style="1324" customWidth="1"/>
    <col min="13" max="13" width="11.28515625" style="1324" customWidth="1"/>
    <col min="14" max="15" width="6.7109375" style="1324" customWidth="1"/>
    <col min="16" max="16" width="13.85546875" style="1324" customWidth="1"/>
    <col min="17" max="17" width="19.7109375" style="1324" customWidth="1"/>
    <col min="18" max="18" width="11.42578125" style="1324" customWidth="1"/>
    <col min="19" max="20" width="9.140625" style="1324"/>
    <col min="21" max="21" width="37" style="1324" customWidth="1"/>
    <col min="22" max="16384" width="9.140625" style="1324"/>
  </cols>
  <sheetData>
    <row r="1" spans="1:19" ht="26.25" customHeight="1">
      <c r="A1" s="1534" t="s">
        <v>1408</v>
      </c>
      <c r="B1" s="1138"/>
      <c r="C1" s="1137"/>
      <c r="D1" s="1138"/>
      <c r="E1" s="1138"/>
      <c r="F1" s="1140"/>
      <c r="G1" s="1138"/>
      <c r="H1" s="1138"/>
      <c r="I1" s="1138"/>
      <c r="J1" s="1138"/>
      <c r="K1" s="790"/>
      <c r="L1" s="790"/>
      <c r="M1" s="790"/>
    </row>
    <row r="2" spans="1:19" ht="26.25" customHeight="1">
      <c r="B2" s="1138"/>
      <c r="C2" s="1137" t="str">
        <f>'1.1 - APPLIANCES'!C2</f>
        <v>MULTIFAMILY PERFORMANCE PROGRAM</v>
      </c>
      <c r="D2" s="1138"/>
      <c r="E2" s="1138"/>
      <c r="F2" s="1140"/>
      <c r="G2" s="1138"/>
      <c r="H2" s="1138"/>
      <c r="I2" s="1138"/>
      <c r="J2" s="1138"/>
      <c r="K2" s="790"/>
      <c r="L2" s="790"/>
      <c r="M2" s="790"/>
    </row>
    <row r="3" spans="1:19" ht="26.25" customHeight="1">
      <c r="B3" s="1138"/>
      <c r="C3" s="1139" t="s">
        <v>368</v>
      </c>
      <c r="D3" s="1139">
        <f>'Project Info'!C3</f>
        <v>0</v>
      </c>
      <c r="E3" s="1138"/>
      <c r="F3" s="1140"/>
      <c r="G3" s="1138"/>
      <c r="H3" s="1138"/>
      <c r="I3" s="1138"/>
      <c r="J3" s="1138"/>
      <c r="K3" s="790"/>
      <c r="L3" s="790"/>
      <c r="M3" s="790"/>
    </row>
    <row r="4" spans="1:19" ht="26.25" customHeight="1">
      <c r="A4" s="1430"/>
      <c r="B4" s="1138"/>
      <c r="C4" s="1139"/>
      <c r="D4" s="1139"/>
      <c r="E4" s="1138"/>
      <c r="F4" s="1138"/>
      <c r="G4" s="1138"/>
      <c r="H4" s="1138"/>
      <c r="I4" s="1138"/>
      <c r="J4" s="1138"/>
      <c r="K4" s="1138"/>
      <c r="L4" s="1140"/>
      <c r="M4" s="1138"/>
      <c r="N4" s="795"/>
      <c r="O4" s="795"/>
      <c r="P4" s="795"/>
      <c r="Q4" s="795"/>
      <c r="R4" s="1430"/>
    </row>
    <row r="5" spans="1:19" s="1540" customFormat="1" ht="17.25" customHeight="1">
      <c r="B5" s="1141" t="s">
        <v>1660</v>
      </c>
      <c r="C5" s="1166"/>
      <c r="D5" s="1166"/>
      <c r="E5" s="1214"/>
      <c r="F5" s="1214"/>
      <c r="G5" s="1337"/>
      <c r="H5" s="1214"/>
      <c r="I5" s="1337"/>
      <c r="J5" s="1337"/>
      <c r="K5" s="1337"/>
      <c r="L5" s="1337"/>
      <c r="M5" s="1337"/>
      <c r="N5" s="1337"/>
      <c r="O5" s="1337"/>
      <c r="P5" s="1215" t="s">
        <v>1411</v>
      </c>
      <c r="Q5" s="1215" t="s">
        <v>1412</v>
      </c>
      <c r="R5" s="1706"/>
      <c r="S5" s="1706"/>
    </row>
    <row r="6" spans="1:19">
      <c r="A6" s="1552"/>
      <c r="B6" s="1144"/>
      <c r="C6" s="1144"/>
      <c r="D6" s="1144"/>
      <c r="E6" s="1144"/>
      <c r="F6" s="1144"/>
      <c r="G6" s="1144"/>
      <c r="H6" s="1144"/>
      <c r="I6" s="1144"/>
      <c r="J6" s="1144"/>
      <c r="K6" s="1144"/>
      <c r="L6" s="1144"/>
      <c r="M6" s="1144"/>
      <c r="N6" s="1529"/>
      <c r="O6" s="1529"/>
      <c r="P6" s="934" t="s">
        <v>1413</v>
      </c>
      <c r="Q6" s="921"/>
      <c r="R6" s="1552"/>
      <c r="S6" s="1552"/>
    </row>
    <row r="7" spans="1:19">
      <c r="A7" s="1552"/>
      <c r="B7" s="1144"/>
      <c r="C7" s="1144"/>
      <c r="D7" s="1144"/>
      <c r="E7" s="1144"/>
      <c r="F7" s="1144"/>
      <c r="G7" s="1144"/>
      <c r="H7" s="1144"/>
      <c r="I7" s="1144"/>
      <c r="J7" s="1144"/>
      <c r="K7" s="1144"/>
      <c r="L7" s="1144"/>
      <c r="M7" s="1144"/>
      <c r="N7" s="1529"/>
      <c r="O7" s="1529"/>
      <c r="P7" s="1349"/>
      <c r="Q7" s="890"/>
      <c r="R7" s="1552"/>
      <c r="S7" s="1552"/>
    </row>
    <row r="8" spans="1:19">
      <c r="A8" s="1552"/>
      <c r="B8" s="1144"/>
      <c r="C8" s="1144"/>
      <c r="D8" s="1144"/>
      <c r="E8" s="1144"/>
      <c r="F8" s="1144"/>
      <c r="G8" s="1144"/>
      <c r="H8" s="1144"/>
      <c r="I8" s="1144"/>
      <c r="J8" s="1144"/>
      <c r="K8" s="1144"/>
      <c r="L8" s="1144"/>
      <c r="M8" s="1144"/>
      <c r="N8" s="1529"/>
      <c r="O8" s="1529"/>
      <c r="P8" s="935"/>
      <c r="Q8" s="936"/>
      <c r="R8" s="1552"/>
      <c r="S8" s="1552"/>
    </row>
    <row r="9" spans="1:19">
      <c r="A9" s="1552"/>
      <c r="B9" s="1144"/>
      <c r="C9" s="1144"/>
      <c r="D9" s="1144"/>
      <c r="E9" s="1144"/>
      <c r="F9" s="1144"/>
      <c r="G9" s="1144"/>
      <c r="H9" s="1144"/>
      <c r="I9" s="1144"/>
      <c r="J9" s="1144"/>
      <c r="K9" s="1144"/>
      <c r="L9" s="1144"/>
      <c r="M9" s="1144"/>
      <c r="N9" s="1529"/>
      <c r="O9" s="1529"/>
      <c r="P9" s="1705"/>
      <c r="Q9" s="1704"/>
      <c r="R9" s="1552"/>
      <c r="S9" s="1552"/>
    </row>
    <row r="10" spans="1:19">
      <c r="A10" s="1552"/>
      <c r="B10" s="1146" t="s">
        <v>1414</v>
      </c>
      <c r="C10" s="1144"/>
      <c r="D10" s="1144"/>
      <c r="E10" s="1144"/>
      <c r="F10" s="1144"/>
      <c r="G10" s="1144"/>
      <c r="H10" s="1144"/>
      <c r="I10" s="1144"/>
      <c r="J10" s="1144"/>
      <c r="K10" s="1144"/>
      <c r="L10" s="1144"/>
      <c r="M10" s="1144"/>
      <c r="N10" s="1529"/>
      <c r="O10" s="1529"/>
      <c r="P10" s="1530"/>
      <c r="Q10" s="1529"/>
      <c r="R10" s="1552"/>
      <c r="S10" s="1552"/>
    </row>
    <row r="11" spans="1:19" ht="38.25" customHeight="1">
      <c r="A11" s="1552"/>
      <c r="B11" s="2673" t="s">
        <v>2250</v>
      </c>
      <c r="C11" s="2673"/>
      <c r="D11" s="2673"/>
      <c r="E11" s="2673"/>
      <c r="F11" s="2673"/>
      <c r="G11" s="2673"/>
      <c r="H11" s="2673"/>
      <c r="I11" s="2673"/>
      <c r="J11" s="2673"/>
      <c r="K11" s="2673"/>
      <c r="L11" s="2673"/>
      <c r="M11" s="2673"/>
      <c r="N11" s="1529"/>
      <c r="O11" s="1529"/>
      <c r="P11" s="1530"/>
      <c r="Q11" s="1529"/>
      <c r="R11" s="1552"/>
      <c r="S11" s="1552"/>
    </row>
    <row r="12" spans="1:19" ht="17.25" customHeight="1">
      <c r="A12" s="1552"/>
      <c r="B12" s="2673" t="s">
        <v>1661</v>
      </c>
      <c r="C12" s="2673"/>
      <c r="D12" s="2673"/>
      <c r="E12" s="2673"/>
      <c r="F12" s="2673"/>
      <c r="G12" s="2673"/>
      <c r="H12" s="2673"/>
      <c r="I12" s="2673"/>
      <c r="J12" s="2673"/>
      <c r="K12" s="2673"/>
      <c r="L12" s="2673"/>
      <c r="M12" s="2673"/>
      <c r="N12" s="1529"/>
      <c r="O12" s="1529"/>
      <c r="P12" s="1530"/>
      <c r="Q12" s="1529"/>
      <c r="R12" s="1552"/>
      <c r="S12" s="1552"/>
    </row>
    <row r="13" spans="1:19">
      <c r="A13" s="1528"/>
      <c r="B13" s="1144"/>
      <c r="C13" s="1144"/>
      <c r="D13" s="1144"/>
      <c r="E13" s="1144"/>
      <c r="F13" s="1144"/>
      <c r="G13" s="1144"/>
      <c r="H13" s="1144"/>
      <c r="I13" s="1144"/>
      <c r="J13" s="1144"/>
      <c r="K13" s="1144"/>
      <c r="L13" s="1144"/>
      <c r="M13" s="1389"/>
      <c r="N13" s="1451"/>
      <c r="O13" s="2715"/>
      <c r="P13" s="2715"/>
      <c r="Q13" s="1552"/>
      <c r="R13" s="1552"/>
    </row>
    <row r="14" spans="1:19">
      <c r="A14" s="1528"/>
      <c r="B14" s="1146" t="s">
        <v>1416</v>
      </c>
      <c r="C14" s="1144"/>
      <c r="D14" s="1144"/>
      <c r="E14" s="1144"/>
      <c r="F14" s="1144"/>
      <c r="G14" s="1144"/>
      <c r="H14" s="1144"/>
      <c r="I14" s="1144"/>
      <c r="J14" s="1144"/>
      <c r="K14" s="1144"/>
      <c r="L14" s="1144"/>
      <c r="M14" s="1144"/>
      <c r="N14" s="2781"/>
      <c r="O14" s="2781"/>
      <c r="P14" s="2715"/>
      <c r="Q14" s="2715"/>
      <c r="R14" s="1552"/>
      <c r="S14" s="1552"/>
    </row>
    <row r="15" spans="1:19">
      <c r="A15" s="1528"/>
      <c r="B15" s="1144" t="s">
        <v>1662</v>
      </c>
      <c r="C15" s="1144"/>
      <c r="D15" s="1144"/>
      <c r="E15" s="1144"/>
      <c r="F15" s="1144"/>
      <c r="G15" s="1144"/>
      <c r="H15" s="1144"/>
      <c r="I15" s="1144"/>
      <c r="J15" s="1144"/>
      <c r="K15" s="1144"/>
      <c r="L15" s="1144"/>
      <c r="M15" s="1144"/>
      <c r="N15" s="1529"/>
      <c r="O15" s="1529"/>
      <c r="P15" s="1529"/>
      <c r="Q15" s="1529"/>
      <c r="R15" s="1552"/>
      <c r="S15" s="1552"/>
    </row>
    <row r="16" spans="1:19">
      <c r="A16" s="1528"/>
      <c r="B16" s="1149" t="s">
        <v>1663</v>
      </c>
      <c r="C16" s="1144"/>
      <c r="D16" s="1144"/>
      <c r="E16" s="1144"/>
      <c r="F16" s="1144"/>
      <c r="G16" s="1144"/>
      <c r="H16" s="1144"/>
      <c r="I16" s="1144"/>
      <c r="J16" s="1144"/>
      <c r="K16" s="1144"/>
      <c r="L16" s="1144"/>
      <c r="M16" s="1144"/>
      <c r="N16" s="1529"/>
      <c r="O16" s="1529"/>
      <c r="P16" s="1529"/>
      <c r="Q16" s="1529"/>
      <c r="R16" s="1552"/>
      <c r="S16" s="1552"/>
    </row>
    <row r="17" spans="1:21">
      <c r="A17" s="1528"/>
      <c r="B17" s="1144" t="s">
        <v>1664</v>
      </c>
      <c r="C17" s="1144"/>
      <c r="D17" s="1144"/>
      <c r="E17" s="1144"/>
      <c r="F17" s="1144"/>
      <c r="G17" s="1144"/>
      <c r="H17" s="1144"/>
      <c r="I17" s="1144"/>
      <c r="J17" s="1144"/>
      <c r="K17" s="1144"/>
      <c r="L17" s="1144"/>
      <c r="M17" s="1144"/>
      <c r="N17" s="1529"/>
      <c r="O17" s="1529"/>
      <c r="P17" s="1529"/>
      <c r="Q17" s="1529"/>
      <c r="R17" s="1552"/>
      <c r="S17" s="1552"/>
    </row>
    <row r="18" spans="1:21">
      <c r="A18" s="1528"/>
      <c r="B18" s="1144" t="s">
        <v>1665</v>
      </c>
      <c r="C18" s="1144"/>
      <c r="D18" s="1144"/>
      <c r="E18" s="1144"/>
      <c r="F18" s="1144"/>
      <c r="G18" s="1144"/>
      <c r="H18" s="1144"/>
      <c r="I18" s="1144"/>
      <c r="J18" s="1144"/>
      <c r="K18" s="1144"/>
      <c r="L18" s="1144"/>
      <c r="M18" s="1144"/>
      <c r="N18" s="1529"/>
      <c r="O18" s="1529"/>
      <c r="P18" s="1529"/>
      <c r="Q18" s="1529"/>
      <c r="R18" s="1552"/>
      <c r="S18" s="1552"/>
    </row>
    <row r="19" spans="1:21">
      <c r="A19" s="1528"/>
      <c r="B19" s="1144" t="s">
        <v>1666</v>
      </c>
      <c r="C19" s="1144"/>
      <c r="D19" s="1144"/>
      <c r="E19" s="1144"/>
      <c r="F19" s="1144"/>
      <c r="G19" s="1144"/>
      <c r="H19" s="1144"/>
      <c r="I19" s="1144"/>
      <c r="J19" s="1144"/>
      <c r="K19" s="1144"/>
      <c r="L19" s="1144"/>
      <c r="M19" s="1144"/>
      <c r="N19" s="1529"/>
      <c r="O19" s="1529"/>
      <c r="P19" s="1529"/>
      <c r="Q19" s="1529"/>
      <c r="R19" s="1552"/>
      <c r="S19" s="1552"/>
    </row>
    <row r="20" spans="1:21">
      <c r="A20" s="1528"/>
      <c r="B20" s="1144"/>
      <c r="C20" s="1144"/>
      <c r="D20" s="1144"/>
      <c r="E20" s="1144"/>
      <c r="F20" s="1144"/>
      <c r="G20" s="1144"/>
      <c r="H20" s="1144"/>
      <c r="I20" s="1144"/>
      <c r="J20" s="1144"/>
      <c r="K20" s="1144"/>
      <c r="L20" s="1144"/>
      <c r="M20" s="1144"/>
      <c r="N20" s="1529"/>
      <c r="O20" s="1529"/>
      <c r="P20" s="1529"/>
      <c r="Q20" s="1529"/>
      <c r="R20" s="1552"/>
      <c r="S20" s="1552"/>
    </row>
    <row r="21" spans="1:21">
      <c r="A21" s="1528"/>
      <c r="B21" s="1148" t="s">
        <v>1420</v>
      </c>
      <c r="C21" s="1144"/>
      <c r="D21" s="1144"/>
      <c r="E21" s="1144"/>
      <c r="F21" s="1144"/>
      <c r="G21" s="1144"/>
      <c r="H21" s="1144"/>
      <c r="I21" s="1144"/>
      <c r="J21" s="1144"/>
      <c r="K21" s="1144"/>
      <c r="L21" s="1144"/>
      <c r="M21" s="1144"/>
      <c r="N21" s="1529"/>
      <c r="O21" s="1529"/>
      <c r="P21" s="1529"/>
      <c r="Q21" s="1529"/>
      <c r="R21" s="1552"/>
      <c r="S21" s="1552"/>
    </row>
    <row r="22" spans="1:21" ht="26.25" customHeight="1">
      <c r="A22" s="1528"/>
      <c r="B22" s="2673" t="s">
        <v>1667</v>
      </c>
      <c r="C22" s="2673"/>
      <c r="D22" s="2673"/>
      <c r="E22" s="2673"/>
      <c r="F22" s="2673"/>
      <c r="G22" s="2673"/>
      <c r="H22" s="2673"/>
      <c r="I22" s="2673"/>
      <c r="J22" s="2673"/>
      <c r="K22" s="2673"/>
      <c r="L22" s="2673"/>
      <c r="M22" s="2673"/>
      <c r="N22" s="1529"/>
      <c r="O22" s="1529"/>
      <c r="P22" s="1529"/>
      <c r="Q22" s="1529"/>
      <c r="R22" s="1552"/>
      <c r="S22" s="1552"/>
    </row>
    <row r="23" spans="1:21" ht="28.5" customHeight="1">
      <c r="A23" s="1528"/>
      <c r="B23" s="2673" t="s">
        <v>1668</v>
      </c>
      <c r="C23" s="2673"/>
      <c r="D23" s="2673"/>
      <c r="E23" s="2673"/>
      <c r="F23" s="2673"/>
      <c r="G23" s="2673"/>
      <c r="H23" s="2673"/>
      <c r="I23" s="2673"/>
      <c r="J23" s="2673"/>
      <c r="K23" s="2673"/>
      <c r="L23" s="2673"/>
      <c r="M23" s="2673"/>
      <c r="N23" s="1529"/>
      <c r="O23" s="1529"/>
      <c r="P23" s="1529"/>
      <c r="Q23" s="1529"/>
      <c r="R23" s="1552"/>
      <c r="S23" s="1552"/>
    </row>
    <row r="24" spans="1:21" ht="16.5" customHeight="1">
      <c r="A24" s="1528"/>
      <c r="B24" s="2743" t="s">
        <v>1669</v>
      </c>
      <c r="C24" s="2743"/>
      <c r="D24" s="2743"/>
      <c r="E24" s="2743"/>
      <c r="F24" s="2743"/>
      <c r="G24" s="2743"/>
      <c r="H24" s="2743"/>
      <c r="I24" s="2743"/>
      <c r="J24" s="2743"/>
      <c r="K24" s="2743"/>
      <c r="L24" s="2743"/>
      <c r="M24" s="2743"/>
      <c r="N24" s="1529"/>
      <c r="O24" s="1529"/>
      <c r="P24" s="1529"/>
      <c r="Q24" s="1529"/>
      <c r="R24" s="1552"/>
      <c r="S24" s="1552"/>
    </row>
    <row r="25" spans="1:21" ht="91.5" customHeight="1">
      <c r="A25" s="1528"/>
      <c r="B25" s="2716" t="s">
        <v>2249</v>
      </c>
      <c r="C25" s="2744"/>
      <c r="D25" s="2744"/>
      <c r="E25" s="2744"/>
      <c r="F25" s="2744"/>
      <c r="G25" s="2744"/>
      <c r="H25" s="2744"/>
      <c r="I25" s="2744"/>
      <c r="J25" s="2744"/>
      <c r="K25" s="2744"/>
      <c r="L25" s="2744"/>
      <c r="M25" s="2744"/>
      <c r="N25" s="1529"/>
      <c r="O25" s="1529"/>
      <c r="P25" s="1529"/>
      <c r="Q25" s="1529"/>
      <c r="R25" s="1552"/>
      <c r="S25" s="1552"/>
    </row>
    <row r="26" spans="1:21">
      <c r="A26" s="1528"/>
      <c r="B26" s="1703"/>
      <c r="C26" s="1529"/>
      <c r="D26" s="1529"/>
      <c r="E26" s="1529"/>
      <c r="F26" s="1529"/>
      <c r="G26" s="1529"/>
      <c r="H26" s="1529"/>
      <c r="I26" s="1529"/>
      <c r="J26" s="1529"/>
      <c r="K26" s="1529"/>
      <c r="L26" s="1529"/>
      <c r="M26" s="1529"/>
      <c r="N26" s="1529"/>
      <c r="O26" s="1529"/>
      <c r="P26" s="1529"/>
      <c r="Q26" s="1529"/>
      <c r="R26" s="1552"/>
      <c r="S26" s="1552"/>
    </row>
    <row r="27" spans="1:21" ht="80.099999999999994" customHeight="1">
      <c r="A27" s="1528"/>
      <c r="B27" s="1391" t="s">
        <v>1439</v>
      </c>
      <c r="C27" s="1353"/>
      <c r="D27" s="1342"/>
      <c r="E27" s="1342"/>
      <c r="F27" s="1342"/>
      <c r="G27" s="1342"/>
      <c r="H27" s="1342"/>
      <c r="I27" s="1342"/>
      <c r="J27" s="1342" t="s">
        <v>1433</v>
      </c>
      <c r="K27" s="1339" t="s">
        <v>1493</v>
      </c>
      <c r="L27" s="1155" t="s">
        <v>1435</v>
      </c>
      <c r="M27" s="1155" t="s">
        <v>1436</v>
      </c>
      <c r="N27" s="2679" t="s">
        <v>1437</v>
      </c>
      <c r="O27" s="2793"/>
      <c r="P27" s="2793"/>
      <c r="Q27" s="2793"/>
      <c r="R27" s="1552"/>
      <c r="S27" s="1552"/>
    </row>
    <row r="28" spans="1:21" ht="382.5" customHeight="1">
      <c r="A28" s="1681"/>
      <c r="B28" s="2796" t="s">
        <v>2562</v>
      </c>
      <c r="C28" s="2797"/>
      <c r="D28" s="2797"/>
      <c r="E28" s="2797"/>
      <c r="F28" s="2700" t="str">
        <f>IF('Project Info'!C4='Project Info'!P32,'Prescriptive Path Checklist'!C111,IF('Project Info'!C4='Project Info'!P33,#REF!,"&lt;Select compliance path on the 'Project Info' tab&gt;"))</f>
        <v>At a minimum, interior lighting must be designed to meet light levels (footcandles) by space type as recommended by the Illumination Engineering Society (IESNA) Lighting Handbook, 9th edition. Values for commonly used spaces are listed in the Modified Prescriptive Path. For senior housing, minimum illumination requirements may follow recommendations in IESNA’s 2007 Lighting and the Visual Environment for Senior Living. See Appendix B of the Modified Prescriptive Path to determine lamp lumens.</v>
      </c>
      <c r="G28" s="2795"/>
      <c r="H28" s="2795"/>
      <c r="I28" s="2702"/>
      <c r="J28" s="1388"/>
      <c r="K28" s="1371"/>
      <c r="L28" s="1388"/>
      <c r="M28" s="1341"/>
      <c r="N28" s="2790"/>
      <c r="O28" s="2862"/>
      <c r="P28" s="2862"/>
      <c r="Q28" s="2862"/>
      <c r="R28" s="1552"/>
      <c r="S28" s="1552"/>
    </row>
    <row r="29" spans="1:21">
      <c r="A29" s="1528"/>
      <c r="B29" s="1703"/>
      <c r="C29" s="1529"/>
      <c r="D29" s="1529"/>
      <c r="E29" s="1529"/>
      <c r="F29" s="1529"/>
      <c r="G29" s="1529"/>
      <c r="H29" s="1529"/>
      <c r="I29" s="1529"/>
      <c r="J29" s="1529"/>
      <c r="K29" s="1529"/>
      <c r="L29" s="1529"/>
      <c r="M29" s="1529"/>
      <c r="N29" s="1529"/>
      <c r="O29" s="1529"/>
      <c r="P29" s="1529"/>
      <c r="Q29" s="1529"/>
      <c r="R29" s="1552"/>
      <c r="S29" s="1552"/>
    </row>
    <row r="30" spans="1:21" ht="18">
      <c r="A30" s="1681"/>
      <c r="B30" s="1212" t="s">
        <v>2248</v>
      </c>
      <c r="C30" s="1144"/>
      <c r="D30" s="1529"/>
      <c r="E30" s="1529"/>
      <c r="F30" s="1529"/>
      <c r="G30" s="1529"/>
      <c r="H30" s="1529"/>
      <c r="I30" s="1529"/>
      <c r="J30" s="1655"/>
      <c r="K30" s="1529"/>
      <c r="L30" s="1529"/>
      <c r="M30" s="1529"/>
      <c r="N30" s="1529"/>
      <c r="O30" s="1529"/>
      <c r="P30" s="1529"/>
      <c r="Q30" s="1529"/>
      <c r="R30" s="1552"/>
      <c r="S30" s="1552"/>
    </row>
    <row r="31" spans="1:21" ht="36" customHeight="1">
      <c r="A31" s="1681"/>
      <c r="B31" s="2858" t="s">
        <v>2243</v>
      </c>
      <c r="C31" s="2858"/>
      <c r="D31" s="2858"/>
      <c r="E31" s="2858"/>
      <c r="F31" s="2858"/>
      <c r="G31" s="2858"/>
      <c r="H31" s="2858"/>
      <c r="I31" s="2858"/>
      <c r="J31" s="2858"/>
      <c r="K31" s="2858"/>
      <c r="L31" s="2858"/>
      <c r="M31" s="2858"/>
      <c r="N31" s="2858"/>
      <c r="O31" s="2858"/>
      <c r="P31" s="2858"/>
      <c r="Q31" s="2858"/>
      <c r="R31" s="1552"/>
      <c r="S31" s="1552"/>
    </row>
    <row r="32" spans="1:21" ht="80.099999999999994" customHeight="1">
      <c r="A32" s="1691"/>
      <c r="B32" s="1163" t="s">
        <v>1670</v>
      </c>
      <c r="C32" s="1702" t="s">
        <v>2247</v>
      </c>
      <c r="D32" s="1163" t="s">
        <v>2246</v>
      </c>
      <c r="E32" s="1163" t="s">
        <v>1671</v>
      </c>
      <c r="F32" s="2791" t="s">
        <v>2245</v>
      </c>
      <c r="G32" s="2791"/>
      <c r="H32" s="2791" t="s">
        <v>1672</v>
      </c>
      <c r="I32" s="2791"/>
      <c r="J32" s="1702" t="s">
        <v>2244</v>
      </c>
      <c r="K32" s="1702" t="s">
        <v>1673</v>
      </c>
      <c r="L32" s="1163" t="s">
        <v>2241</v>
      </c>
      <c r="M32" s="1339" t="s">
        <v>1493</v>
      </c>
      <c r="N32" s="1155" t="s">
        <v>1435</v>
      </c>
      <c r="O32" s="1155" t="s">
        <v>1436</v>
      </c>
      <c r="P32" s="2710" t="s">
        <v>1674</v>
      </c>
      <c r="Q32" s="2710"/>
      <c r="R32" s="1685"/>
      <c r="T32" s="1698"/>
      <c r="U32" s="1552"/>
    </row>
    <row r="33" spans="1:21" ht="27" customHeight="1">
      <c r="A33" s="1528"/>
      <c r="B33" s="1376"/>
      <c r="C33" s="1377"/>
      <c r="D33" s="1377"/>
      <c r="E33" s="1376"/>
      <c r="F33" s="2845"/>
      <c r="G33" s="2846"/>
      <c r="H33" s="2845"/>
      <c r="I33" s="2846"/>
      <c r="J33" s="911"/>
      <c r="K33" s="911"/>
      <c r="L33" s="1376"/>
      <c r="M33" s="1376"/>
      <c r="N33" s="1376"/>
      <c r="O33" s="1390"/>
      <c r="P33" s="2854"/>
      <c r="Q33" s="2855"/>
      <c r="R33" s="1701"/>
      <c r="T33" s="1698"/>
      <c r="U33" s="1552"/>
    </row>
    <row r="34" spans="1:21" ht="26.25" customHeight="1">
      <c r="A34" s="1528"/>
      <c r="B34" s="1376"/>
      <c r="C34" s="1377"/>
      <c r="D34" s="1377"/>
      <c r="E34" s="1376"/>
      <c r="F34" s="2845"/>
      <c r="G34" s="2846"/>
      <c r="H34" s="2845"/>
      <c r="I34" s="2846"/>
      <c r="J34" s="911"/>
      <c r="K34" s="911"/>
      <c r="L34" s="1376"/>
      <c r="M34" s="1376"/>
      <c r="N34" s="1376"/>
      <c r="O34" s="1390"/>
      <c r="P34" s="2854"/>
      <c r="Q34" s="2855"/>
      <c r="R34" s="1701"/>
      <c r="T34" s="1698"/>
      <c r="U34" s="1552"/>
    </row>
    <row r="35" spans="1:21" ht="26.25" customHeight="1">
      <c r="A35" s="1528"/>
      <c r="B35" s="1376"/>
      <c r="C35" s="1377"/>
      <c r="D35" s="1377"/>
      <c r="E35" s="1376"/>
      <c r="F35" s="2845"/>
      <c r="G35" s="2846"/>
      <c r="H35" s="2845"/>
      <c r="I35" s="2846"/>
      <c r="J35" s="911"/>
      <c r="K35" s="911"/>
      <c r="L35" s="1376"/>
      <c r="M35" s="1376"/>
      <c r="N35" s="1376"/>
      <c r="O35" s="1390"/>
      <c r="P35" s="2854"/>
      <c r="Q35" s="2855"/>
      <c r="R35" s="1701"/>
      <c r="T35" s="1698"/>
      <c r="U35" s="1552"/>
    </row>
    <row r="36" spans="1:21" ht="26.25" customHeight="1">
      <c r="A36" s="1528"/>
      <c r="B36" s="1376"/>
      <c r="C36" s="1377"/>
      <c r="D36" s="1377"/>
      <c r="E36" s="1376"/>
      <c r="F36" s="2845"/>
      <c r="G36" s="2846"/>
      <c r="H36" s="2845"/>
      <c r="I36" s="2846"/>
      <c r="J36" s="911"/>
      <c r="K36" s="911"/>
      <c r="L36" s="1376"/>
      <c r="M36" s="1376"/>
      <c r="N36" s="1376"/>
      <c r="O36" s="1390"/>
      <c r="P36" s="2854"/>
      <c r="Q36" s="2855"/>
      <c r="R36" s="1701"/>
      <c r="T36" s="1698"/>
      <c r="U36" s="1552"/>
    </row>
    <row r="37" spans="1:21" ht="26.25" customHeight="1">
      <c r="A37" s="1528"/>
      <c r="B37" s="1376"/>
      <c r="C37" s="1377"/>
      <c r="D37" s="1377"/>
      <c r="E37" s="1376"/>
      <c r="F37" s="2845"/>
      <c r="G37" s="2846"/>
      <c r="H37" s="2845"/>
      <c r="I37" s="2846"/>
      <c r="J37" s="911"/>
      <c r="K37" s="911"/>
      <c r="L37" s="1376"/>
      <c r="M37" s="1376"/>
      <c r="N37" s="1376"/>
      <c r="O37" s="1390"/>
      <c r="P37" s="2854"/>
      <c r="Q37" s="2855"/>
      <c r="R37" s="1701"/>
      <c r="T37" s="1698"/>
      <c r="U37" s="1552"/>
    </row>
    <row r="38" spans="1:21" ht="26.25" customHeight="1">
      <c r="A38" s="1528"/>
      <c r="B38" s="1376"/>
      <c r="C38" s="1377"/>
      <c r="D38" s="1377"/>
      <c r="E38" s="1376"/>
      <c r="F38" s="2845"/>
      <c r="G38" s="2846"/>
      <c r="H38" s="2845"/>
      <c r="I38" s="2846"/>
      <c r="J38" s="911"/>
      <c r="K38" s="911"/>
      <c r="L38" s="1376"/>
      <c r="M38" s="1376"/>
      <c r="N38" s="1376"/>
      <c r="O38" s="1390"/>
      <c r="P38" s="2854"/>
      <c r="Q38" s="2855"/>
      <c r="R38" s="1701"/>
      <c r="T38" s="1698"/>
      <c r="U38" s="1552"/>
    </row>
    <row r="39" spans="1:21" ht="26.25" customHeight="1">
      <c r="A39" s="1528"/>
      <c r="B39" s="1377"/>
      <c r="C39" s="1377"/>
      <c r="D39" s="1377"/>
      <c r="E39" s="1377"/>
      <c r="F39" s="2846"/>
      <c r="G39" s="2846"/>
      <c r="H39" s="2846"/>
      <c r="I39" s="2846"/>
      <c r="J39" s="937"/>
      <c r="K39" s="937"/>
      <c r="L39" s="1377"/>
      <c r="M39" s="1377"/>
      <c r="N39" s="1376"/>
      <c r="O39" s="1390"/>
      <c r="P39" s="2854"/>
      <c r="Q39" s="2855"/>
      <c r="R39" s="1701"/>
      <c r="T39" s="1698"/>
      <c r="U39" s="1552"/>
    </row>
    <row r="40" spans="1:21" ht="26.25" customHeight="1">
      <c r="A40" s="1528"/>
      <c r="B40" s="1377"/>
      <c r="C40" s="1377"/>
      <c r="D40" s="1377"/>
      <c r="E40" s="1377"/>
      <c r="F40" s="2846"/>
      <c r="G40" s="2846"/>
      <c r="H40" s="2846"/>
      <c r="I40" s="2846"/>
      <c r="J40" s="937"/>
      <c r="K40" s="937"/>
      <c r="L40" s="1377"/>
      <c r="M40" s="1377"/>
      <c r="N40" s="1376"/>
      <c r="O40" s="1390"/>
      <c r="P40" s="2854"/>
      <c r="Q40" s="2855"/>
      <c r="R40" s="1701"/>
      <c r="T40" s="1698"/>
      <c r="U40" s="1552"/>
    </row>
    <row r="41" spans="1:21" ht="26.25" customHeight="1">
      <c r="A41" s="1528"/>
      <c r="B41" s="1377"/>
      <c r="C41" s="1377"/>
      <c r="D41" s="1377"/>
      <c r="E41" s="1377"/>
      <c r="F41" s="2846"/>
      <c r="G41" s="2846"/>
      <c r="H41" s="2846"/>
      <c r="I41" s="2846"/>
      <c r="J41" s="937"/>
      <c r="K41" s="937"/>
      <c r="L41" s="1377"/>
      <c r="M41" s="1377"/>
      <c r="N41" s="1376"/>
      <c r="O41" s="1390"/>
      <c r="P41" s="2854"/>
      <c r="Q41" s="2855"/>
      <c r="R41" s="1701"/>
      <c r="T41" s="1698"/>
      <c r="U41" s="1552"/>
    </row>
    <row r="42" spans="1:21" ht="26.25" customHeight="1">
      <c r="A42" s="1528"/>
      <c r="B42" s="1377"/>
      <c r="C42" s="1377"/>
      <c r="D42" s="1377"/>
      <c r="E42" s="1377"/>
      <c r="F42" s="2846"/>
      <c r="G42" s="2846"/>
      <c r="H42" s="2846"/>
      <c r="I42" s="2846"/>
      <c r="J42" s="937"/>
      <c r="K42" s="937"/>
      <c r="L42" s="1377"/>
      <c r="M42" s="1377"/>
      <c r="N42" s="1376"/>
      <c r="O42" s="1390"/>
      <c r="P42" s="2854"/>
      <c r="Q42" s="2855"/>
      <c r="R42" s="1701"/>
      <c r="T42" s="1698"/>
      <c r="U42" s="1552"/>
    </row>
    <row r="43" spans="1:21">
      <c r="A43" s="1528"/>
      <c r="B43" s="1699"/>
      <c r="C43" s="1699"/>
      <c r="D43" s="1700"/>
      <c r="E43" s="1700"/>
      <c r="F43" s="1699"/>
      <c r="G43" s="1699"/>
      <c r="H43" s="1699"/>
      <c r="I43" s="1699"/>
      <c r="J43" s="1699"/>
      <c r="K43" s="1699"/>
      <c r="L43" s="1699"/>
      <c r="M43" s="1699"/>
      <c r="N43" s="1699"/>
      <c r="O43" s="1699"/>
      <c r="P43" s="1699"/>
      <c r="Q43" s="1699"/>
      <c r="R43" s="1698"/>
      <c r="S43" s="1552"/>
    </row>
    <row r="44" spans="1:21" ht="38.25" customHeight="1">
      <c r="A44" s="1528"/>
      <c r="B44" s="1692" t="s">
        <v>1675</v>
      </c>
      <c r="C44" s="790"/>
      <c r="S44" s="1552"/>
    </row>
    <row r="45" spans="1:21" ht="39" customHeight="1">
      <c r="A45" s="1528"/>
      <c r="B45" s="2858" t="s">
        <v>2243</v>
      </c>
      <c r="C45" s="2858"/>
      <c r="D45" s="2858"/>
      <c r="E45" s="2858"/>
      <c r="F45" s="2858"/>
      <c r="G45" s="2858"/>
      <c r="H45" s="2858"/>
      <c r="I45" s="2858"/>
      <c r="J45" s="2858"/>
      <c r="K45" s="2858"/>
      <c r="L45" s="2858"/>
      <c r="M45" s="2858"/>
      <c r="N45" s="2858"/>
      <c r="O45" s="2858"/>
      <c r="P45" s="2858"/>
      <c r="Q45" s="2858"/>
      <c r="R45" s="1552"/>
      <c r="S45" s="1552"/>
    </row>
    <row r="46" spans="1:21" s="1526" customFormat="1" ht="80.099999999999994" customHeight="1">
      <c r="A46" s="1691"/>
      <c r="B46" s="1342" t="s">
        <v>1676</v>
      </c>
      <c r="C46" s="1342" t="s">
        <v>1677</v>
      </c>
      <c r="D46" s="1342" t="s">
        <v>1678</v>
      </c>
      <c r="E46" s="1342" t="s">
        <v>1679</v>
      </c>
      <c r="F46" s="1697" t="s">
        <v>2242</v>
      </c>
      <c r="G46" s="1362" t="s">
        <v>2241</v>
      </c>
      <c r="H46" s="1362" t="s">
        <v>2230</v>
      </c>
      <c r="I46" s="1231" t="s">
        <v>2240</v>
      </c>
      <c r="J46" s="1362" t="s">
        <v>1681</v>
      </c>
      <c r="K46" s="1362" t="s">
        <v>1682</v>
      </c>
      <c r="L46" s="1342" t="s">
        <v>2239</v>
      </c>
      <c r="M46" s="1339" t="s">
        <v>1493</v>
      </c>
      <c r="N46" s="1155" t="s">
        <v>1435</v>
      </c>
      <c r="O46" s="1155" t="s">
        <v>1436</v>
      </c>
      <c r="P46" s="2852" t="s">
        <v>1437</v>
      </c>
      <c r="Q46" s="2852"/>
      <c r="R46" s="1626"/>
      <c r="S46" s="1626"/>
    </row>
    <row r="47" spans="1:21" s="1526" customFormat="1">
      <c r="A47" s="1564"/>
      <c r="B47" s="1377"/>
      <c r="C47" s="1376"/>
      <c r="D47" s="1376"/>
      <c r="E47" s="1376"/>
      <c r="F47" s="1377"/>
      <c r="G47" s="1376"/>
      <c r="H47" s="1376"/>
      <c r="I47" s="1377"/>
      <c r="J47" s="1355" t="e">
        <f t="shared" ref="J47:J61" si="0">VLOOKUP(H47,$B$33:$K$42,3,FALSE)</f>
        <v>#N/A</v>
      </c>
      <c r="K47" s="1376"/>
      <c r="L47" s="1355" t="e">
        <f t="shared" ref="L47:L61" si="1">G47*J47*K47</f>
        <v>#N/A</v>
      </c>
      <c r="M47" s="1376"/>
      <c r="N47" s="1376"/>
      <c r="O47" s="1390"/>
      <c r="P47" s="2854"/>
      <c r="Q47" s="2855"/>
      <c r="R47" s="1626"/>
      <c r="S47" s="1626"/>
    </row>
    <row r="48" spans="1:21" s="1526" customFormat="1" ht="12.75" customHeight="1">
      <c r="A48" s="1564"/>
      <c r="B48" s="1377"/>
      <c r="C48" s="1376"/>
      <c r="D48" s="1376"/>
      <c r="E48" s="1376"/>
      <c r="F48" s="1377"/>
      <c r="G48" s="1376"/>
      <c r="H48" s="1376"/>
      <c r="I48" s="1377"/>
      <c r="J48" s="1355" t="e">
        <f t="shared" si="0"/>
        <v>#N/A</v>
      </c>
      <c r="K48" s="1376"/>
      <c r="L48" s="1355" t="e">
        <f t="shared" si="1"/>
        <v>#N/A</v>
      </c>
      <c r="M48" s="1376"/>
      <c r="N48" s="1376"/>
      <c r="O48" s="1390"/>
      <c r="P48" s="2854"/>
      <c r="Q48" s="2855"/>
      <c r="R48" s="1626"/>
      <c r="S48" s="1626"/>
    </row>
    <row r="49" spans="1:19" s="1526" customFormat="1" ht="12.75" customHeight="1">
      <c r="A49" s="1564"/>
      <c r="B49" s="1377"/>
      <c r="C49" s="1376"/>
      <c r="D49" s="1376"/>
      <c r="E49" s="1376"/>
      <c r="F49" s="1377"/>
      <c r="G49" s="1376"/>
      <c r="H49" s="1376"/>
      <c r="I49" s="1377"/>
      <c r="J49" s="1355" t="e">
        <f t="shared" si="0"/>
        <v>#N/A</v>
      </c>
      <c r="K49" s="1376"/>
      <c r="L49" s="1355" t="e">
        <f t="shared" si="1"/>
        <v>#N/A</v>
      </c>
      <c r="M49" s="1376"/>
      <c r="N49" s="1376"/>
      <c r="O49" s="1390"/>
      <c r="P49" s="2854"/>
      <c r="Q49" s="2855"/>
      <c r="R49" s="1626"/>
      <c r="S49" s="1626"/>
    </row>
    <row r="50" spans="1:19" s="1526" customFormat="1" ht="12.75" customHeight="1">
      <c r="A50" s="1564"/>
      <c r="B50" s="1377"/>
      <c r="C50" s="1376"/>
      <c r="D50" s="1376"/>
      <c r="E50" s="1376"/>
      <c r="F50" s="1377"/>
      <c r="G50" s="1376"/>
      <c r="H50" s="1376"/>
      <c r="I50" s="1377"/>
      <c r="J50" s="1355" t="e">
        <f t="shared" si="0"/>
        <v>#N/A</v>
      </c>
      <c r="K50" s="1376"/>
      <c r="L50" s="1355" t="e">
        <f t="shared" si="1"/>
        <v>#N/A</v>
      </c>
      <c r="M50" s="1376"/>
      <c r="N50" s="1376"/>
      <c r="O50" s="1390"/>
      <c r="P50" s="2854"/>
      <c r="Q50" s="2855"/>
      <c r="R50" s="1626"/>
      <c r="S50" s="1626"/>
    </row>
    <row r="51" spans="1:19" s="1526" customFormat="1" ht="12.75" customHeight="1">
      <c r="A51" s="1564"/>
      <c r="B51" s="1377"/>
      <c r="C51" s="1376"/>
      <c r="D51" s="1376"/>
      <c r="E51" s="1376"/>
      <c r="F51" s="1377"/>
      <c r="G51" s="1376"/>
      <c r="H51" s="1376"/>
      <c r="I51" s="1377"/>
      <c r="J51" s="1355" t="e">
        <f t="shared" si="0"/>
        <v>#N/A</v>
      </c>
      <c r="K51" s="1376"/>
      <c r="L51" s="1355" t="e">
        <f t="shared" si="1"/>
        <v>#N/A</v>
      </c>
      <c r="M51" s="1376"/>
      <c r="N51" s="1376"/>
      <c r="O51" s="1390"/>
      <c r="P51" s="2854"/>
      <c r="Q51" s="2855"/>
      <c r="R51" s="1626"/>
      <c r="S51" s="1626"/>
    </row>
    <row r="52" spans="1:19" s="1526" customFormat="1" ht="12.75" customHeight="1">
      <c r="A52" s="1564"/>
      <c r="B52" s="1377"/>
      <c r="C52" s="1376"/>
      <c r="D52" s="1376"/>
      <c r="E52" s="1376"/>
      <c r="F52" s="1377"/>
      <c r="G52" s="1376"/>
      <c r="H52" s="1376"/>
      <c r="I52" s="1377"/>
      <c r="J52" s="1355" t="e">
        <f t="shared" si="0"/>
        <v>#N/A</v>
      </c>
      <c r="K52" s="1376"/>
      <c r="L52" s="1355" t="e">
        <f t="shared" si="1"/>
        <v>#N/A</v>
      </c>
      <c r="M52" s="1376"/>
      <c r="N52" s="1376"/>
      <c r="O52" s="1390"/>
      <c r="P52" s="2854"/>
      <c r="Q52" s="2855"/>
      <c r="R52" s="1626"/>
      <c r="S52" s="1626"/>
    </row>
    <row r="53" spans="1:19" s="1526" customFormat="1" ht="12.75" customHeight="1">
      <c r="A53" s="1564"/>
      <c r="B53" s="1377"/>
      <c r="C53" s="1376"/>
      <c r="D53" s="1376"/>
      <c r="E53" s="1376"/>
      <c r="F53" s="1377"/>
      <c r="G53" s="1376"/>
      <c r="H53" s="1376"/>
      <c r="I53" s="1377"/>
      <c r="J53" s="1355" t="e">
        <f t="shared" si="0"/>
        <v>#N/A</v>
      </c>
      <c r="K53" s="1376"/>
      <c r="L53" s="1355" t="e">
        <f t="shared" si="1"/>
        <v>#N/A</v>
      </c>
      <c r="M53" s="1376"/>
      <c r="N53" s="1376"/>
      <c r="O53" s="1390"/>
      <c r="P53" s="2854"/>
      <c r="Q53" s="2855"/>
      <c r="R53" s="1626"/>
      <c r="S53" s="1626"/>
    </row>
    <row r="54" spans="1:19" s="1526" customFormat="1" ht="12.75" customHeight="1">
      <c r="A54" s="1564"/>
      <c r="B54" s="1377"/>
      <c r="C54" s="1376"/>
      <c r="D54" s="1376"/>
      <c r="E54" s="1376"/>
      <c r="F54" s="1377"/>
      <c r="G54" s="1376"/>
      <c r="H54" s="1376"/>
      <c r="I54" s="1377"/>
      <c r="J54" s="1355" t="e">
        <f t="shared" si="0"/>
        <v>#N/A</v>
      </c>
      <c r="K54" s="1376"/>
      <c r="L54" s="1355" t="e">
        <f t="shared" si="1"/>
        <v>#N/A</v>
      </c>
      <c r="M54" s="1376"/>
      <c r="N54" s="1376"/>
      <c r="O54" s="1390"/>
      <c r="P54" s="2854"/>
      <c r="Q54" s="2855"/>
      <c r="R54" s="1626"/>
      <c r="S54" s="1626"/>
    </row>
    <row r="55" spans="1:19" s="1526" customFormat="1" ht="12.75" customHeight="1">
      <c r="A55" s="1564"/>
      <c r="B55" s="1377"/>
      <c r="C55" s="1376"/>
      <c r="D55" s="1376"/>
      <c r="E55" s="1376"/>
      <c r="F55" s="1377"/>
      <c r="G55" s="1376"/>
      <c r="H55" s="1376"/>
      <c r="I55" s="1377"/>
      <c r="J55" s="1355" t="e">
        <f t="shared" si="0"/>
        <v>#N/A</v>
      </c>
      <c r="K55" s="1376"/>
      <c r="L55" s="1355" t="e">
        <f t="shared" si="1"/>
        <v>#N/A</v>
      </c>
      <c r="M55" s="1376"/>
      <c r="N55" s="1376"/>
      <c r="O55" s="1390"/>
      <c r="P55" s="2854"/>
      <c r="Q55" s="2855"/>
      <c r="R55" s="1626"/>
      <c r="S55" s="1626"/>
    </row>
    <row r="56" spans="1:19" s="1526" customFormat="1" ht="12.75" customHeight="1">
      <c r="A56" s="1564"/>
      <c r="B56" s="1377"/>
      <c r="C56" s="1376"/>
      <c r="D56" s="1376"/>
      <c r="E56" s="1376"/>
      <c r="F56" s="1377"/>
      <c r="G56" s="1376"/>
      <c r="H56" s="1376"/>
      <c r="I56" s="1377"/>
      <c r="J56" s="1355" t="e">
        <f t="shared" si="0"/>
        <v>#N/A</v>
      </c>
      <c r="K56" s="1376"/>
      <c r="L56" s="1355" t="e">
        <f t="shared" si="1"/>
        <v>#N/A</v>
      </c>
      <c r="M56" s="1376"/>
      <c r="N56" s="1376"/>
      <c r="O56" s="1390"/>
      <c r="P56" s="2854"/>
      <c r="Q56" s="2855"/>
      <c r="R56" s="1626"/>
      <c r="S56" s="1626"/>
    </row>
    <row r="57" spans="1:19" s="1526" customFormat="1" ht="12.75" customHeight="1">
      <c r="A57" s="1564"/>
      <c r="B57" s="1377"/>
      <c r="C57" s="1376"/>
      <c r="D57" s="1376"/>
      <c r="E57" s="1376"/>
      <c r="F57" s="1377"/>
      <c r="G57" s="1376"/>
      <c r="H57" s="1376"/>
      <c r="I57" s="1377"/>
      <c r="J57" s="1355" t="e">
        <f t="shared" si="0"/>
        <v>#N/A</v>
      </c>
      <c r="K57" s="1376"/>
      <c r="L57" s="1355" t="e">
        <f t="shared" si="1"/>
        <v>#N/A</v>
      </c>
      <c r="M57" s="1376"/>
      <c r="N57" s="1376"/>
      <c r="O57" s="1390"/>
      <c r="P57" s="2854"/>
      <c r="Q57" s="2855"/>
      <c r="R57" s="1626"/>
      <c r="S57" s="1626"/>
    </row>
    <row r="58" spans="1:19" s="1526" customFormat="1" ht="12.75" customHeight="1">
      <c r="A58" s="1564"/>
      <c r="B58" s="1377"/>
      <c r="C58" s="1376"/>
      <c r="D58" s="1376"/>
      <c r="E58" s="1376"/>
      <c r="F58" s="1377"/>
      <c r="G58" s="1376"/>
      <c r="H58" s="1376"/>
      <c r="I58" s="1377"/>
      <c r="J58" s="1355" t="e">
        <f t="shared" si="0"/>
        <v>#N/A</v>
      </c>
      <c r="K58" s="1376"/>
      <c r="L58" s="1355" t="e">
        <f t="shared" si="1"/>
        <v>#N/A</v>
      </c>
      <c r="M58" s="1376"/>
      <c r="N58" s="1376"/>
      <c r="O58" s="1390"/>
      <c r="P58" s="2854"/>
      <c r="Q58" s="2855"/>
      <c r="R58" s="1626"/>
      <c r="S58" s="1626"/>
    </row>
    <row r="59" spans="1:19" s="1526" customFormat="1" ht="12.75" customHeight="1">
      <c r="A59" s="1564"/>
      <c r="B59" s="1377"/>
      <c r="C59" s="1376"/>
      <c r="D59" s="1376"/>
      <c r="E59" s="1376"/>
      <c r="F59" s="1377"/>
      <c r="G59" s="1376"/>
      <c r="H59" s="1376"/>
      <c r="I59" s="1377"/>
      <c r="J59" s="1355" t="e">
        <f t="shared" si="0"/>
        <v>#N/A</v>
      </c>
      <c r="K59" s="1376"/>
      <c r="L59" s="1355" t="e">
        <f t="shared" si="1"/>
        <v>#N/A</v>
      </c>
      <c r="M59" s="1376"/>
      <c r="N59" s="1376"/>
      <c r="O59" s="1390"/>
      <c r="P59" s="2854"/>
      <c r="Q59" s="2855"/>
      <c r="R59" s="1626"/>
      <c r="S59" s="1626"/>
    </row>
    <row r="60" spans="1:19" s="1526" customFormat="1" ht="12.75" customHeight="1">
      <c r="A60" s="1564"/>
      <c r="B60" s="1377"/>
      <c r="C60" s="1376"/>
      <c r="D60" s="1376"/>
      <c r="E60" s="1376"/>
      <c r="F60" s="1377"/>
      <c r="G60" s="1376"/>
      <c r="H60" s="1376"/>
      <c r="I60" s="1377"/>
      <c r="J60" s="1355" t="e">
        <f t="shared" si="0"/>
        <v>#N/A</v>
      </c>
      <c r="K60" s="1376"/>
      <c r="L60" s="1355" t="e">
        <f t="shared" si="1"/>
        <v>#N/A</v>
      </c>
      <c r="M60" s="1376"/>
      <c r="N60" s="1376"/>
      <c r="O60" s="1390"/>
      <c r="P60" s="2854"/>
      <c r="Q60" s="2855"/>
      <c r="R60" s="1626"/>
      <c r="S60" s="1626"/>
    </row>
    <row r="61" spans="1:19" s="1526" customFormat="1" ht="12.75" customHeight="1">
      <c r="A61" s="1564"/>
      <c r="B61" s="1377"/>
      <c r="C61" s="1376"/>
      <c r="D61" s="1376"/>
      <c r="E61" s="1376"/>
      <c r="F61" s="1377"/>
      <c r="G61" s="1376"/>
      <c r="H61" s="1376"/>
      <c r="I61" s="1377"/>
      <c r="J61" s="1355" t="e">
        <f t="shared" si="0"/>
        <v>#N/A</v>
      </c>
      <c r="K61" s="1376"/>
      <c r="L61" s="1355" t="e">
        <f t="shared" si="1"/>
        <v>#N/A</v>
      </c>
      <c r="M61" s="1376"/>
      <c r="N61" s="1376"/>
      <c r="O61" s="1390"/>
      <c r="P61" s="2854"/>
      <c r="Q61" s="2855"/>
      <c r="R61" s="1626"/>
      <c r="S61" s="1626"/>
    </row>
    <row r="62" spans="1:19" ht="38.25" customHeight="1">
      <c r="A62" s="1528"/>
      <c r="B62" s="1692" t="s">
        <v>2238</v>
      </c>
      <c r="C62" s="1648"/>
      <c r="D62" s="1696"/>
      <c r="E62" s="1696"/>
      <c r="F62" s="1684"/>
      <c r="G62" s="1684"/>
      <c r="H62" s="1684"/>
      <c r="I62" s="1684"/>
      <c r="J62" s="1684"/>
      <c r="K62" s="1685"/>
      <c r="L62" s="1628"/>
      <c r="M62" s="1628"/>
      <c r="N62" s="2856"/>
      <c r="O62" s="2857"/>
      <c r="P62" s="2857"/>
      <c r="Q62" s="2857"/>
      <c r="R62" s="1552"/>
      <c r="S62" s="1695"/>
    </row>
    <row r="63" spans="1:19" ht="38.25" customHeight="1">
      <c r="A63" s="1528"/>
      <c r="B63" s="2858" t="s">
        <v>2237</v>
      </c>
      <c r="C63" s="2858"/>
      <c r="D63" s="2858"/>
      <c r="E63" s="2858"/>
      <c r="F63" s="2858"/>
      <c r="G63" s="2858"/>
      <c r="H63" s="2858"/>
      <c r="I63" s="2858"/>
      <c r="J63" s="2858"/>
      <c r="K63" s="2858"/>
      <c r="L63" s="2858"/>
      <c r="M63" s="2858"/>
      <c r="N63" s="2858"/>
      <c r="O63" s="2858"/>
      <c r="P63" s="2858"/>
      <c r="Q63" s="2858"/>
      <c r="R63" s="1552"/>
      <c r="S63" s="1695"/>
    </row>
    <row r="64" spans="1:19" s="1526" customFormat="1" ht="73.5" customHeight="1">
      <c r="A64" s="1691"/>
      <c r="B64" s="2860" t="s">
        <v>2236</v>
      </c>
      <c r="C64" s="2860"/>
      <c r="D64" s="1156"/>
      <c r="E64" s="1342" t="s">
        <v>2235</v>
      </c>
      <c r="F64" s="1342" t="s">
        <v>2234</v>
      </c>
      <c r="G64" s="1362" t="s">
        <v>2233</v>
      </c>
      <c r="H64" s="2852" t="s">
        <v>2230</v>
      </c>
      <c r="I64" s="2852"/>
      <c r="J64" s="1694" t="s">
        <v>1681</v>
      </c>
      <c r="K64" s="2852" t="s">
        <v>1683</v>
      </c>
      <c r="L64" s="2852"/>
      <c r="M64" s="1339" t="s">
        <v>1493</v>
      </c>
      <c r="N64" s="1155" t="s">
        <v>1435</v>
      </c>
      <c r="O64" s="1155" t="s">
        <v>1436</v>
      </c>
      <c r="P64" s="2852" t="s">
        <v>1437</v>
      </c>
      <c r="Q64" s="2852"/>
      <c r="R64" s="1626"/>
      <c r="S64" s="1626"/>
    </row>
    <row r="65" spans="1:19" s="1526" customFormat="1" ht="12.75" customHeight="1">
      <c r="A65" s="1564"/>
      <c r="B65" s="2846"/>
      <c r="C65" s="2846"/>
      <c r="D65" s="2846"/>
      <c r="E65" s="1376"/>
      <c r="F65" s="1693"/>
      <c r="G65" s="1377"/>
      <c r="H65" s="2847"/>
      <c r="I65" s="2848"/>
      <c r="J65" s="1355" t="e">
        <f t="shared" ref="J65:J70" si="2">VLOOKUP(H65,$B$33:$K$42,3,FALSE)</f>
        <v>#N/A</v>
      </c>
      <c r="K65" s="2700" t="e">
        <f t="shared" ref="K65:K70" si="3">G65*J65</f>
        <v>#N/A</v>
      </c>
      <c r="L65" s="2701"/>
      <c r="M65" s="1376"/>
      <c r="N65" s="1376"/>
      <c r="O65" s="1390"/>
      <c r="P65" s="2854"/>
      <c r="Q65" s="2855"/>
      <c r="R65" s="1626"/>
      <c r="S65" s="1626"/>
    </row>
    <row r="66" spans="1:19" s="1526" customFormat="1" ht="12.75" customHeight="1">
      <c r="A66" s="1564"/>
      <c r="B66" s="2846"/>
      <c r="C66" s="2846"/>
      <c r="D66" s="2846"/>
      <c r="E66" s="1376"/>
      <c r="F66" s="1693"/>
      <c r="G66" s="1377"/>
      <c r="H66" s="2847"/>
      <c r="I66" s="2848"/>
      <c r="J66" s="1355" t="e">
        <f t="shared" si="2"/>
        <v>#N/A</v>
      </c>
      <c r="K66" s="2700" t="e">
        <f t="shared" si="3"/>
        <v>#N/A</v>
      </c>
      <c r="L66" s="2701"/>
      <c r="M66" s="1376"/>
      <c r="N66" s="1376"/>
      <c r="O66" s="1390"/>
      <c r="P66" s="2854"/>
      <c r="Q66" s="2855"/>
      <c r="R66" s="1626"/>
      <c r="S66" s="1626"/>
    </row>
    <row r="67" spans="1:19" s="1526" customFormat="1" ht="12.75" customHeight="1">
      <c r="A67" s="1564"/>
      <c r="B67" s="2846"/>
      <c r="C67" s="2846"/>
      <c r="D67" s="2846"/>
      <c r="E67" s="1376"/>
      <c r="F67" s="1693"/>
      <c r="G67" s="1377"/>
      <c r="H67" s="2847"/>
      <c r="I67" s="2848"/>
      <c r="J67" s="1355" t="e">
        <f t="shared" si="2"/>
        <v>#N/A</v>
      </c>
      <c r="K67" s="2700" t="e">
        <f t="shared" si="3"/>
        <v>#N/A</v>
      </c>
      <c r="L67" s="2701"/>
      <c r="M67" s="1376"/>
      <c r="N67" s="1376"/>
      <c r="O67" s="1390"/>
      <c r="P67" s="2854"/>
      <c r="Q67" s="2855"/>
      <c r="R67" s="1626"/>
      <c r="S67" s="1626"/>
    </row>
    <row r="68" spans="1:19" s="1526" customFormat="1" ht="12.75" customHeight="1">
      <c r="A68" s="1564"/>
      <c r="B68" s="2846"/>
      <c r="C68" s="2846"/>
      <c r="D68" s="2846"/>
      <c r="E68" s="1376"/>
      <c r="F68" s="1693"/>
      <c r="G68" s="1377"/>
      <c r="H68" s="2847"/>
      <c r="I68" s="2848"/>
      <c r="J68" s="1355" t="e">
        <f t="shared" si="2"/>
        <v>#N/A</v>
      </c>
      <c r="K68" s="2700" t="e">
        <f t="shared" si="3"/>
        <v>#N/A</v>
      </c>
      <c r="L68" s="2701"/>
      <c r="M68" s="1376"/>
      <c r="N68" s="1376"/>
      <c r="O68" s="1390"/>
      <c r="P68" s="2854"/>
      <c r="Q68" s="2855"/>
      <c r="R68" s="1626"/>
      <c r="S68" s="1626"/>
    </row>
    <row r="69" spans="1:19" s="1526" customFormat="1" ht="12.75" customHeight="1">
      <c r="A69" s="1564"/>
      <c r="B69" s="2846"/>
      <c r="C69" s="2846"/>
      <c r="D69" s="2846"/>
      <c r="E69" s="1376"/>
      <c r="F69" s="1693"/>
      <c r="G69" s="1377"/>
      <c r="H69" s="2847"/>
      <c r="I69" s="2848"/>
      <c r="J69" s="1355" t="e">
        <f t="shared" si="2"/>
        <v>#N/A</v>
      </c>
      <c r="K69" s="2700" t="e">
        <f t="shared" si="3"/>
        <v>#N/A</v>
      </c>
      <c r="L69" s="2701"/>
      <c r="M69" s="1376"/>
      <c r="N69" s="1376"/>
      <c r="O69" s="1390"/>
      <c r="P69" s="2854"/>
      <c r="Q69" s="2855"/>
      <c r="R69" s="1626"/>
      <c r="S69" s="1626"/>
    </row>
    <row r="70" spans="1:19" s="1526" customFormat="1" ht="12.75" customHeight="1">
      <c r="A70" s="1564"/>
      <c r="B70" s="2846"/>
      <c r="C70" s="2846"/>
      <c r="D70" s="2846"/>
      <c r="E70" s="1376"/>
      <c r="F70" s="1693"/>
      <c r="G70" s="1377"/>
      <c r="H70" s="2847"/>
      <c r="I70" s="2848"/>
      <c r="J70" s="1355" t="e">
        <f t="shared" si="2"/>
        <v>#N/A</v>
      </c>
      <c r="K70" s="2700" t="e">
        <f t="shared" si="3"/>
        <v>#N/A</v>
      </c>
      <c r="L70" s="2701"/>
      <c r="M70" s="1376"/>
      <c r="N70" s="1376"/>
      <c r="O70" s="1390"/>
      <c r="P70" s="2854"/>
      <c r="Q70" s="2855"/>
      <c r="R70" s="1626"/>
      <c r="S70" s="1626"/>
    </row>
    <row r="71" spans="1:19" s="1662" customFormat="1" ht="12.75" customHeight="1">
      <c r="B71" s="1324"/>
      <c r="C71" s="1324"/>
      <c r="D71" s="1324"/>
      <c r="E71" s="1324"/>
      <c r="F71" s="1324"/>
      <c r="G71" s="1324"/>
      <c r="H71" s="1324"/>
      <c r="I71" s="1324"/>
      <c r="J71" s="1324"/>
      <c r="K71" s="1324"/>
      <c r="L71" s="1324"/>
      <c r="M71" s="1324"/>
      <c r="N71" s="1324"/>
      <c r="O71" s="1324"/>
      <c r="P71" s="1324"/>
      <c r="Q71" s="1324"/>
    </row>
    <row r="72" spans="1:19" ht="38.25" customHeight="1">
      <c r="A72" s="1528"/>
      <c r="B72" s="1692" t="s">
        <v>1684</v>
      </c>
      <c r="C72" s="790"/>
      <c r="S72" s="1552"/>
    </row>
    <row r="73" spans="1:19" s="1526" customFormat="1" ht="38.25" customHeight="1">
      <c r="A73" s="1691"/>
      <c r="B73" s="2858" t="s">
        <v>2232</v>
      </c>
      <c r="C73" s="2858"/>
      <c r="D73" s="2858"/>
      <c r="E73" s="2858"/>
      <c r="F73" s="2858"/>
      <c r="G73" s="2858"/>
      <c r="H73" s="2858"/>
      <c r="I73" s="2858"/>
      <c r="J73" s="2858"/>
      <c r="K73" s="2858"/>
      <c r="L73" s="2858"/>
      <c r="M73" s="2858"/>
      <c r="N73" s="2858"/>
      <c r="O73" s="2858"/>
      <c r="P73" s="2858"/>
      <c r="Q73" s="2858"/>
      <c r="R73" s="1626"/>
      <c r="S73" s="1626"/>
    </row>
    <row r="74" spans="1:19" s="1526" customFormat="1" ht="102" customHeight="1">
      <c r="A74" s="1691"/>
      <c r="B74" s="1342" t="s">
        <v>1676</v>
      </c>
      <c r="C74" s="1362" t="s">
        <v>1678</v>
      </c>
      <c r="D74" s="1362" t="s">
        <v>2231</v>
      </c>
      <c r="E74" s="1362" t="s">
        <v>1680</v>
      </c>
      <c r="F74" s="1362" t="s">
        <v>2230</v>
      </c>
      <c r="G74" s="1362" t="s">
        <v>2229</v>
      </c>
      <c r="H74" s="1165" t="s">
        <v>2228</v>
      </c>
      <c r="I74" s="1362" t="s">
        <v>2227</v>
      </c>
      <c r="J74" s="1163" t="s">
        <v>2226</v>
      </c>
      <c r="K74" s="1342" t="s">
        <v>1683</v>
      </c>
      <c r="L74" s="1163" t="s">
        <v>2225</v>
      </c>
      <c r="M74" s="1339" t="s">
        <v>1493</v>
      </c>
      <c r="N74" s="1155" t="s">
        <v>1435</v>
      </c>
      <c r="O74" s="1155" t="s">
        <v>1436</v>
      </c>
      <c r="P74" s="2852" t="s">
        <v>1437</v>
      </c>
      <c r="Q74" s="2852"/>
      <c r="R74" s="1626"/>
      <c r="S74" s="1626"/>
    </row>
    <row r="75" spans="1:19" s="1526" customFormat="1">
      <c r="A75" s="1564"/>
      <c r="B75" s="938"/>
      <c r="C75" s="1381"/>
      <c r="D75" s="1376"/>
      <c r="E75" s="1377"/>
      <c r="F75" s="1376"/>
      <c r="G75" s="1355" t="e">
        <f t="shared" ref="G75:G89" si="4">VLOOKUP(F75,$B$33:$K$42,3,FALSE)</f>
        <v>#N/A</v>
      </c>
      <c r="H75" s="1377"/>
      <c r="I75" s="1377"/>
      <c r="J75" s="1355">
        <f t="shared" ref="J75:J89" si="5">D75*I75</f>
        <v>0</v>
      </c>
      <c r="K75" s="1355"/>
      <c r="L75" s="1689" t="str">
        <f t="shared" ref="L75:L89" si="6">IF(H75&gt;0, E75*H75/D75, "0.0")</f>
        <v>0.0</v>
      </c>
      <c r="M75" s="1376"/>
      <c r="N75" s="1376"/>
      <c r="O75" s="1390"/>
      <c r="P75" s="2854"/>
      <c r="Q75" s="2855"/>
      <c r="R75" s="1626"/>
      <c r="S75" s="1626"/>
    </row>
    <row r="76" spans="1:19" s="1526" customFormat="1" ht="12.75" customHeight="1">
      <c r="A76" s="1564"/>
      <c r="B76" s="1377"/>
      <c r="C76" s="1381"/>
      <c r="D76" s="1376"/>
      <c r="E76" s="1377"/>
      <c r="F76" s="1376"/>
      <c r="G76" s="1355" t="e">
        <f t="shared" si="4"/>
        <v>#N/A</v>
      </c>
      <c r="H76" s="1377"/>
      <c r="I76" s="1377"/>
      <c r="J76" s="1355">
        <f t="shared" si="5"/>
        <v>0</v>
      </c>
      <c r="K76" s="1355" t="e">
        <f t="shared" ref="K76:K89" si="7">E76*I76*G76</f>
        <v>#N/A</v>
      </c>
      <c r="L76" s="1689" t="str">
        <f t="shared" si="6"/>
        <v>0.0</v>
      </c>
      <c r="M76" s="1376"/>
      <c r="N76" s="1376"/>
      <c r="O76" s="1390"/>
      <c r="P76" s="2854"/>
      <c r="Q76" s="2855"/>
      <c r="R76" s="1626"/>
      <c r="S76" s="1626"/>
    </row>
    <row r="77" spans="1:19" s="1526" customFormat="1" ht="12.75" customHeight="1">
      <c r="A77" s="1564"/>
      <c r="B77" s="1377"/>
      <c r="C77" s="1381"/>
      <c r="D77" s="1376"/>
      <c r="E77" s="1377"/>
      <c r="F77" s="1376"/>
      <c r="G77" s="1355" t="e">
        <f t="shared" si="4"/>
        <v>#N/A</v>
      </c>
      <c r="H77" s="1377"/>
      <c r="I77" s="1377"/>
      <c r="J77" s="1355">
        <f t="shared" si="5"/>
        <v>0</v>
      </c>
      <c r="K77" s="1355" t="e">
        <f t="shared" si="7"/>
        <v>#N/A</v>
      </c>
      <c r="L77" s="1689" t="str">
        <f t="shared" si="6"/>
        <v>0.0</v>
      </c>
      <c r="M77" s="1376"/>
      <c r="N77" s="1376"/>
      <c r="O77" s="1390"/>
      <c r="P77" s="2854"/>
      <c r="Q77" s="2855"/>
      <c r="R77" s="1626"/>
      <c r="S77" s="1626"/>
    </row>
    <row r="78" spans="1:19" s="1526" customFormat="1" ht="12.75" customHeight="1">
      <c r="A78" s="1564"/>
      <c r="B78" s="1377"/>
      <c r="C78" s="1381"/>
      <c r="D78" s="1376"/>
      <c r="E78" s="1377"/>
      <c r="F78" s="1376"/>
      <c r="G78" s="1355" t="e">
        <f t="shared" si="4"/>
        <v>#N/A</v>
      </c>
      <c r="H78" s="1377"/>
      <c r="I78" s="1377"/>
      <c r="J78" s="1355">
        <f t="shared" si="5"/>
        <v>0</v>
      </c>
      <c r="K78" s="1355" t="e">
        <f t="shared" si="7"/>
        <v>#N/A</v>
      </c>
      <c r="L78" s="1689" t="str">
        <f t="shared" si="6"/>
        <v>0.0</v>
      </c>
      <c r="M78" s="1376"/>
      <c r="N78" s="1376"/>
      <c r="O78" s="1390"/>
      <c r="P78" s="2854"/>
      <c r="Q78" s="2855"/>
      <c r="R78" s="1626"/>
      <c r="S78" s="1626"/>
    </row>
    <row r="79" spans="1:19" s="1526" customFormat="1" ht="12.75" customHeight="1">
      <c r="A79" s="1564"/>
      <c r="B79" s="1377"/>
      <c r="C79" s="1381"/>
      <c r="D79" s="1376"/>
      <c r="E79" s="1377"/>
      <c r="F79" s="1376"/>
      <c r="G79" s="1355" t="e">
        <f t="shared" si="4"/>
        <v>#N/A</v>
      </c>
      <c r="H79" s="1377"/>
      <c r="I79" s="1377"/>
      <c r="J79" s="1355">
        <f t="shared" si="5"/>
        <v>0</v>
      </c>
      <c r="K79" s="1355" t="e">
        <f t="shared" si="7"/>
        <v>#N/A</v>
      </c>
      <c r="L79" s="1689" t="str">
        <f t="shared" si="6"/>
        <v>0.0</v>
      </c>
      <c r="M79" s="1376"/>
      <c r="N79" s="1376"/>
      <c r="O79" s="1390"/>
      <c r="P79" s="2854"/>
      <c r="Q79" s="2855"/>
      <c r="R79" s="1626"/>
      <c r="S79" s="1626"/>
    </row>
    <row r="80" spans="1:19" s="1526" customFormat="1" ht="12.75" customHeight="1">
      <c r="A80" s="1564"/>
      <c r="B80" s="1377"/>
      <c r="C80" s="1381"/>
      <c r="D80" s="1376"/>
      <c r="E80" s="1377"/>
      <c r="F80" s="1376"/>
      <c r="G80" s="1355" t="e">
        <f t="shared" si="4"/>
        <v>#N/A</v>
      </c>
      <c r="H80" s="1377"/>
      <c r="I80" s="1377"/>
      <c r="J80" s="1355">
        <f t="shared" si="5"/>
        <v>0</v>
      </c>
      <c r="K80" s="1355" t="e">
        <f t="shared" si="7"/>
        <v>#N/A</v>
      </c>
      <c r="L80" s="1689" t="str">
        <f t="shared" si="6"/>
        <v>0.0</v>
      </c>
      <c r="M80" s="1376"/>
      <c r="N80" s="1376"/>
      <c r="O80" s="1390"/>
      <c r="P80" s="2854"/>
      <c r="Q80" s="2855"/>
      <c r="R80" s="1626"/>
      <c r="S80" s="1626"/>
    </row>
    <row r="81" spans="1:19" s="1526" customFormat="1" ht="12.75" customHeight="1">
      <c r="A81" s="1564"/>
      <c r="B81" s="1377"/>
      <c r="C81" s="1381"/>
      <c r="D81" s="1376"/>
      <c r="E81" s="1377"/>
      <c r="F81" s="1376"/>
      <c r="G81" s="1355" t="e">
        <f t="shared" si="4"/>
        <v>#N/A</v>
      </c>
      <c r="H81" s="1377"/>
      <c r="I81" s="1377"/>
      <c r="J81" s="1355">
        <f t="shared" si="5"/>
        <v>0</v>
      </c>
      <c r="K81" s="1355" t="e">
        <f t="shared" si="7"/>
        <v>#N/A</v>
      </c>
      <c r="L81" s="1689" t="str">
        <f t="shared" si="6"/>
        <v>0.0</v>
      </c>
      <c r="M81" s="1376"/>
      <c r="N81" s="1376"/>
      <c r="O81" s="1390"/>
      <c r="P81" s="2854"/>
      <c r="Q81" s="2855"/>
      <c r="R81" s="1626"/>
      <c r="S81" s="1626"/>
    </row>
    <row r="82" spans="1:19" s="1526" customFormat="1">
      <c r="A82" s="1564"/>
      <c r="B82" s="1377"/>
      <c r="C82" s="1381"/>
      <c r="D82" s="1377"/>
      <c r="E82" s="1377"/>
      <c r="F82" s="1376"/>
      <c r="G82" s="1355" t="e">
        <f t="shared" si="4"/>
        <v>#N/A</v>
      </c>
      <c r="H82" s="1377"/>
      <c r="I82" s="1377"/>
      <c r="J82" s="1355">
        <f t="shared" si="5"/>
        <v>0</v>
      </c>
      <c r="K82" s="1355" t="e">
        <f t="shared" si="7"/>
        <v>#N/A</v>
      </c>
      <c r="L82" s="1689" t="str">
        <f t="shared" si="6"/>
        <v>0.0</v>
      </c>
      <c r="M82" s="1377"/>
      <c r="N82" s="1376"/>
      <c r="O82" s="1390"/>
      <c r="P82" s="1378"/>
      <c r="Q82" s="1690"/>
      <c r="R82" s="1626"/>
      <c r="S82" s="1626"/>
    </row>
    <row r="83" spans="1:19" s="1526" customFormat="1">
      <c r="A83" s="1564"/>
      <c r="B83" s="938"/>
      <c r="C83" s="1381"/>
      <c r="D83" s="1377"/>
      <c r="E83" s="1377"/>
      <c r="F83" s="1376"/>
      <c r="G83" s="1355" t="e">
        <f t="shared" si="4"/>
        <v>#N/A</v>
      </c>
      <c r="H83" s="1377"/>
      <c r="I83" s="1377"/>
      <c r="J83" s="1355">
        <f t="shared" si="5"/>
        <v>0</v>
      </c>
      <c r="K83" s="1355" t="e">
        <f t="shared" si="7"/>
        <v>#N/A</v>
      </c>
      <c r="L83" s="1689" t="str">
        <f t="shared" si="6"/>
        <v>0.0</v>
      </c>
      <c r="M83" s="1377"/>
      <c r="N83" s="1376"/>
      <c r="O83" s="1390"/>
      <c r="P83" s="1378"/>
      <c r="Q83" s="1690"/>
      <c r="R83" s="1626"/>
      <c r="S83" s="1626"/>
    </row>
    <row r="84" spans="1:19" s="1526" customFormat="1" ht="12.75" customHeight="1">
      <c r="A84" s="1564"/>
      <c r="B84" s="1377"/>
      <c r="C84" s="1381"/>
      <c r="D84" s="1376"/>
      <c r="E84" s="1377"/>
      <c r="F84" s="1376"/>
      <c r="G84" s="1355" t="e">
        <f t="shared" si="4"/>
        <v>#N/A</v>
      </c>
      <c r="H84" s="1377"/>
      <c r="I84" s="1377"/>
      <c r="J84" s="1355">
        <f t="shared" si="5"/>
        <v>0</v>
      </c>
      <c r="K84" s="1355" t="e">
        <f t="shared" si="7"/>
        <v>#N/A</v>
      </c>
      <c r="L84" s="1689" t="str">
        <f t="shared" si="6"/>
        <v>0.0</v>
      </c>
      <c r="M84" s="1376"/>
      <c r="N84" s="1376"/>
      <c r="O84" s="1390"/>
      <c r="P84" s="2854"/>
      <c r="Q84" s="2855"/>
      <c r="R84" s="1626"/>
      <c r="S84" s="1626"/>
    </row>
    <row r="85" spans="1:19" s="1526" customFormat="1" ht="12.75" customHeight="1">
      <c r="A85" s="1564"/>
      <c r="B85" s="1377"/>
      <c r="C85" s="1381"/>
      <c r="D85" s="1376"/>
      <c r="E85" s="1377"/>
      <c r="F85" s="1376"/>
      <c r="G85" s="1355" t="e">
        <f t="shared" si="4"/>
        <v>#N/A</v>
      </c>
      <c r="H85" s="1377"/>
      <c r="I85" s="1377"/>
      <c r="J85" s="1355">
        <f t="shared" si="5"/>
        <v>0</v>
      </c>
      <c r="K85" s="1355" t="e">
        <f t="shared" si="7"/>
        <v>#N/A</v>
      </c>
      <c r="L85" s="1689" t="str">
        <f t="shared" si="6"/>
        <v>0.0</v>
      </c>
      <c r="M85" s="1376"/>
      <c r="N85" s="1376"/>
      <c r="O85" s="1390"/>
      <c r="P85" s="2854"/>
      <c r="Q85" s="2855"/>
      <c r="R85" s="1626"/>
      <c r="S85" s="1626"/>
    </row>
    <row r="86" spans="1:19" s="1526" customFormat="1" ht="12.75" customHeight="1">
      <c r="A86" s="1564"/>
      <c r="B86" s="1377"/>
      <c r="C86" s="1381"/>
      <c r="D86" s="1376"/>
      <c r="E86" s="1377"/>
      <c r="F86" s="1376"/>
      <c r="G86" s="1355" t="e">
        <f t="shared" si="4"/>
        <v>#N/A</v>
      </c>
      <c r="H86" s="1377"/>
      <c r="I86" s="1377"/>
      <c r="J86" s="1355">
        <f t="shared" si="5"/>
        <v>0</v>
      </c>
      <c r="K86" s="1355" t="e">
        <f t="shared" si="7"/>
        <v>#N/A</v>
      </c>
      <c r="L86" s="1689" t="str">
        <f t="shared" si="6"/>
        <v>0.0</v>
      </c>
      <c r="M86" s="1376"/>
      <c r="N86" s="1376"/>
      <c r="O86" s="1390"/>
      <c r="P86" s="2854"/>
      <c r="Q86" s="2855"/>
      <c r="R86" s="1626"/>
      <c r="S86" s="1626"/>
    </row>
    <row r="87" spans="1:19" s="1526" customFormat="1" ht="12.75" customHeight="1">
      <c r="A87" s="1564"/>
      <c r="B87" s="1377"/>
      <c r="C87" s="1381"/>
      <c r="D87" s="1376"/>
      <c r="E87" s="1377"/>
      <c r="F87" s="1376"/>
      <c r="G87" s="1355" t="e">
        <f t="shared" si="4"/>
        <v>#N/A</v>
      </c>
      <c r="H87" s="1377"/>
      <c r="I87" s="1377"/>
      <c r="J87" s="1355">
        <f t="shared" si="5"/>
        <v>0</v>
      </c>
      <c r="K87" s="1355" t="e">
        <f t="shared" si="7"/>
        <v>#N/A</v>
      </c>
      <c r="L87" s="1689" t="str">
        <f t="shared" si="6"/>
        <v>0.0</v>
      </c>
      <c r="M87" s="1376"/>
      <c r="N87" s="1376"/>
      <c r="O87" s="1390"/>
      <c r="P87" s="2854"/>
      <c r="Q87" s="2855"/>
      <c r="R87" s="1626"/>
      <c r="S87" s="1626"/>
    </row>
    <row r="88" spans="1:19" s="1526" customFormat="1" ht="12.75" customHeight="1">
      <c r="A88" s="1564"/>
      <c r="B88" s="1377"/>
      <c r="C88" s="1381"/>
      <c r="D88" s="1376"/>
      <c r="E88" s="1377"/>
      <c r="F88" s="1376"/>
      <c r="G88" s="1355" t="e">
        <f t="shared" si="4"/>
        <v>#N/A</v>
      </c>
      <c r="H88" s="1377"/>
      <c r="I88" s="1377"/>
      <c r="J88" s="1355">
        <f t="shared" si="5"/>
        <v>0</v>
      </c>
      <c r="K88" s="1355" t="e">
        <f t="shared" si="7"/>
        <v>#N/A</v>
      </c>
      <c r="L88" s="1689" t="str">
        <f t="shared" si="6"/>
        <v>0.0</v>
      </c>
      <c r="M88" s="1376"/>
      <c r="N88" s="1376"/>
      <c r="O88" s="1390"/>
      <c r="P88" s="2854"/>
      <c r="Q88" s="2855"/>
      <c r="R88" s="1626"/>
      <c r="S88" s="1626"/>
    </row>
    <row r="89" spans="1:19" s="1526" customFormat="1" ht="12.75" customHeight="1">
      <c r="A89" s="1564"/>
      <c r="B89" s="1377"/>
      <c r="C89" s="1381"/>
      <c r="D89" s="1376"/>
      <c r="E89" s="1377"/>
      <c r="F89" s="1376"/>
      <c r="G89" s="1355" t="e">
        <f t="shared" si="4"/>
        <v>#N/A</v>
      </c>
      <c r="H89" s="1377"/>
      <c r="I89" s="1377"/>
      <c r="J89" s="1355">
        <f t="shared" si="5"/>
        <v>0</v>
      </c>
      <c r="K89" s="1355" t="e">
        <f t="shared" si="7"/>
        <v>#N/A</v>
      </c>
      <c r="L89" s="1689" t="str">
        <f t="shared" si="6"/>
        <v>0.0</v>
      </c>
      <c r="M89" s="1376"/>
      <c r="N89" s="1376"/>
      <c r="O89" s="1390"/>
      <c r="P89" s="2854"/>
      <c r="Q89" s="2855"/>
      <c r="R89" s="1626"/>
      <c r="S89" s="1626"/>
    </row>
    <row r="90" spans="1:19" ht="38.25" customHeight="1">
      <c r="A90" s="1528"/>
      <c r="B90" s="1648"/>
      <c r="C90" s="1648"/>
      <c r="D90" s="1684"/>
      <c r="E90" s="1684"/>
      <c r="F90" s="1684"/>
      <c r="G90" s="1684"/>
      <c r="H90" s="1684"/>
      <c r="I90" s="1684"/>
      <c r="J90" s="1684"/>
      <c r="K90" s="1685"/>
      <c r="L90" s="1628"/>
      <c r="M90" s="1628"/>
      <c r="N90" s="2856"/>
      <c r="O90" s="2857"/>
      <c r="P90" s="2857"/>
      <c r="Q90" s="2857"/>
      <c r="R90" s="1552"/>
      <c r="S90" s="1552"/>
    </row>
    <row r="91" spans="1:19" ht="34.5" hidden="1" customHeight="1">
      <c r="A91" s="1528"/>
      <c r="B91" s="1648"/>
      <c r="C91" s="2866" t="s">
        <v>2224</v>
      </c>
      <c r="D91" s="2867"/>
      <c r="E91" s="1687" t="s">
        <v>2223</v>
      </c>
      <c r="F91" s="1688" t="s">
        <v>4</v>
      </c>
      <c r="G91" s="1687" t="s">
        <v>2222</v>
      </c>
      <c r="H91" s="1684"/>
      <c r="I91" s="1684"/>
      <c r="J91" s="1684"/>
      <c r="K91" s="1685"/>
      <c r="L91" s="1628"/>
      <c r="M91" s="1628"/>
      <c r="N91" s="1684"/>
      <c r="O91" s="1683"/>
      <c r="P91" s="1683"/>
      <c r="Q91" s="1683"/>
      <c r="R91" s="1552"/>
      <c r="S91" s="1552"/>
    </row>
    <row r="92" spans="1:19" ht="34.5" hidden="1" customHeight="1">
      <c r="A92" s="1528"/>
      <c r="B92" s="1648"/>
      <c r="C92" s="2866" t="s">
        <v>2221</v>
      </c>
      <c r="D92" s="2867"/>
      <c r="E92" s="1687">
        <f ca="1">SUMIF($H$33:$I$42, C92, $L$33:$L$42)</f>
        <v>0</v>
      </c>
      <c r="F92" s="1687">
        <f>SUMIFS($L$33:$L$42, $H$33:$H$42, C92, $J$33:$J$42, "Yes")</f>
        <v>0</v>
      </c>
      <c r="G92" s="1686" t="e">
        <f ca="1">F92/E92</f>
        <v>#DIV/0!</v>
      </c>
      <c r="H92" s="1684"/>
      <c r="I92" s="1684"/>
      <c r="J92" s="1684"/>
      <c r="K92" s="1685"/>
      <c r="L92" s="1628"/>
      <c r="M92" s="1628"/>
      <c r="N92" s="1684"/>
      <c r="O92" s="1683"/>
      <c r="P92" s="1683"/>
      <c r="Q92" s="1683"/>
      <c r="R92" s="1552"/>
      <c r="S92" s="1552"/>
    </row>
    <row r="93" spans="1:19" ht="34.5" hidden="1" customHeight="1">
      <c r="A93" s="1528"/>
      <c r="B93" s="1648"/>
      <c r="C93" s="2866" t="s">
        <v>2220</v>
      </c>
      <c r="D93" s="2867"/>
      <c r="E93" s="1687">
        <f ca="1">SUMIF($H$33:$I$42, C93, $L$33:$L$42)</f>
        <v>0</v>
      </c>
      <c r="F93" s="1687">
        <f>SUMIFS($L$33:$L$42, $H$33:$H$42, C93, $J$33:$J$42, "Yes")</f>
        <v>0</v>
      </c>
      <c r="G93" s="1686" t="e">
        <f ca="1">F93/E93</f>
        <v>#DIV/0!</v>
      </c>
      <c r="H93" s="1684"/>
      <c r="I93" s="1684"/>
      <c r="J93" s="1684"/>
      <c r="K93" s="1685"/>
      <c r="L93" s="1628"/>
      <c r="M93" s="1628"/>
      <c r="N93" s="1684"/>
      <c r="O93" s="1683"/>
      <c r="P93" s="1683"/>
      <c r="Q93" s="1683"/>
      <c r="R93" s="1552"/>
      <c r="S93" s="1552"/>
    </row>
    <row r="94" spans="1:19" ht="34.5" hidden="1" customHeight="1">
      <c r="A94" s="1528"/>
      <c r="B94" s="1648"/>
      <c r="C94" s="2866" t="s">
        <v>2219</v>
      </c>
      <c r="D94" s="2867"/>
      <c r="E94" s="1687">
        <f ca="1">SUMIF($H$33:$I$42, C94, $L$33:$L$42)</f>
        <v>0</v>
      </c>
      <c r="F94" s="1687">
        <f>SUMIFS($L$33:$L$42, $H$33:$H$42, C94, $J$33:$J$42, "Yes")</f>
        <v>0</v>
      </c>
      <c r="G94" s="1686" t="e">
        <f ca="1">F94/E94</f>
        <v>#DIV/0!</v>
      </c>
      <c r="H94" s="1684"/>
      <c r="I94" s="1684"/>
      <c r="J94" s="1684"/>
      <c r="K94" s="1685"/>
      <c r="L94" s="1628"/>
      <c r="M94" s="1628"/>
      <c r="N94" s="1684"/>
      <c r="O94" s="1683"/>
      <c r="P94" s="1683"/>
      <c r="Q94" s="1683"/>
      <c r="R94" s="1552"/>
      <c r="S94" s="1552"/>
    </row>
    <row r="95" spans="1:19" ht="80.099999999999994" customHeight="1">
      <c r="A95" s="1528"/>
      <c r="B95" s="1391" t="s">
        <v>1439</v>
      </c>
      <c r="C95" s="1353"/>
      <c r="D95" s="2741" t="s">
        <v>1426</v>
      </c>
      <c r="E95" s="2741"/>
      <c r="F95" s="2849" t="s">
        <v>2218</v>
      </c>
      <c r="G95" s="2849"/>
      <c r="H95" s="2849"/>
      <c r="I95" s="2849"/>
      <c r="J95" s="1342" t="s">
        <v>1433</v>
      </c>
      <c r="K95" s="1339" t="s">
        <v>1493</v>
      </c>
      <c r="L95" s="1155" t="s">
        <v>1435</v>
      </c>
      <c r="M95" s="1155" t="s">
        <v>1436</v>
      </c>
      <c r="N95" s="2679" t="s">
        <v>1674</v>
      </c>
      <c r="O95" s="2868"/>
      <c r="P95" s="2868"/>
      <c r="Q95" s="2868"/>
      <c r="R95" s="1552"/>
      <c r="S95" s="1552"/>
    </row>
    <row r="96" spans="1:19" ht="51" customHeight="1">
      <c r="A96" s="1681"/>
      <c r="B96" s="2674" t="s">
        <v>2217</v>
      </c>
      <c r="C96" s="2674"/>
      <c r="D96" s="2674"/>
      <c r="E96" s="2674"/>
      <c r="F96" s="2674"/>
      <c r="G96" s="2674"/>
      <c r="H96" s="2859"/>
      <c r="I96" s="2682"/>
      <c r="J96" s="1388"/>
      <c r="K96" s="1371"/>
      <c r="L96" s="1388"/>
      <c r="M96" s="1341"/>
      <c r="N96" s="2790"/>
      <c r="O96" s="2862"/>
      <c r="P96" s="2862"/>
      <c r="Q96" s="2862"/>
      <c r="R96" s="1552"/>
      <c r="S96" s="1552"/>
    </row>
    <row r="97" spans="1:21" ht="391.5" customHeight="1">
      <c r="A97" s="1681"/>
      <c r="B97" s="2693" t="s">
        <v>2216</v>
      </c>
      <c r="C97" s="2699"/>
      <c r="D97" s="2706" t="str">
        <f>IF('Project Info'!C4='Project Info'!P32,'Prescriptive Path Checklist'!C103,IF('Project Info'!C4='Project Info'!P33,#REF!,"&lt;Select compliance path on the 'Project Info' tab&gt;"))</f>
        <v>All non-apartment spaces, except those where automatic shutoff would endanger the safety of occupants, must have occupancy sensors or automatic bi-level lighting controls. Automatic controls must be specified for spaces intended for 24-hour operation such as corridors and stairwells.</v>
      </c>
      <c r="E97" s="2853"/>
      <c r="F97" s="2700">
        <f>ERMs!B44</f>
        <v>0</v>
      </c>
      <c r="G97" s="2795"/>
      <c r="H97" s="2795"/>
      <c r="I97" s="2702"/>
      <c r="J97" s="1388"/>
      <c r="K97" s="1371"/>
      <c r="L97" s="1388"/>
      <c r="M97" s="1341"/>
      <c r="N97" s="2790"/>
      <c r="O97" s="2862"/>
      <c r="P97" s="2862"/>
      <c r="Q97" s="2862"/>
      <c r="R97" s="1552"/>
      <c r="S97" s="1552"/>
    </row>
    <row r="98" spans="1:21" ht="240" customHeight="1">
      <c r="A98" s="1682"/>
      <c r="B98" s="2693" t="s">
        <v>2215</v>
      </c>
      <c r="C98" s="2699"/>
      <c r="D98" s="2863" t="str">
        <f>IF('Project Info'!C4='Project Info'!P32,'Prescriptive Path Checklist'!C104,IF('Project Info'!C4='Project Info'!P33,#REF!,"&lt;Select compliance path on the 'Project Info' tab&gt;"))</f>
        <v>All light fixtures in non-apartments spaces, including hallways, stairwells, lobbies, elevators and decorative fixtures, shall have a combined lamp and ballast efficacies meeting or exceeding ENERGY STAR specifications.  Alternatively, T-5 or T-8 lamps with electronic ballasts or ENERGY STAR certified screw-in lamps may be used.</v>
      </c>
      <c r="E98" s="2863"/>
      <c r="F98" s="2766">
        <f>ERMs!B45</f>
        <v>0</v>
      </c>
      <c r="G98" s="2850"/>
      <c r="H98" s="2850"/>
      <c r="I98" s="2767"/>
      <c r="J98" s="1388"/>
      <c r="K98" s="1371"/>
      <c r="L98" s="1388"/>
      <c r="M98" s="1341"/>
      <c r="N98" s="2790"/>
      <c r="O98" s="2862"/>
      <c r="P98" s="2862"/>
      <c r="Q98" s="2862"/>
      <c r="R98" s="1552"/>
      <c r="S98" s="1552"/>
    </row>
    <row r="99" spans="1:21" ht="251.25" customHeight="1">
      <c r="A99" s="1681"/>
      <c r="B99" s="2805" t="s">
        <v>2214</v>
      </c>
      <c r="C99" s="2869"/>
      <c r="D99" s="2864" t="str">
        <f>IF('Project Info'!C4='Project Info'!P32,'Prescriptive Path Checklist'!C105,IF('Project Info'!C4='Project Info'!P33,#REF!,"&lt;Select compliance path on the 'Project Info' tab&gt;"))</f>
        <v>Total specified lighting power for the combined non-apartment spaces must not exceed ASHRAE 90.1-2010 allowances for those combined spaces. 
Lighting power densities and allowances must be determined using ASHRAE 90.1-2010, Table 9.5.1 or Table 9.6.1. Lighting controls may not be used to reduce the specified lighting power for compliance with this requirement. For senior living, an increase in lighting power densities and allowances corresponding to the increase in footcandles, is permitted.
If following the Modified Prescriptive Path, when calculating overall lighting power density, use 0.7 W/ft2 for spaces where lighting is not installed.</v>
      </c>
      <c r="E99" s="2865"/>
      <c r="F99" s="2750"/>
      <c r="G99" s="2851"/>
      <c r="H99" s="2851"/>
      <c r="I99" s="2751"/>
      <c r="J99" s="1388"/>
      <c r="K99" s="1371"/>
      <c r="L99" s="1388"/>
      <c r="M99" s="1341"/>
      <c r="N99" s="2790"/>
      <c r="O99" s="2862"/>
      <c r="P99" s="2862"/>
      <c r="Q99" s="2862"/>
      <c r="R99" s="1552"/>
      <c r="S99" s="1552"/>
    </row>
    <row r="100" spans="1:21" ht="108" customHeight="1">
      <c r="A100" s="1528"/>
      <c r="B100" s="2693" t="s">
        <v>1685</v>
      </c>
      <c r="C100" s="2699"/>
      <c r="D100" s="2700" t="str">
        <f>IF('Project Info'!C4='Project Info'!P32,'Prescriptive Path Checklist'!C106,IF('Project Info'!C4='Project Info'!P33,#REF!,"&lt;Select compliance path on the 'Project Info' tab&gt;"))</f>
        <v>All exit signs shall be specified as LED (not to exceed 5W per face) or photo-luminescent and shall conform to local building code; fixtures located above stairwell doors and other forms of egress shall contain a battery back-up feature.</v>
      </c>
      <c r="E100" s="2701"/>
      <c r="F100" s="2700" t="e">
        <f>ERMs!#REF!</f>
        <v>#REF!</v>
      </c>
      <c r="G100" s="2795"/>
      <c r="H100" s="2795"/>
      <c r="I100" s="2702"/>
      <c r="J100" s="1388"/>
      <c r="K100" s="1371"/>
      <c r="L100" s="1388"/>
      <c r="M100" s="1341"/>
      <c r="N100" s="2790"/>
      <c r="O100" s="2862"/>
      <c r="P100" s="2862"/>
      <c r="Q100" s="2862"/>
      <c r="R100" s="1631"/>
      <c r="S100" s="1552"/>
    </row>
    <row r="101" spans="1:21" ht="192" customHeight="1">
      <c r="A101" s="1528"/>
      <c r="B101" s="2693" t="s">
        <v>2213</v>
      </c>
      <c r="C101" s="2699"/>
      <c r="D101" s="2706" t="str">
        <f>IF('Project Info'!C4='Project Info'!P32,'Prescriptive Path Checklist'!C107,IF('Project Info'!C4='Project Info'!P33,#REF!,"&lt;Select compliance path on the 'Project Info' tab&gt;"))</f>
        <v>Fixtures must include automatic switching on timers or photocell controls except fixtures intended for 24-hour operation, required for security, or located on apartment balconies.</v>
      </c>
      <c r="E101" s="2853"/>
      <c r="F101" s="2766">
        <f>ERMs!B46</f>
        <v>0</v>
      </c>
      <c r="G101" s="2850"/>
      <c r="H101" s="2850"/>
      <c r="I101" s="2767"/>
      <c r="J101" s="1388"/>
      <c r="K101" s="1371"/>
      <c r="L101" s="1388"/>
      <c r="M101" s="1341"/>
      <c r="N101" s="2790"/>
      <c r="O101" s="2862"/>
      <c r="P101" s="2862"/>
      <c r="Q101" s="2862"/>
      <c r="R101" s="1552"/>
      <c r="S101" s="1552"/>
    </row>
    <row r="102" spans="1:21" ht="240.75" customHeight="1">
      <c r="A102" s="1528"/>
      <c r="B102" s="2693" t="s">
        <v>2212</v>
      </c>
      <c r="C102" s="2699"/>
      <c r="D102" s="2706" t="str">
        <f>IF('Project Info'!C4='Project Info'!P32,'Prescriptive Path Checklist'!C108,IF('Project Info'!C4='Project Info'!P33,#REF!,"&lt;Select compliance path on the 'Project Info' tab&gt;"))</f>
        <v>All outdoor lighting fixtures shall have combined lamp and ballast efficacies meeting or exceeding ENERGY STAR specifications.</v>
      </c>
      <c r="E102" s="2853"/>
      <c r="F102" s="2748"/>
      <c r="G102" s="2861"/>
      <c r="H102" s="2861"/>
      <c r="I102" s="2749"/>
      <c r="J102" s="1388"/>
      <c r="K102" s="1371"/>
      <c r="L102" s="1388"/>
      <c r="M102" s="1341"/>
      <c r="N102" s="2790"/>
      <c r="O102" s="2862"/>
      <c r="P102" s="2862"/>
      <c r="Q102" s="2862"/>
      <c r="R102" s="1552"/>
      <c r="S102" s="1552"/>
    </row>
    <row r="103" spans="1:21" ht="84.75" customHeight="1">
      <c r="A103" s="1528"/>
      <c r="B103" s="2693" t="s">
        <v>2211</v>
      </c>
      <c r="C103" s="2699"/>
      <c r="D103" s="2706" t="str">
        <f>IF('Project Info'!C4='Project Info'!P32,'Prescriptive Path Checklist'!C109,IF('Project Info'!C4='Project Info'!P33,#REF!,"&lt;Select compliance path on the 'Project Info' tab&gt;"))</f>
        <v xml:space="preserve">Total specified exterior lighting power cannot exceed ASHRAE 90.1-2010 allowances.                    </v>
      </c>
      <c r="E103" s="2853"/>
      <c r="F103" s="2750"/>
      <c r="G103" s="2851"/>
      <c r="H103" s="2851"/>
      <c r="I103" s="2751"/>
      <c r="J103" s="1388"/>
      <c r="K103" s="1371"/>
      <c r="L103" s="1388"/>
      <c r="M103" s="1341"/>
      <c r="N103" s="2790"/>
      <c r="O103" s="2862"/>
      <c r="P103" s="2862"/>
      <c r="Q103" s="2862"/>
      <c r="R103" s="1552"/>
      <c r="S103" s="1552"/>
    </row>
    <row r="104" spans="1:21" ht="240" customHeight="1">
      <c r="A104" s="1681"/>
      <c r="B104" s="2693" t="s">
        <v>2210</v>
      </c>
      <c r="C104" s="2699"/>
      <c r="D104" s="2706" t="str">
        <f>IF('Project Info'!C4='Project Info'!P32,'Prescriptive Path Checklist'!C110,IF('Project Info'!C4='Project Info'!P33,#REF!,"&lt;Select compliance path on the 'Project Info' tab&gt;"))</f>
        <v>All hard-wired lighting fixtures and ceiling fans installed within apartments shall meet or exceed ENERGY STAR specifications.  ENERGY STAR certified screw-in lamps may be used in  the following applications only:  Closets, storage spaces, and other locations that are not within habitable living space.
Overall in-unit lighting power density may not exceed 0.7 W/ft2.</v>
      </c>
      <c r="E104" s="2853"/>
      <c r="F104" s="2700">
        <f>ERMs!B47</f>
        <v>0</v>
      </c>
      <c r="G104" s="2795"/>
      <c r="H104" s="2795"/>
      <c r="I104" s="2702"/>
      <c r="J104" s="1388"/>
      <c r="K104" s="1371"/>
      <c r="L104" s="1388"/>
      <c r="M104" s="1341"/>
      <c r="N104" s="2790"/>
      <c r="O104" s="2862"/>
      <c r="P104" s="2862"/>
      <c r="Q104" s="2862"/>
      <c r="R104" s="1552"/>
      <c r="S104" s="1552"/>
    </row>
    <row r="105" spans="1:21" ht="27.75" customHeight="1">
      <c r="A105" s="1528"/>
      <c r="B105" s="2674" t="s">
        <v>1686</v>
      </c>
      <c r="C105" s="2674"/>
      <c r="D105" s="2674"/>
      <c r="E105" s="2674"/>
      <c r="F105" s="2674"/>
      <c r="G105" s="2674"/>
      <c r="H105" s="2859"/>
      <c r="I105" s="2859"/>
      <c r="J105" s="2859"/>
      <c r="K105" s="2859"/>
      <c r="L105" s="2682"/>
      <c r="M105" s="1341"/>
      <c r="N105" s="2790"/>
      <c r="O105" s="2862"/>
      <c r="P105" s="2862"/>
      <c r="Q105" s="2862"/>
      <c r="R105" s="1552"/>
      <c r="S105" s="1552"/>
    </row>
    <row r="106" spans="1:21" ht="53.25" customHeight="1">
      <c r="A106" s="1528"/>
      <c r="B106" s="2674" t="s">
        <v>1687</v>
      </c>
      <c r="C106" s="2674"/>
      <c r="D106" s="2674"/>
      <c r="E106" s="2674"/>
      <c r="F106" s="2674"/>
      <c r="G106" s="2674"/>
      <c r="H106" s="2674"/>
      <c r="I106" s="2674"/>
      <c r="J106" s="2674"/>
      <c r="K106" s="2674"/>
      <c r="L106" s="2680"/>
      <c r="M106" s="1341"/>
      <c r="N106" s="2790"/>
      <c r="O106" s="2862"/>
      <c r="P106" s="2862"/>
      <c r="Q106" s="2862"/>
      <c r="R106" s="1552"/>
      <c r="S106" s="1552"/>
    </row>
    <row r="107" spans="1:21" ht="60" customHeight="1">
      <c r="A107" s="1528"/>
      <c r="B107" s="2674" t="s">
        <v>1688</v>
      </c>
      <c r="C107" s="2674"/>
      <c r="D107" s="2674"/>
      <c r="E107" s="2674"/>
      <c r="F107" s="2674"/>
      <c r="G107" s="2674"/>
      <c r="H107" s="2674"/>
      <c r="I107" s="2674"/>
      <c r="J107" s="2674"/>
      <c r="K107" s="2674"/>
      <c r="L107" s="2680"/>
      <c r="M107" s="1341"/>
      <c r="N107" s="2790"/>
      <c r="O107" s="2862"/>
      <c r="P107" s="2862"/>
      <c r="Q107" s="2862"/>
      <c r="R107" s="1552"/>
      <c r="S107" s="1552"/>
    </row>
    <row r="108" spans="1:21">
      <c r="A108" s="1528"/>
      <c r="R108" s="1552"/>
      <c r="S108" s="1552"/>
    </row>
    <row r="110" spans="1:21" ht="25.5">
      <c r="C110" s="1524"/>
    </row>
    <row r="111" spans="1:21" ht="25.5">
      <c r="C111" s="1524"/>
    </row>
    <row r="112" spans="1:21" ht="25.5">
      <c r="C112" s="1524"/>
      <c r="U112" s="1426" t="s">
        <v>362</v>
      </c>
    </row>
    <row r="113" spans="1:21">
      <c r="A113" s="1528"/>
      <c r="R113" s="1552"/>
      <c r="S113" s="1552"/>
      <c r="U113" s="1426" t="s">
        <v>364</v>
      </c>
    </row>
    <row r="114" spans="1:21">
      <c r="A114" s="1528"/>
      <c r="R114" s="1552"/>
      <c r="S114" s="1552"/>
      <c r="U114" s="1426" t="s">
        <v>363</v>
      </c>
    </row>
    <row r="115" spans="1:21">
      <c r="A115" s="1528"/>
      <c r="R115" s="1552"/>
      <c r="S115" s="1552"/>
    </row>
    <row r="116" spans="1:21">
      <c r="A116" s="1528"/>
      <c r="R116" s="1552"/>
      <c r="S116" s="1552"/>
    </row>
    <row r="117" spans="1:21">
      <c r="A117" s="1528"/>
      <c r="R117" s="1552"/>
      <c r="S117" s="1552"/>
    </row>
    <row r="118" spans="1:21">
      <c r="A118" s="1528"/>
      <c r="R118" s="1552"/>
      <c r="S118" s="1552"/>
    </row>
    <row r="119" spans="1:21">
      <c r="A119" s="1426"/>
      <c r="R119" s="1552"/>
      <c r="S119" s="1552"/>
    </row>
    <row r="120" spans="1:21">
      <c r="B120" s="1535"/>
      <c r="R120" s="1552"/>
      <c r="S120" s="1552"/>
    </row>
    <row r="121" spans="1:21">
      <c r="B121" s="1535"/>
    </row>
    <row r="194" spans="2:2" ht="18">
      <c r="B194" s="794"/>
    </row>
  </sheetData>
  <sheetProtection formatCells="0" formatColumns="0" formatRows="0" insertColumns="0" insertRows="0"/>
  <mergeCells count="154">
    <mergeCell ref="P69:Q69"/>
    <mergeCell ref="P70:Q70"/>
    <mergeCell ref="H68:I68"/>
    <mergeCell ref="P68:Q68"/>
    <mergeCell ref="H40:I40"/>
    <mergeCell ref="P60:Q60"/>
    <mergeCell ref="P61:Q61"/>
    <mergeCell ref="P65:Q65"/>
    <mergeCell ref="K64:L64"/>
    <mergeCell ref="B45:Q45"/>
    <mergeCell ref="P47:Q47"/>
    <mergeCell ref="P48:Q48"/>
    <mergeCell ref="P49:Q49"/>
    <mergeCell ref="P46:Q46"/>
    <mergeCell ref="P56:Q56"/>
    <mergeCell ref="P57:Q57"/>
    <mergeCell ref="B68:D68"/>
    <mergeCell ref="B69:D69"/>
    <mergeCell ref="H65:I65"/>
    <mergeCell ref="B11:M11"/>
    <mergeCell ref="B12:M12"/>
    <mergeCell ref="B25:M25"/>
    <mergeCell ref="B22:M22"/>
    <mergeCell ref="B24:M24"/>
    <mergeCell ref="B28:E28"/>
    <mergeCell ref="F28:I28"/>
    <mergeCell ref="B23:M23"/>
    <mergeCell ref="F32:G32"/>
    <mergeCell ref="H32:I32"/>
    <mergeCell ref="B31:Q31"/>
    <mergeCell ref="O13:P13"/>
    <mergeCell ref="P32:Q32"/>
    <mergeCell ref="N14:O14"/>
    <mergeCell ref="P14:Q14"/>
    <mergeCell ref="N28:Q28"/>
    <mergeCell ref="N27:Q27"/>
    <mergeCell ref="P33:Q33"/>
    <mergeCell ref="P34:Q34"/>
    <mergeCell ref="P35:Q35"/>
    <mergeCell ref="B99:C99"/>
    <mergeCell ref="P50:Q50"/>
    <mergeCell ref="P51:Q51"/>
    <mergeCell ref="P52:Q52"/>
    <mergeCell ref="P76:Q76"/>
    <mergeCell ref="P66:Q66"/>
    <mergeCell ref="P67:Q67"/>
    <mergeCell ref="P36:Q36"/>
    <mergeCell ref="C91:D91"/>
    <mergeCell ref="P88:Q88"/>
    <mergeCell ref="P89:Q89"/>
    <mergeCell ref="P78:Q78"/>
    <mergeCell ref="P75:Q75"/>
    <mergeCell ref="D95:E95"/>
    <mergeCell ref="N96:Q96"/>
    <mergeCell ref="N97:Q97"/>
    <mergeCell ref="F34:G34"/>
    <mergeCell ref="P53:Q53"/>
    <mergeCell ref="P39:Q39"/>
    <mergeCell ref="P42:Q42"/>
    <mergeCell ref="C92:D92"/>
    <mergeCell ref="B106:L106"/>
    <mergeCell ref="F33:G33"/>
    <mergeCell ref="H34:I34"/>
    <mergeCell ref="H33:I33"/>
    <mergeCell ref="H39:I39"/>
    <mergeCell ref="F36:G36"/>
    <mergeCell ref="H36:I36"/>
    <mergeCell ref="N104:Q104"/>
    <mergeCell ref="C93:D93"/>
    <mergeCell ref="F37:G37"/>
    <mergeCell ref="H37:I37"/>
    <mergeCell ref="C94:D94"/>
    <mergeCell ref="N95:Q95"/>
    <mergeCell ref="B96:I96"/>
    <mergeCell ref="N90:Q90"/>
    <mergeCell ref="D102:E102"/>
    <mergeCell ref="B101:C101"/>
    <mergeCell ref="F100:I100"/>
    <mergeCell ref="P54:Q54"/>
    <mergeCell ref="P55:Q55"/>
    <mergeCell ref="P58:Q58"/>
    <mergeCell ref="P59:Q59"/>
    <mergeCell ref="N102:Q102"/>
    <mergeCell ref="B67:D67"/>
    <mergeCell ref="B107:L107"/>
    <mergeCell ref="B105:L105"/>
    <mergeCell ref="B64:C64"/>
    <mergeCell ref="P80:Q80"/>
    <mergeCell ref="P81:Q81"/>
    <mergeCell ref="P84:Q84"/>
    <mergeCell ref="P85:Q85"/>
    <mergeCell ref="P86:Q86"/>
    <mergeCell ref="F101:I103"/>
    <mergeCell ref="D101:E101"/>
    <mergeCell ref="N98:Q98"/>
    <mergeCell ref="N103:Q103"/>
    <mergeCell ref="N101:Q101"/>
    <mergeCell ref="N99:Q99"/>
    <mergeCell ref="D98:E98"/>
    <mergeCell ref="D99:E99"/>
    <mergeCell ref="B98:C98"/>
    <mergeCell ref="B100:C100"/>
    <mergeCell ref="D100:E100"/>
    <mergeCell ref="B97:C97"/>
    <mergeCell ref="N107:Q107"/>
    <mergeCell ref="N105:Q105"/>
    <mergeCell ref="N106:Q106"/>
    <mergeCell ref="N100:Q100"/>
    <mergeCell ref="B104:C104"/>
    <mergeCell ref="D104:E104"/>
    <mergeCell ref="B102:C102"/>
    <mergeCell ref="P38:Q38"/>
    <mergeCell ref="P37:Q37"/>
    <mergeCell ref="N62:Q62"/>
    <mergeCell ref="B63:Q63"/>
    <mergeCell ref="P64:Q64"/>
    <mergeCell ref="B70:D70"/>
    <mergeCell ref="H69:I69"/>
    <mergeCell ref="P77:Q77"/>
    <mergeCell ref="P87:Q87"/>
    <mergeCell ref="P79:Q79"/>
    <mergeCell ref="P74:Q74"/>
    <mergeCell ref="K70:L70"/>
    <mergeCell ref="B65:D65"/>
    <mergeCell ref="B66:D66"/>
    <mergeCell ref="B103:C103"/>
    <mergeCell ref="D103:E103"/>
    <mergeCell ref="D97:E97"/>
    <mergeCell ref="P40:Q40"/>
    <mergeCell ref="P41:Q41"/>
    <mergeCell ref="F41:G41"/>
    <mergeCell ref="B73:Q73"/>
    <mergeCell ref="F35:G35"/>
    <mergeCell ref="H35:I35"/>
    <mergeCell ref="H42:I42"/>
    <mergeCell ref="F42:G42"/>
    <mergeCell ref="F104:I104"/>
    <mergeCell ref="H70:I70"/>
    <mergeCell ref="H66:I66"/>
    <mergeCell ref="H67:I67"/>
    <mergeCell ref="K65:L65"/>
    <mergeCell ref="K67:L67"/>
    <mergeCell ref="K68:L68"/>
    <mergeCell ref="K69:L69"/>
    <mergeCell ref="F95:I95"/>
    <mergeCell ref="F97:I97"/>
    <mergeCell ref="F98:I99"/>
    <mergeCell ref="K66:L66"/>
    <mergeCell ref="F38:G38"/>
    <mergeCell ref="H38:I38"/>
    <mergeCell ref="H41:I41"/>
    <mergeCell ref="F40:G40"/>
    <mergeCell ref="H64:I64"/>
    <mergeCell ref="F39:G39"/>
  </mergeCells>
  <conditionalFormatting sqref="G92:G94">
    <cfRule type="cellIs" dxfId="18" priority="1" stopIfTrue="1" operator="lessThan">
      <formula>0.8</formula>
    </cfRule>
  </conditionalFormatting>
  <dataValidations count="8">
    <dataValidation type="list" allowBlank="1" showInputMessage="1" showErrorMessage="1" sqref="H33:I42 JD33:JE42 SZ33:TA42 ACV33:ACW42 AMR33:AMS42 AWN33:AWO42 BGJ33:BGK42 BQF33:BQG42 CAB33:CAC42 CJX33:CJY42 CTT33:CTU42 DDP33:DDQ42 DNL33:DNM42 DXH33:DXI42 EHD33:EHE42 EQZ33:ERA42 FAV33:FAW42 FKR33:FKS42 FUN33:FUO42 GEJ33:GEK42 GOF33:GOG42 GYB33:GYC42 HHX33:HHY42 HRT33:HRU42 IBP33:IBQ42 ILL33:ILM42 IVH33:IVI42 JFD33:JFE42 JOZ33:JPA42 JYV33:JYW42 KIR33:KIS42 KSN33:KSO42 LCJ33:LCK42 LMF33:LMG42 LWB33:LWC42 MFX33:MFY42 MPT33:MPU42 MZP33:MZQ42 NJL33:NJM42 NTH33:NTI42 ODD33:ODE42 OMZ33:ONA42 OWV33:OWW42 PGR33:PGS42 PQN33:PQO42 QAJ33:QAK42 QKF33:QKG42 QUB33:QUC42 RDX33:RDY42 RNT33:RNU42 RXP33:RXQ42 SHL33:SHM42 SRH33:SRI42 TBD33:TBE42 TKZ33:TLA42 TUV33:TUW42 UER33:UES42 UON33:UOO42 UYJ33:UYK42 VIF33:VIG42 VSB33:VSC42 WBX33:WBY42 WLT33:WLU42 WVP33:WVQ42 H65569:I65578 JD65569:JE65578 SZ65569:TA65578 ACV65569:ACW65578 AMR65569:AMS65578 AWN65569:AWO65578 BGJ65569:BGK65578 BQF65569:BQG65578 CAB65569:CAC65578 CJX65569:CJY65578 CTT65569:CTU65578 DDP65569:DDQ65578 DNL65569:DNM65578 DXH65569:DXI65578 EHD65569:EHE65578 EQZ65569:ERA65578 FAV65569:FAW65578 FKR65569:FKS65578 FUN65569:FUO65578 GEJ65569:GEK65578 GOF65569:GOG65578 GYB65569:GYC65578 HHX65569:HHY65578 HRT65569:HRU65578 IBP65569:IBQ65578 ILL65569:ILM65578 IVH65569:IVI65578 JFD65569:JFE65578 JOZ65569:JPA65578 JYV65569:JYW65578 KIR65569:KIS65578 KSN65569:KSO65578 LCJ65569:LCK65578 LMF65569:LMG65578 LWB65569:LWC65578 MFX65569:MFY65578 MPT65569:MPU65578 MZP65569:MZQ65578 NJL65569:NJM65578 NTH65569:NTI65578 ODD65569:ODE65578 OMZ65569:ONA65578 OWV65569:OWW65578 PGR65569:PGS65578 PQN65569:PQO65578 QAJ65569:QAK65578 QKF65569:QKG65578 QUB65569:QUC65578 RDX65569:RDY65578 RNT65569:RNU65578 RXP65569:RXQ65578 SHL65569:SHM65578 SRH65569:SRI65578 TBD65569:TBE65578 TKZ65569:TLA65578 TUV65569:TUW65578 UER65569:UES65578 UON65569:UOO65578 UYJ65569:UYK65578 VIF65569:VIG65578 VSB65569:VSC65578 WBX65569:WBY65578 WLT65569:WLU65578 WVP65569:WVQ65578 H131105:I131114 JD131105:JE131114 SZ131105:TA131114 ACV131105:ACW131114 AMR131105:AMS131114 AWN131105:AWO131114 BGJ131105:BGK131114 BQF131105:BQG131114 CAB131105:CAC131114 CJX131105:CJY131114 CTT131105:CTU131114 DDP131105:DDQ131114 DNL131105:DNM131114 DXH131105:DXI131114 EHD131105:EHE131114 EQZ131105:ERA131114 FAV131105:FAW131114 FKR131105:FKS131114 FUN131105:FUO131114 GEJ131105:GEK131114 GOF131105:GOG131114 GYB131105:GYC131114 HHX131105:HHY131114 HRT131105:HRU131114 IBP131105:IBQ131114 ILL131105:ILM131114 IVH131105:IVI131114 JFD131105:JFE131114 JOZ131105:JPA131114 JYV131105:JYW131114 KIR131105:KIS131114 KSN131105:KSO131114 LCJ131105:LCK131114 LMF131105:LMG131114 LWB131105:LWC131114 MFX131105:MFY131114 MPT131105:MPU131114 MZP131105:MZQ131114 NJL131105:NJM131114 NTH131105:NTI131114 ODD131105:ODE131114 OMZ131105:ONA131114 OWV131105:OWW131114 PGR131105:PGS131114 PQN131105:PQO131114 QAJ131105:QAK131114 QKF131105:QKG131114 QUB131105:QUC131114 RDX131105:RDY131114 RNT131105:RNU131114 RXP131105:RXQ131114 SHL131105:SHM131114 SRH131105:SRI131114 TBD131105:TBE131114 TKZ131105:TLA131114 TUV131105:TUW131114 UER131105:UES131114 UON131105:UOO131114 UYJ131105:UYK131114 VIF131105:VIG131114 VSB131105:VSC131114 WBX131105:WBY131114 WLT131105:WLU131114 WVP131105:WVQ131114 H196641:I196650 JD196641:JE196650 SZ196641:TA196650 ACV196641:ACW196650 AMR196641:AMS196650 AWN196641:AWO196650 BGJ196641:BGK196650 BQF196641:BQG196650 CAB196641:CAC196650 CJX196641:CJY196650 CTT196641:CTU196650 DDP196641:DDQ196650 DNL196641:DNM196650 DXH196641:DXI196650 EHD196641:EHE196650 EQZ196641:ERA196650 FAV196641:FAW196650 FKR196641:FKS196650 FUN196641:FUO196650 GEJ196641:GEK196650 GOF196641:GOG196650 GYB196641:GYC196650 HHX196641:HHY196650 HRT196641:HRU196650 IBP196641:IBQ196650 ILL196641:ILM196650 IVH196641:IVI196650 JFD196641:JFE196650 JOZ196641:JPA196650 JYV196641:JYW196650 KIR196641:KIS196650 KSN196641:KSO196650 LCJ196641:LCK196650 LMF196641:LMG196650 LWB196641:LWC196650 MFX196641:MFY196650 MPT196641:MPU196650 MZP196641:MZQ196650 NJL196641:NJM196650 NTH196641:NTI196650 ODD196641:ODE196650 OMZ196641:ONA196650 OWV196641:OWW196650 PGR196641:PGS196650 PQN196641:PQO196650 QAJ196641:QAK196650 QKF196641:QKG196650 QUB196641:QUC196650 RDX196641:RDY196650 RNT196641:RNU196650 RXP196641:RXQ196650 SHL196641:SHM196650 SRH196641:SRI196650 TBD196641:TBE196650 TKZ196641:TLA196650 TUV196641:TUW196650 UER196641:UES196650 UON196641:UOO196650 UYJ196641:UYK196650 VIF196641:VIG196650 VSB196641:VSC196650 WBX196641:WBY196650 WLT196641:WLU196650 WVP196641:WVQ196650 H262177:I262186 JD262177:JE262186 SZ262177:TA262186 ACV262177:ACW262186 AMR262177:AMS262186 AWN262177:AWO262186 BGJ262177:BGK262186 BQF262177:BQG262186 CAB262177:CAC262186 CJX262177:CJY262186 CTT262177:CTU262186 DDP262177:DDQ262186 DNL262177:DNM262186 DXH262177:DXI262186 EHD262177:EHE262186 EQZ262177:ERA262186 FAV262177:FAW262186 FKR262177:FKS262186 FUN262177:FUO262186 GEJ262177:GEK262186 GOF262177:GOG262186 GYB262177:GYC262186 HHX262177:HHY262186 HRT262177:HRU262186 IBP262177:IBQ262186 ILL262177:ILM262186 IVH262177:IVI262186 JFD262177:JFE262186 JOZ262177:JPA262186 JYV262177:JYW262186 KIR262177:KIS262186 KSN262177:KSO262186 LCJ262177:LCK262186 LMF262177:LMG262186 LWB262177:LWC262186 MFX262177:MFY262186 MPT262177:MPU262186 MZP262177:MZQ262186 NJL262177:NJM262186 NTH262177:NTI262186 ODD262177:ODE262186 OMZ262177:ONA262186 OWV262177:OWW262186 PGR262177:PGS262186 PQN262177:PQO262186 QAJ262177:QAK262186 QKF262177:QKG262186 QUB262177:QUC262186 RDX262177:RDY262186 RNT262177:RNU262186 RXP262177:RXQ262186 SHL262177:SHM262186 SRH262177:SRI262186 TBD262177:TBE262186 TKZ262177:TLA262186 TUV262177:TUW262186 UER262177:UES262186 UON262177:UOO262186 UYJ262177:UYK262186 VIF262177:VIG262186 VSB262177:VSC262186 WBX262177:WBY262186 WLT262177:WLU262186 WVP262177:WVQ262186 H327713:I327722 JD327713:JE327722 SZ327713:TA327722 ACV327713:ACW327722 AMR327713:AMS327722 AWN327713:AWO327722 BGJ327713:BGK327722 BQF327713:BQG327722 CAB327713:CAC327722 CJX327713:CJY327722 CTT327713:CTU327722 DDP327713:DDQ327722 DNL327713:DNM327722 DXH327713:DXI327722 EHD327713:EHE327722 EQZ327713:ERA327722 FAV327713:FAW327722 FKR327713:FKS327722 FUN327713:FUO327722 GEJ327713:GEK327722 GOF327713:GOG327722 GYB327713:GYC327722 HHX327713:HHY327722 HRT327713:HRU327722 IBP327713:IBQ327722 ILL327713:ILM327722 IVH327713:IVI327722 JFD327713:JFE327722 JOZ327713:JPA327722 JYV327713:JYW327722 KIR327713:KIS327722 KSN327713:KSO327722 LCJ327713:LCK327722 LMF327713:LMG327722 LWB327713:LWC327722 MFX327713:MFY327722 MPT327713:MPU327722 MZP327713:MZQ327722 NJL327713:NJM327722 NTH327713:NTI327722 ODD327713:ODE327722 OMZ327713:ONA327722 OWV327713:OWW327722 PGR327713:PGS327722 PQN327713:PQO327722 QAJ327713:QAK327722 QKF327713:QKG327722 QUB327713:QUC327722 RDX327713:RDY327722 RNT327713:RNU327722 RXP327713:RXQ327722 SHL327713:SHM327722 SRH327713:SRI327722 TBD327713:TBE327722 TKZ327713:TLA327722 TUV327713:TUW327722 UER327713:UES327722 UON327713:UOO327722 UYJ327713:UYK327722 VIF327713:VIG327722 VSB327713:VSC327722 WBX327713:WBY327722 WLT327713:WLU327722 WVP327713:WVQ327722 H393249:I393258 JD393249:JE393258 SZ393249:TA393258 ACV393249:ACW393258 AMR393249:AMS393258 AWN393249:AWO393258 BGJ393249:BGK393258 BQF393249:BQG393258 CAB393249:CAC393258 CJX393249:CJY393258 CTT393249:CTU393258 DDP393249:DDQ393258 DNL393249:DNM393258 DXH393249:DXI393258 EHD393249:EHE393258 EQZ393249:ERA393258 FAV393249:FAW393258 FKR393249:FKS393258 FUN393249:FUO393258 GEJ393249:GEK393258 GOF393249:GOG393258 GYB393249:GYC393258 HHX393249:HHY393258 HRT393249:HRU393258 IBP393249:IBQ393258 ILL393249:ILM393258 IVH393249:IVI393258 JFD393249:JFE393258 JOZ393249:JPA393258 JYV393249:JYW393258 KIR393249:KIS393258 KSN393249:KSO393258 LCJ393249:LCK393258 LMF393249:LMG393258 LWB393249:LWC393258 MFX393249:MFY393258 MPT393249:MPU393258 MZP393249:MZQ393258 NJL393249:NJM393258 NTH393249:NTI393258 ODD393249:ODE393258 OMZ393249:ONA393258 OWV393249:OWW393258 PGR393249:PGS393258 PQN393249:PQO393258 QAJ393249:QAK393258 QKF393249:QKG393258 QUB393249:QUC393258 RDX393249:RDY393258 RNT393249:RNU393258 RXP393249:RXQ393258 SHL393249:SHM393258 SRH393249:SRI393258 TBD393249:TBE393258 TKZ393249:TLA393258 TUV393249:TUW393258 UER393249:UES393258 UON393249:UOO393258 UYJ393249:UYK393258 VIF393249:VIG393258 VSB393249:VSC393258 WBX393249:WBY393258 WLT393249:WLU393258 WVP393249:WVQ393258 H458785:I458794 JD458785:JE458794 SZ458785:TA458794 ACV458785:ACW458794 AMR458785:AMS458794 AWN458785:AWO458794 BGJ458785:BGK458794 BQF458785:BQG458794 CAB458785:CAC458794 CJX458785:CJY458794 CTT458785:CTU458794 DDP458785:DDQ458794 DNL458785:DNM458794 DXH458785:DXI458794 EHD458785:EHE458794 EQZ458785:ERA458794 FAV458785:FAW458794 FKR458785:FKS458794 FUN458785:FUO458794 GEJ458785:GEK458794 GOF458785:GOG458794 GYB458785:GYC458794 HHX458785:HHY458794 HRT458785:HRU458794 IBP458785:IBQ458794 ILL458785:ILM458794 IVH458785:IVI458794 JFD458785:JFE458794 JOZ458785:JPA458794 JYV458785:JYW458794 KIR458785:KIS458794 KSN458785:KSO458794 LCJ458785:LCK458794 LMF458785:LMG458794 LWB458785:LWC458794 MFX458785:MFY458794 MPT458785:MPU458794 MZP458785:MZQ458794 NJL458785:NJM458794 NTH458785:NTI458794 ODD458785:ODE458794 OMZ458785:ONA458794 OWV458785:OWW458794 PGR458785:PGS458794 PQN458785:PQO458794 QAJ458785:QAK458794 QKF458785:QKG458794 QUB458785:QUC458794 RDX458785:RDY458794 RNT458785:RNU458794 RXP458785:RXQ458794 SHL458785:SHM458794 SRH458785:SRI458794 TBD458785:TBE458794 TKZ458785:TLA458794 TUV458785:TUW458794 UER458785:UES458794 UON458785:UOO458794 UYJ458785:UYK458794 VIF458785:VIG458794 VSB458785:VSC458794 WBX458785:WBY458794 WLT458785:WLU458794 WVP458785:WVQ458794 H524321:I524330 JD524321:JE524330 SZ524321:TA524330 ACV524321:ACW524330 AMR524321:AMS524330 AWN524321:AWO524330 BGJ524321:BGK524330 BQF524321:BQG524330 CAB524321:CAC524330 CJX524321:CJY524330 CTT524321:CTU524330 DDP524321:DDQ524330 DNL524321:DNM524330 DXH524321:DXI524330 EHD524321:EHE524330 EQZ524321:ERA524330 FAV524321:FAW524330 FKR524321:FKS524330 FUN524321:FUO524330 GEJ524321:GEK524330 GOF524321:GOG524330 GYB524321:GYC524330 HHX524321:HHY524330 HRT524321:HRU524330 IBP524321:IBQ524330 ILL524321:ILM524330 IVH524321:IVI524330 JFD524321:JFE524330 JOZ524321:JPA524330 JYV524321:JYW524330 KIR524321:KIS524330 KSN524321:KSO524330 LCJ524321:LCK524330 LMF524321:LMG524330 LWB524321:LWC524330 MFX524321:MFY524330 MPT524321:MPU524330 MZP524321:MZQ524330 NJL524321:NJM524330 NTH524321:NTI524330 ODD524321:ODE524330 OMZ524321:ONA524330 OWV524321:OWW524330 PGR524321:PGS524330 PQN524321:PQO524330 QAJ524321:QAK524330 QKF524321:QKG524330 QUB524321:QUC524330 RDX524321:RDY524330 RNT524321:RNU524330 RXP524321:RXQ524330 SHL524321:SHM524330 SRH524321:SRI524330 TBD524321:TBE524330 TKZ524321:TLA524330 TUV524321:TUW524330 UER524321:UES524330 UON524321:UOO524330 UYJ524321:UYK524330 VIF524321:VIG524330 VSB524321:VSC524330 WBX524321:WBY524330 WLT524321:WLU524330 WVP524321:WVQ524330 H589857:I589866 JD589857:JE589866 SZ589857:TA589866 ACV589857:ACW589866 AMR589857:AMS589866 AWN589857:AWO589866 BGJ589857:BGK589866 BQF589857:BQG589866 CAB589857:CAC589866 CJX589857:CJY589866 CTT589857:CTU589866 DDP589857:DDQ589866 DNL589857:DNM589866 DXH589857:DXI589866 EHD589857:EHE589866 EQZ589857:ERA589866 FAV589857:FAW589866 FKR589857:FKS589866 FUN589857:FUO589866 GEJ589857:GEK589866 GOF589857:GOG589866 GYB589857:GYC589866 HHX589857:HHY589866 HRT589857:HRU589866 IBP589857:IBQ589866 ILL589857:ILM589866 IVH589857:IVI589866 JFD589857:JFE589866 JOZ589857:JPA589866 JYV589857:JYW589866 KIR589857:KIS589866 KSN589857:KSO589866 LCJ589857:LCK589866 LMF589857:LMG589866 LWB589857:LWC589866 MFX589857:MFY589866 MPT589857:MPU589866 MZP589857:MZQ589866 NJL589857:NJM589866 NTH589857:NTI589866 ODD589857:ODE589866 OMZ589857:ONA589866 OWV589857:OWW589866 PGR589857:PGS589866 PQN589857:PQO589866 QAJ589857:QAK589866 QKF589857:QKG589866 QUB589857:QUC589866 RDX589857:RDY589866 RNT589857:RNU589866 RXP589857:RXQ589866 SHL589857:SHM589866 SRH589857:SRI589866 TBD589857:TBE589866 TKZ589857:TLA589866 TUV589857:TUW589866 UER589857:UES589866 UON589857:UOO589866 UYJ589857:UYK589866 VIF589857:VIG589866 VSB589857:VSC589866 WBX589857:WBY589866 WLT589857:WLU589866 WVP589857:WVQ589866 H655393:I655402 JD655393:JE655402 SZ655393:TA655402 ACV655393:ACW655402 AMR655393:AMS655402 AWN655393:AWO655402 BGJ655393:BGK655402 BQF655393:BQG655402 CAB655393:CAC655402 CJX655393:CJY655402 CTT655393:CTU655402 DDP655393:DDQ655402 DNL655393:DNM655402 DXH655393:DXI655402 EHD655393:EHE655402 EQZ655393:ERA655402 FAV655393:FAW655402 FKR655393:FKS655402 FUN655393:FUO655402 GEJ655393:GEK655402 GOF655393:GOG655402 GYB655393:GYC655402 HHX655393:HHY655402 HRT655393:HRU655402 IBP655393:IBQ655402 ILL655393:ILM655402 IVH655393:IVI655402 JFD655393:JFE655402 JOZ655393:JPA655402 JYV655393:JYW655402 KIR655393:KIS655402 KSN655393:KSO655402 LCJ655393:LCK655402 LMF655393:LMG655402 LWB655393:LWC655402 MFX655393:MFY655402 MPT655393:MPU655402 MZP655393:MZQ655402 NJL655393:NJM655402 NTH655393:NTI655402 ODD655393:ODE655402 OMZ655393:ONA655402 OWV655393:OWW655402 PGR655393:PGS655402 PQN655393:PQO655402 QAJ655393:QAK655402 QKF655393:QKG655402 QUB655393:QUC655402 RDX655393:RDY655402 RNT655393:RNU655402 RXP655393:RXQ655402 SHL655393:SHM655402 SRH655393:SRI655402 TBD655393:TBE655402 TKZ655393:TLA655402 TUV655393:TUW655402 UER655393:UES655402 UON655393:UOO655402 UYJ655393:UYK655402 VIF655393:VIG655402 VSB655393:VSC655402 WBX655393:WBY655402 WLT655393:WLU655402 WVP655393:WVQ655402 H720929:I720938 JD720929:JE720938 SZ720929:TA720938 ACV720929:ACW720938 AMR720929:AMS720938 AWN720929:AWO720938 BGJ720929:BGK720938 BQF720929:BQG720938 CAB720929:CAC720938 CJX720929:CJY720938 CTT720929:CTU720938 DDP720929:DDQ720938 DNL720929:DNM720938 DXH720929:DXI720938 EHD720929:EHE720938 EQZ720929:ERA720938 FAV720929:FAW720938 FKR720929:FKS720938 FUN720929:FUO720938 GEJ720929:GEK720938 GOF720929:GOG720938 GYB720929:GYC720938 HHX720929:HHY720938 HRT720929:HRU720938 IBP720929:IBQ720938 ILL720929:ILM720938 IVH720929:IVI720938 JFD720929:JFE720938 JOZ720929:JPA720938 JYV720929:JYW720938 KIR720929:KIS720938 KSN720929:KSO720938 LCJ720929:LCK720938 LMF720929:LMG720938 LWB720929:LWC720938 MFX720929:MFY720938 MPT720929:MPU720938 MZP720929:MZQ720938 NJL720929:NJM720938 NTH720929:NTI720938 ODD720929:ODE720938 OMZ720929:ONA720938 OWV720929:OWW720938 PGR720929:PGS720938 PQN720929:PQO720938 QAJ720929:QAK720938 QKF720929:QKG720938 QUB720929:QUC720938 RDX720929:RDY720938 RNT720929:RNU720938 RXP720929:RXQ720938 SHL720929:SHM720938 SRH720929:SRI720938 TBD720929:TBE720938 TKZ720929:TLA720938 TUV720929:TUW720938 UER720929:UES720938 UON720929:UOO720938 UYJ720929:UYK720938 VIF720929:VIG720938 VSB720929:VSC720938 WBX720929:WBY720938 WLT720929:WLU720938 WVP720929:WVQ720938 H786465:I786474 JD786465:JE786474 SZ786465:TA786474 ACV786465:ACW786474 AMR786465:AMS786474 AWN786465:AWO786474 BGJ786465:BGK786474 BQF786465:BQG786474 CAB786465:CAC786474 CJX786465:CJY786474 CTT786465:CTU786474 DDP786465:DDQ786474 DNL786465:DNM786474 DXH786465:DXI786474 EHD786465:EHE786474 EQZ786465:ERA786474 FAV786465:FAW786474 FKR786465:FKS786474 FUN786465:FUO786474 GEJ786465:GEK786474 GOF786465:GOG786474 GYB786465:GYC786474 HHX786465:HHY786474 HRT786465:HRU786474 IBP786465:IBQ786474 ILL786465:ILM786474 IVH786465:IVI786474 JFD786465:JFE786474 JOZ786465:JPA786474 JYV786465:JYW786474 KIR786465:KIS786474 KSN786465:KSO786474 LCJ786465:LCK786474 LMF786465:LMG786474 LWB786465:LWC786474 MFX786465:MFY786474 MPT786465:MPU786474 MZP786465:MZQ786474 NJL786465:NJM786474 NTH786465:NTI786474 ODD786465:ODE786474 OMZ786465:ONA786474 OWV786465:OWW786474 PGR786465:PGS786474 PQN786465:PQO786474 QAJ786465:QAK786474 QKF786465:QKG786474 QUB786465:QUC786474 RDX786465:RDY786474 RNT786465:RNU786474 RXP786465:RXQ786474 SHL786465:SHM786474 SRH786465:SRI786474 TBD786465:TBE786474 TKZ786465:TLA786474 TUV786465:TUW786474 UER786465:UES786474 UON786465:UOO786474 UYJ786465:UYK786474 VIF786465:VIG786474 VSB786465:VSC786474 WBX786465:WBY786474 WLT786465:WLU786474 WVP786465:WVQ786474 H852001:I852010 JD852001:JE852010 SZ852001:TA852010 ACV852001:ACW852010 AMR852001:AMS852010 AWN852001:AWO852010 BGJ852001:BGK852010 BQF852001:BQG852010 CAB852001:CAC852010 CJX852001:CJY852010 CTT852001:CTU852010 DDP852001:DDQ852010 DNL852001:DNM852010 DXH852001:DXI852010 EHD852001:EHE852010 EQZ852001:ERA852010 FAV852001:FAW852010 FKR852001:FKS852010 FUN852001:FUO852010 GEJ852001:GEK852010 GOF852001:GOG852010 GYB852001:GYC852010 HHX852001:HHY852010 HRT852001:HRU852010 IBP852001:IBQ852010 ILL852001:ILM852010 IVH852001:IVI852010 JFD852001:JFE852010 JOZ852001:JPA852010 JYV852001:JYW852010 KIR852001:KIS852010 KSN852001:KSO852010 LCJ852001:LCK852010 LMF852001:LMG852010 LWB852001:LWC852010 MFX852001:MFY852010 MPT852001:MPU852010 MZP852001:MZQ852010 NJL852001:NJM852010 NTH852001:NTI852010 ODD852001:ODE852010 OMZ852001:ONA852010 OWV852001:OWW852010 PGR852001:PGS852010 PQN852001:PQO852010 QAJ852001:QAK852010 QKF852001:QKG852010 QUB852001:QUC852010 RDX852001:RDY852010 RNT852001:RNU852010 RXP852001:RXQ852010 SHL852001:SHM852010 SRH852001:SRI852010 TBD852001:TBE852010 TKZ852001:TLA852010 TUV852001:TUW852010 UER852001:UES852010 UON852001:UOO852010 UYJ852001:UYK852010 VIF852001:VIG852010 VSB852001:VSC852010 WBX852001:WBY852010 WLT852001:WLU852010 WVP852001:WVQ852010 H917537:I917546 JD917537:JE917546 SZ917537:TA917546 ACV917537:ACW917546 AMR917537:AMS917546 AWN917537:AWO917546 BGJ917537:BGK917546 BQF917537:BQG917546 CAB917537:CAC917546 CJX917537:CJY917546 CTT917537:CTU917546 DDP917537:DDQ917546 DNL917537:DNM917546 DXH917537:DXI917546 EHD917537:EHE917546 EQZ917537:ERA917546 FAV917537:FAW917546 FKR917537:FKS917546 FUN917537:FUO917546 GEJ917537:GEK917546 GOF917537:GOG917546 GYB917537:GYC917546 HHX917537:HHY917546 HRT917537:HRU917546 IBP917537:IBQ917546 ILL917537:ILM917546 IVH917537:IVI917546 JFD917537:JFE917546 JOZ917537:JPA917546 JYV917537:JYW917546 KIR917537:KIS917546 KSN917537:KSO917546 LCJ917537:LCK917546 LMF917537:LMG917546 LWB917537:LWC917546 MFX917537:MFY917546 MPT917537:MPU917546 MZP917537:MZQ917546 NJL917537:NJM917546 NTH917537:NTI917546 ODD917537:ODE917546 OMZ917537:ONA917546 OWV917537:OWW917546 PGR917537:PGS917546 PQN917537:PQO917546 QAJ917537:QAK917546 QKF917537:QKG917546 QUB917537:QUC917546 RDX917537:RDY917546 RNT917537:RNU917546 RXP917537:RXQ917546 SHL917537:SHM917546 SRH917537:SRI917546 TBD917537:TBE917546 TKZ917537:TLA917546 TUV917537:TUW917546 UER917537:UES917546 UON917537:UOO917546 UYJ917537:UYK917546 VIF917537:VIG917546 VSB917537:VSC917546 WBX917537:WBY917546 WLT917537:WLU917546 WVP917537:WVQ917546 H983073:I983082 JD983073:JE983082 SZ983073:TA983082 ACV983073:ACW983082 AMR983073:AMS983082 AWN983073:AWO983082 BGJ983073:BGK983082 BQF983073:BQG983082 CAB983073:CAC983082 CJX983073:CJY983082 CTT983073:CTU983082 DDP983073:DDQ983082 DNL983073:DNM983082 DXH983073:DXI983082 EHD983073:EHE983082 EQZ983073:ERA983082 FAV983073:FAW983082 FKR983073:FKS983082 FUN983073:FUO983082 GEJ983073:GEK983082 GOF983073:GOG983082 GYB983073:GYC983082 HHX983073:HHY983082 HRT983073:HRU983082 IBP983073:IBQ983082 ILL983073:ILM983082 IVH983073:IVI983082 JFD983073:JFE983082 JOZ983073:JPA983082 JYV983073:JYW983082 KIR983073:KIS983082 KSN983073:KSO983082 LCJ983073:LCK983082 LMF983073:LMG983082 LWB983073:LWC983082 MFX983073:MFY983082 MPT983073:MPU983082 MZP983073:MZQ983082 NJL983073:NJM983082 NTH983073:NTI983082 ODD983073:ODE983082 OMZ983073:ONA983082 OWV983073:OWW983082 PGR983073:PGS983082 PQN983073:PQO983082 QAJ983073:QAK983082 QKF983073:QKG983082 QUB983073:QUC983082 RDX983073:RDY983082 RNT983073:RNU983082 RXP983073:RXQ983082 SHL983073:SHM983082 SRH983073:SRI983082 TBD983073:TBE983082 TKZ983073:TLA983082 TUV983073:TUW983082 UER983073:UES983082 UON983073:UOO983082 UYJ983073:UYK983082 VIF983073:VIG983082 VSB983073:VSC983082 WBX983073:WBY983082 WLT983073:WLU983082 WVP983073:WVQ983082">
      <formula1>"Apartments, Common Space, Exterior"</formula1>
    </dataValidation>
    <dataValidation type="list" allowBlank="1" showInputMessage="1" showErrorMessage="1" sqref="C75:C89 IY75:IY89 SU75:SU89 ACQ75:ACQ89 AMM75:AMM89 AWI75:AWI89 BGE75:BGE89 BQA75:BQA89 BZW75:BZW89 CJS75:CJS89 CTO75:CTO89 DDK75:DDK89 DNG75:DNG89 DXC75:DXC89 EGY75:EGY89 EQU75:EQU89 FAQ75:FAQ89 FKM75:FKM89 FUI75:FUI89 GEE75:GEE89 GOA75:GOA89 GXW75:GXW89 HHS75:HHS89 HRO75:HRO89 IBK75:IBK89 ILG75:ILG89 IVC75:IVC89 JEY75:JEY89 JOU75:JOU89 JYQ75:JYQ89 KIM75:KIM89 KSI75:KSI89 LCE75:LCE89 LMA75:LMA89 LVW75:LVW89 MFS75:MFS89 MPO75:MPO89 MZK75:MZK89 NJG75:NJG89 NTC75:NTC89 OCY75:OCY89 OMU75:OMU89 OWQ75:OWQ89 PGM75:PGM89 PQI75:PQI89 QAE75:QAE89 QKA75:QKA89 QTW75:QTW89 RDS75:RDS89 RNO75:RNO89 RXK75:RXK89 SHG75:SHG89 SRC75:SRC89 TAY75:TAY89 TKU75:TKU89 TUQ75:TUQ89 UEM75:UEM89 UOI75:UOI89 UYE75:UYE89 VIA75:VIA89 VRW75:VRW89 WBS75:WBS89 WLO75:WLO89 WVK75:WVK89 C65611:C65625 IY65611:IY65625 SU65611:SU65625 ACQ65611:ACQ65625 AMM65611:AMM65625 AWI65611:AWI65625 BGE65611:BGE65625 BQA65611:BQA65625 BZW65611:BZW65625 CJS65611:CJS65625 CTO65611:CTO65625 DDK65611:DDK65625 DNG65611:DNG65625 DXC65611:DXC65625 EGY65611:EGY65625 EQU65611:EQU65625 FAQ65611:FAQ65625 FKM65611:FKM65625 FUI65611:FUI65625 GEE65611:GEE65625 GOA65611:GOA65625 GXW65611:GXW65625 HHS65611:HHS65625 HRO65611:HRO65625 IBK65611:IBK65625 ILG65611:ILG65625 IVC65611:IVC65625 JEY65611:JEY65625 JOU65611:JOU65625 JYQ65611:JYQ65625 KIM65611:KIM65625 KSI65611:KSI65625 LCE65611:LCE65625 LMA65611:LMA65625 LVW65611:LVW65625 MFS65611:MFS65625 MPO65611:MPO65625 MZK65611:MZK65625 NJG65611:NJG65625 NTC65611:NTC65625 OCY65611:OCY65625 OMU65611:OMU65625 OWQ65611:OWQ65625 PGM65611:PGM65625 PQI65611:PQI65625 QAE65611:QAE65625 QKA65611:QKA65625 QTW65611:QTW65625 RDS65611:RDS65625 RNO65611:RNO65625 RXK65611:RXK65625 SHG65611:SHG65625 SRC65611:SRC65625 TAY65611:TAY65625 TKU65611:TKU65625 TUQ65611:TUQ65625 UEM65611:UEM65625 UOI65611:UOI65625 UYE65611:UYE65625 VIA65611:VIA65625 VRW65611:VRW65625 WBS65611:WBS65625 WLO65611:WLO65625 WVK65611:WVK65625 C131147:C131161 IY131147:IY131161 SU131147:SU131161 ACQ131147:ACQ131161 AMM131147:AMM131161 AWI131147:AWI131161 BGE131147:BGE131161 BQA131147:BQA131161 BZW131147:BZW131161 CJS131147:CJS131161 CTO131147:CTO131161 DDK131147:DDK131161 DNG131147:DNG131161 DXC131147:DXC131161 EGY131147:EGY131161 EQU131147:EQU131161 FAQ131147:FAQ131161 FKM131147:FKM131161 FUI131147:FUI131161 GEE131147:GEE131161 GOA131147:GOA131161 GXW131147:GXW131161 HHS131147:HHS131161 HRO131147:HRO131161 IBK131147:IBK131161 ILG131147:ILG131161 IVC131147:IVC131161 JEY131147:JEY131161 JOU131147:JOU131161 JYQ131147:JYQ131161 KIM131147:KIM131161 KSI131147:KSI131161 LCE131147:LCE131161 LMA131147:LMA131161 LVW131147:LVW131161 MFS131147:MFS131161 MPO131147:MPO131161 MZK131147:MZK131161 NJG131147:NJG131161 NTC131147:NTC131161 OCY131147:OCY131161 OMU131147:OMU131161 OWQ131147:OWQ131161 PGM131147:PGM131161 PQI131147:PQI131161 QAE131147:QAE131161 QKA131147:QKA131161 QTW131147:QTW131161 RDS131147:RDS131161 RNO131147:RNO131161 RXK131147:RXK131161 SHG131147:SHG131161 SRC131147:SRC131161 TAY131147:TAY131161 TKU131147:TKU131161 TUQ131147:TUQ131161 UEM131147:UEM131161 UOI131147:UOI131161 UYE131147:UYE131161 VIA131147:VIA131161 VRW131147:VRW131161 WBS131147:WBS131161 WLO131147:WLO131161 WVK131147:WVK131161 C196683:C196697 IY196683:IY196697 SU196683:SU196697 ACQ196683:ACQ196697 AMM196683:AMM196697 AWI196683:AWI196697 BGE196683:BGE196697 BQA196683:BQA196697 BZW196683:BZW196697 CJS196683:CJS196697 CTO196683:CTO196697 DDK196683:DDK196697 DNG196683:DNG196697 DXC196683:DXC196697 EGY196683:EGY196697 EQU196683:EQU196697 FAQ196683:FAQ196697 FKM196683:FKM196697 FUI196683:FUI196697 GEE196683:GEE196697 GOA196683:GOA196697 GXW196683:GXW196697 HHS196683:HHS196697 HRO196683:HRO196697 IBK196683:IBK196697 ILG196683:ILG196697 IVC196683:IVC196697 JEY196683:JEY196697 JOU196683:JOU196697 JYQ196683:JYQ196697 KIM196683:KIM196697 KSI196683:KSI196697 LCE196683:LCE196697 LMA196683:LMA196697 LVW196683:LVW196697 MFS196683:MFS196697 MPO196683:MPO196697 MZK196683:MZK196697 NJG196683:NJG196697 NTC196683:NTC196697 OCY196683:OCY196697 OMU196683:OMU196697 OWQ196683:OWQ196697 PGM196683:PGM196697 PQI196683:PQI196697 QAE196683:QAE196697 QKA196683:QKA196697 QTW196683:QTW196697 RDS196683:RDS196697 RNO196683:RNO196697 RXK196683:RXK196697 SHG196683:SHG196697 SRC196683:SRC196697 TAY196683:TAY196697 TKU196683:TKU196697 TUQ196683:TUQ196697 UEM196683:UEM196697 UOI196683:UOI196697 UYE196683:UYE196697 VIA196683:VIA196697 VRW196683:VRW196697 WBS196683:WBS196697 WLO196683:WLO196697 WVK196683:WVK196697 C262219:C262233 IY262219:IY262233 SU262219:SU262233 ACQ262219:ACQ262233 AMM262219:AMM262233 AWI262219:AWI262233 BGE262219:BGE262233 BQA262219:BQA262233 BZW262219:BZW262233 CJS262219:CJS262233 CTO262219:CTO262233 DDK262219:DDK262233 DNG262219:DNG262233 DXC262219:DXC262233 EGY262219:EGY262233 EQU262219:EQU262233 FAQ262219:FAQ262233 FKM262219:FKM262233 FUI262219:FUI262233 GEE262219:GEE262233 GOA262219:GOA262233 GXW262219:GXW262233 HHS262219:HHS262233 HRO262219:HRO262233 IBK262219:IBK262233 ILG262219:ILG262233 IVC262219:IVC262233 JEY262219:JEY262233 JOU262219:JOU262233 JYQ262219:JYQ262233 KIM262219:KIM262233 KSI262219:KSI262233 LCE262219:LCE262233 LMA262219:LMA262233 LVW262219:LVW262233 MFS262219:MFS262233 MPO262219:MPO262233 MZK262219:MZK262233 NJG262219:NJG262233 NTC262219:NTC262233 OCY262219:OCY262233 OMU262219:OMU262233 OWQ262219:OWQ262233 PGM262219:PGM262233 PQI262219:PQI262233 QAE262219:QAE262233 QKA262219:QKA262233 QTW262219:QTW262233 RDS262219:RDS262233 RNO262219:RNO262233 RXK262219:RXK262233 SHG262219:SHG262233 SRC262219:SRC262233 TAY262219:TAY262233 TKU262219:TKU262233 TUQ262219:TUQ262233 UEM262219:UEM262233 UOI262219:UOI262233 UYE262219:UYE262233 VIA262219:VIA262233 VRW262219:VRW262233 WBS262219:WBS262233 WLO262219:WLO262233 WVK262219:WVK262233 C327755:C327769 IY327755:IY327769 SU327755:SU327769 ACQ327755:ACQ327769 AMM327755:AMM327769 AWI327755:AWI327769 BGE327755:BGE327769 BQA327755:BQA327769 BZW327755:BZW327769 CJS327755:CJS327769 CTO327755:CTO327769 DDK327755:DDK327769 DNG327755:DNG327769 DXC327755:DXC327769 EGY327755:EGY327769 EQU327755:EQU327769 FAQ327755:FAQ327769 FKM327755:FKM327769 FUI327755:FUI327769 GEE327755:GEE327769 GOA327755:GOA327769 GXW327755:GXW327769 HHS327755:HHS327769 HRO327755:HRO327769 IBK327755:IBK327769 ILG327755:ILG327769 IVC327755:IVC327769 JEY327755:JEY327769 JOU327755:JOU327769 JYQ327755:JYQ327769 KIM327755:KIM327769 KSI327755:KSI327769 LCE327755:LCE327769 LMA327755:LMA327769 LVW327755:LVW327769 MFS327755:MFS327769 MPO327755:MPO327769 MZK327755:MZK327769 NJG327755:NJG327769 NTC327755:NTC327769 OCY327755:OCY327769 OMU327755:OMU327769 OWQ327755:OWQ327769 PGM327755:PGM327769 PQI327755:PQI327769 QAE327755:QAE327769 QKA327755:QKA327769 QTW327755:QTW327769 RDS327755:RDS327769 RNO327755:RNO327769 RXK327755:RXK327769 SHG327755:SHG327769 SRC327755:SRC327769 TAY327755:TAY327769 TKU327755:TKU327769 TUQ327755:TUQ327769 UEM327755:UEM327769 UOI327755:UOI327769 UYE327755:UYE327769 VIA327755:VIA327769 VRW327755:VRW327769 WBS327755:WBS327769 WLO327755:WLO327769 WVK327755:WVK327769 C393291:C393305 IY393291:IY393305 SU393291:SU393305 ACQ393291:ACQ393305 AMM393291:AMM393305 AWI393291:AWI393305 BGE393291:BGE393305 BQA393291:BQA393305 BZW393291:BZW393305 CJS393291:CJS393305 CTO393291:CTO393305 DDK393291:DDK393305 DNG393291:DNG393305 DXC393291:DXC393305 EGY393291:EGY393305 EQU393291:EQU393305 FAQ393291:FAQ393305 FKM393291:FKM393305 FUI393291:FUI393305 GEE393291:GEE393305 GOA393291:GOA393305 GXW393291:GXW393305 HHS393291:HHS393305 HRO393291:HRO393305 IBK393291:IBK393305 ILG393291:ILG393305 IVC393291:IVC393305 JEY393291:JEY393305 JOU393291:JOU393305 JYQ393291:JYQ393305 KIM393291:KIM393305 KSI393291:KSI393305 LCE393291:LCE393305 LMA393291:LMA393305 LVW393291:LVW393305 MFS393291:MFS393305 MPO393291:MPO393305 MZK393291:MZK393305 NJG393291:NJG393305 NTC393291:NTC393305 OCY393291:OCY393305 OMU393291:OMU393305 OWQ393291:OWQ393305 PGM393291:PGM393305 PQI393291:PQI393305 QAE393291:QAE393305 QKA393291:QKA393305 QTW393291:QTW393305 RDS393291:RDS393305 RNO393291:RNO393305 RXK393291:RXK393305 SHG393291:SHG393305 SRC393291:SRC393305 TAY393291:TAY393305 TKU393291:TKU393305 TUQ393291:TUQ393305 UEM393291:UEM393305 UOI393291:UOI393305 UYE393291:UYE393305 VIA393291:VIA393305 VRW393291:VRW393305 WBS393291:WBS393305 WLO393291:WLO393305 WVK393291:WVK393305 C458827:C458841 IY458827:IY458841 SU458827:SU458841 ACQ458827:ACQ458841 AMM458827:AMM458841 AWI458827:AWI458841 BGE458827:BGE458841 BQA458827:BQA458841 BZW458827:BZW458841 CJS458827:CJS458841 CTO458827:CTO458841 DDK458827:DDK458841 DNG458827:DNG458841 DXC458827:DXC458841 EGY458827:EGY458841 EQU458827:EQU458841 FAQ458827:FAQ458841 FKM458827:FKM458841 FUI458827:FUI458841 GEE458827:GEE458841 GOA458827:GOA458841 GXW458827:GXW458841 HHS458827:HHS458841 HRO458827:HRO458841 IBK458827:IBK458841 ILG458827:ILG458841 IVC458827:IVC458841 JEY458827:JEY458841 JOU458827:JOU458841 JYQ458827:JYQ458841 KIM458827:KIM458841 KSI458827:KSI458841 LCE458827:LCE458841 LMA458827:LMA458841 LVW458827:LVW458841 MFS458827:MFS458841 MPO458827:MPO458841 MZK458827:MZK458841 NJG458827:NJG458841 NTC458827:NTC458841 OCY458827:OCY458841 OMU458827:OMU458841 OWQ458827:OWQ458841 PGM458827:PGM458841 PQI458827:PQI458841 QAE458827:QAE458841 QKA458827:QKA458841 QTW458827:QTW458841 RDS458827:RDS458841 RNO458827:RNO458841 RXK458827:RXK458841 SHG458827:SHG458841 SRC458827:SRC458841 TAY458827:TAY458841 TKU458827:TKU458841 TUQ458827:TUQ458841 UEM458827:UEM458841 UOI458827:UOI458841 UYE458827:UYE458841 VIA458827:VIA458841 VRW458827:VRW458841 WBS458827:WBS458841 WLO458827:WLO458841 WVK458827:WVK458841 C524363:C524377 IY524363:IY524377 SU524363:SU524377 ACQ524363:ACQ524377 AMM524363:AMM524377 AWI524363:AWI524377 BGE524363:BGE524377 BQA524363:BQA524377 BZW524363:BZW524377 CJS524363:CJS524377 CTO524363:CTO524377 DDK524363:DDK524377 DNG524363:DNG524377 DXC524363:DXC524377 EGY524363:EGY524377 EQU524363:EQU524377 FAQ524363:FAQ524377 FKM524363:FKM524377 FUI524363:FUI524377 GEE524363:GEE524377 GOA524363:GOA524377 GXW524363:GXW524377 HHS524363:HHS524377 HRO524363:HRO524377 IBK524363:IBK524377 ILG524363:ILG524377 IVC524363:IVC524377 JEY524363:JEY524377 JOU524363:JOU524377 JYQ524363:JYQ524377 KIM524363:KIM524377 KSI524363:KSI524377 LCE524363:LCE524377 LMA524363:LMA524377 LVW524363:LVW524377 MFS524363:MFS524377 MPO524363:MPO524377 MZK524363:MZK524377 NJG524363:NJG524377 NTC524363:NTC524377 OCY524363:OCY524377 OMU524363:OMU524377 OWQ524363:OWQ524377 PGM524363:PGM524377 PQI524363:PQI524377 QAE524363:QAE524377 QKA524363:QKA524377 QTW524363:QTW524377 RDS524363:RDS524377 RNO524363:RNO524377 RXK524363:RXK524377 SHG524363:SHG524377 SRC524363:SRC524377 TAY524363:TAY524377 TKU524363:TKU524377 TUQ524363:TUQ524377 UEM524363:UEM524377 UOI524363:UOI524377 UYE524363:UYE524377 VIA524363:VIA524377 VRW524363:VRW524377 WBS524363:WBS524377 WLO524363:WLO524377 WVK524363:WVK524377 C589899:C589913 IY589899:IY589913 SU589899:SU589913 ACQ589899:ACQ589913 AMM589899:AMM589913 AWI589899:AWI589913 BGE589899:BGE589913 BQA589899:BQA589913 BZW589899:BZW589913 CJS589899:CJS589913 CTO589899:CTO589913 DDK589899:DDK589913 DNG589899:DNG589913 DXC589899:DXC589913 EGY589899:EGY589913 EQU589899:EQU589913 FAQ589899:FAQ589913 FKM589899:FKM589913 FUI589899:FUI589913 GEE589899:GEE589913 GOA589899:GOA589913 GXW589899:GXW589913 HHS589899:HHS589913 HRO589899:HRO589913 IBK589899:IBK589913 ILG589899:ILG589913 IVC589899:IVC589913 JEY589899:JEY589913 JOU589899:JOU589913 JYQ589899:JYQ589913 KIM589899:KIM589913 KSI589899:KSI589913 LCE589899:LCE589913 LMA589899:LMA589913 LVW589899:LVW589913 MFS589899:MFS589913 MPO589899:MPO589913 MZK589899:MZK589913 NJG589899:NJG589913 NTC589899:NTC589913 OCY589899:OCY589913 OMU589899:OMU589913 OWQ589899:OWQ589913 PGM589899:PGM589913 PQI589899:PQI589913 QAE589899:QAE589913 QKA589899:QKA589913 QTW589899:QTW589913 RDS589899:RDS589913 RNO589899:RNO589913 RXK589899:RXK589913 SHG589899:SHG589913 SRC589899:SRC589913 TAY589899:TAY589913 TKU589899:TKU589913 TUQ589899:TUQ589913 UEM589899:UEM589913 UOI589899:UOI589913 UYE589899:UYE589913 VIA589899:VIA589913 VRW589899:VRW589913 WBS589899:WBS589913 WLO589899:WLO589913 WVK589899:WVK589913 C655435:C655449 IY655435:IY655449 SU655435:SU655449 ACQ655435:ACQ655449 AMM655435:AMM655449 AWI655435:AWI655449 BGE655435:BGE655449 BQA655435:BQA655449 BZW655435:BZW655449 CJS655435:CJS655449 CTO655435:CTO655449 DDK655435:DDK655449 DNG655435:DNG655449 DXC655435:DXC655449 EGY655435:EGY655449 EQU655435:EQU655449 FAQ655435:FAQ655449 FKM655435:FKM655449 FUI655435:FUI655449 GEE655435:GEE655449 GOA655435:GOA655449 GXW655435:GXW655449 HHS655435:HHS655449 HRO655435:HRO655449 IBK655435:IBK655449 ILG655435:ILG655449 IVC655435:IVC655449 JEY655435:JEY655449 JOU655435:JOU655449 JYQ655435:JYQ655449 KIM655435:KIM655449 KSI655435:KSI655449 LCE655435:LCE655449 LMA655435:LMA655449 LVW655435:LVW655449 MFS655435:MFS655449 MPO655435:MPO655449 MZK655435:MZK655449 NJG655435:NJG655449 NTC655435:NTC655449 OCY655435:OCY655449 OMU655435:OMU655449 OWQ655435:OWQ655449 PGM655435:PGM655449 PQI655435:PQI655449 QAE655435:QAE655449 QKA655435:QKA655449 QTW655435:QTW655449 RDS655435:RDS655449 RNO655435:RNO655449 RXK655435:RXK655449 SHG655435:SHG655449 SRC655435:SRC655449 TAY655435:TAY655449 TKU655435:TKU655449 TUQ655435:TUQ655449 UEM655435:UEM655449 UOI655435:UOI655449 UYE655435:UYE655449 VIA655435:VIA655449 VRW655435:VRW655449 WBS655435:WBS655449 WLO655435:WLO655449 WVK655435:WVK655449 C720971:C720985 IY720971:IY720985 SU720971:SU720985 ACQ720971:ACQ720985 AMM720971:AMM720985 AWI720971:AWI720985 BGE720971:BGE720985 BQA720971:BQA720985 BZW720971:BZW720985 CJS720971:CJS720985 CTO720971:CTO720985 DDK720971:DDK720985 DNG720971:DNG720985 DXC720971:DXC720985 EGY720971:EGY720985 EQU720971:EQU720985 FAQ720971:FAQ720985 FKM720971:FKM720985 FUI720971:FUI720985 GEE720971:GEE720985 GOA720971:GOA720985 GXW720971:GXW720985 HHS720971:HHS720985 HRO720971:HRO720985 IBK720971:IBK720985 ILG720971:ILG720985 IVC720971:IVC720985 JEY720971:JEY720985 JOU720971:JOU720985 JYQ720971:JYQ720985 KIM720971:KIM720985 KSI720971:KSI720985 LCE720971:LCE720985 LMA720971:LMA720985 LVW720971:LVW720985 MFS720971:MFS720985 MPO720971:MPO720985 MZK720971:MZK720985 NJG720971:NJG720985 NTC720971:NTC720985 OCY720971:OCY720985 OMU720971:OMU720985 OWQ720971:OWQ720985 PGM720971:PGM720985 PQI720971:PQI720985 QAE720971:QAE720985 QKA720971:QKA720985 QTW720971:QTW720985 RDS720971:RDS720985 RNO720971:RNO720985 RXK720971:RXK720985 SHG720971:SHG720985 SRC720971:SRC720985 TAY720971:TAY720985 TKU720971:TKU720985 TUQ720971:TUQ720985 UEM720971:UEM720985 UOI720971:UOI720985 UYE720971:UYE720985 VIA720971:VIA720985 VRW720971:VRW720985 WBS720971:WBS720985 WLO720971:WLO720985 WVK720971:WVK720985 C786507:C786521 IY786507:IY786521 SU786507:SU786521 ACQ786507:ACQ786521 AMM786507:AMM786521 AWI786507:AWI786521 BGE786507:BGE786521 BQA786507:BQA786521 BZW786507:BZW786521 CJS786507:CJS786521 CTO786507:CTO786521 DDK786507:DDK786521 DNG786507:DNG786521 DXC786507:DXC786521 EGY786507:EGY786521 EQU786507:EQU786521 FAQ786507:FAQ786521 FKM786507:FKM786521 FUI786507:FUI786521 GEE786507:GEE786521 GOA786507:GOA786521 GXW786507:GXW786521 HHS786507:HHS786521 HRO786507:HRO786521 IBK786507:IBK786521 ILG786507:ILG786521 IVC786507:IVC786521 JEY786507:JEY786521 JOU786507:JOU786521 JYQ786507:JYQ786521 KIM786507:KIM786521 KSI786507:KSI786521 LCE786507:LCE786521 LMA786507:LMA786521 LVW786507:LVW786521 MFS786507:MFS786521 MPO786507:MPO786521 MZK786507:MZK786521 NJG786507:NJG786521 NTC786507:NTC786521 OCY786507:OCY786521 OMU786507:OMU786521 OWQ786507:OWQ786521 PGM786507:PGM786521 PQI786507:PQI786521 QAE786507:QAE786521 QKA786507:QKA786521 QTW786507:QTW786521 RDS786507:RDS786521 RNO786507:RNO786521 RXK786507:RXK786521 SHG786507:SHG786521 SRC786507:SRC786521 TAY786507:TAY786521 TKU786507:TKU786521 TUQ786507:TUQ786521 UEM786507:UEM786521 UOI786507:UOI786521 UYE786507:UYE786521 VIA786507:VIA786521 VRW786507:VRW786521 WBS786507:WBS786521 WLO786507:WLO786521 WVK786507:WVK786521 C852043:C852057 IY852043:IY852057 SU852043:SU852057 ACQ852043:ACQ852057 AMM852043:AMM852057 AWI852043:AWI852057 BGE852043:BGE852057 BQA852043:BQA852057 BZW852043:BZW852057 CJS852043:CJS852057 CTO852043:CTO852057 DDK852043:DDK852057 DNG852043:DNG852057 DXC852043:DXC852057 EGY852043:EGY852057 EQU852043:EQU852057 FAQ852043:FAQ852057 FKM852043:FKM852057 FUI852043:FUI852057 GEE852043:GEE852057 GOA852043:GOA852057 GXW852043:GXW852057 HHS852043:HHS852057 HRO852043:HRO852057 IBK852043:IBK852057 ILG852043:ILG852057 IVC852043:IVC852057 JEY852043:JEY852057 JOU852043:JOU852057 JYQ852043:JYQ852057 KIM852043:KIM852057 KSI852043:KSI852057 LCE852043:LCE852057 LMA852043:LMA852057 LVW852043:LVW852057 MFS852043:MFS852057 MPO852043:MPO852057 MZK852043:MZK852057 NJG852043:NJG852057 NTC852043:NTC852057 OCY852043:OCY852057 OMU852043:OMU852057 OWQ852043:OWQ852057 PGM852043:PGM852057 PQI852043:PQI852057 QAE852043:QAE852057 QKA852043:QKA852057 QTW852043:QTW852057 RDS852043:RDS852057 RNO852043:RNO852057 RXK852043:RXK852057 SHG852043:SHG852057 SRC852043:SRC852057 TAY852043:TAY852057 TKU852043:TKU852057 TUQ852043:TUQ852057 UEM852043:UEM852057 UOI852043:UOI852057 UYE852043:UYE852057 VIA852043:VIA852057 VRW852043:VRW852057 WBS852043:WBS852057 WLO852043:WLO852057 WVK852043:WVK852057 C917579:C917593 IY917579:IY917593 SU917579:SU917593 ACQ917579:ACQ917593 AMM917579:AMM917593 AWI917579:AWI917593 BGE917579:BGE917593 BQA917579:BQA917593 BZW917579:BZW917593 CJS917579:CJS917593 CTO917579:CTO917593 DDK917579:DDK917593 DNG917579:DNG917593 DXC917579:DXC917593 EGY917579:EGY917593 EQU917579:EQU917593 FAQ917579:FAQ917593 FKM917579:FKM917593 FUI917579:FUI917593 GEE917579:GEE917593 GOA917579:GOA917593 GXW917579:GXW917593 HHS917579:HHS917593 HRO917579:HRO917593 IBK917579:IBK917593 ILG917579:ILG917593 IVC917579:IVC917593 JEY917579:JEY917593 JOU917579:JOU917593 JYQ917579:JYQ917593 KIM917579:KIM917593 KSI917579:KSI917593 LCE917579:LCE917593 LMA917579:LMA917593 LVW917579:LVW917593 MFS917579:MFS917593 MPO917579:MPO917593 MZK917579:MZK917593 NJG917579:NJG917593 NTC917579:NTC917593 OCY917579:OCY917593 OMU917579:OMU917593 OWQ917579:OWQ917593 PGM917579:PGM917593 PQI917579:PQI917593 QAE917579:QAE917593 QKA917579:QKA917593 QTW917579:QTW917593 RDS917579:RDS917593 RNO917579:RNO917593 RXK917579:RXK917593 SHG917579:SHG917593 SRC917579:SRC917593 TAY917579:TAY917593 TKU917579:TKU917593 TUQ917579:TUQ917593 UEM917579:UEM917593 UOI917579:UOI917593 UYE917579:UYE917593 VIA917579:VIA917593 VRW917579:VRW917593 WBS917579:WBS917593 WLO917579:WLO917593 WVK917579:WVK917593 C983115:C983129 IY983115:IY983129 SU983115:SU983129 ACQ983115:ACQ983129 AMM983115:AMM983129 AWI983115:AWI983129 BGE983115:BGE983129 BQA983115:BQA983129 BZW983115:BZW983129 CJS983115:CJS983129 CTO983115:CTO983129 DDK983115:DDK983129 DNG983115:DNG983129 DXC983115:DXC983129 EGY983115:EGY983129 EQU983115:EQU983129 FAQ983115:FAQ983129 FKM983115:FKM983129 FUI983115:FUI983129 GEE983115:GEE983129 GOA983115:GOA983129 GXW983115:GXW983129 HHS983115:HHS983129 HRO983115:HRO983129 IBK983115:IBK983129 ILG983115:ILG983129 IVC983115:IVC983129 JEY983115:JEY983129 JOU983115:JOU983129 JYQ983115:JYQ983129 KIM983115:KIM983129 KSI983115:KSI983129 LCE983115:LCE983129 LMA983115:LMA983129 LVW983115:LVW983129 MFS983115:MFS983129 MPO983115:MPO983129 MZK983115:MZK983129 NJG983115:NJG983129 NTC983115:NTC983129 OCY983115:OCY983129 OMU983115:OMU983129 OWQ983115:OWQ983129 PGM983115:PGM983129 PQI983115:PQI983129 QAE983115:QAE983129 QKA983115:QKA983129 QTW983115:QTW983129 RDS983115:RDS983129 RNO983115:RNO983129 RXK983115:RXK983129 SHG983115:SHG983129 SRC983115:SRC983129 TAY983115:TAY983129 TKU983115:TKU983129 TUQ983115:TUQ983129 UEM983115:UEM983129 UOI983115:UOI983129 UYE983115:UYE983129 VIA983115:VIA983129 VRW983115:VRW983129 WBS983115:WBS983129 WLO983115:WLO983129 WVK983115:WVK983129">
      <formula1>"Bathroom,Bedroom,Closet,Dining Room,Family Room,Hall,Kitchen,Living Room,Office,Utility Room,Other"</formula1>
    </dataValidation>
    <dataValidation type="list" allowBlank="1" showInputMessage="1" showErrorMessage="1" sqref="E47:E61 JA47:JA61 SW47:SW61 ACS47:ACS61 AMO47:AMO61 AWK47:AWK61 BGG47:BGG61 BQC47:BQC61 BZY47:BZY61 CJU47:CJU61 CTQ47:CTQ61 DDM47:DDM61 DNI47:DNI61 DXE47:DXE61 EHA47:EHA61 EQW47:EQW61 FAS47:FAS61 FKO47:FKO61 FUK47:FUK61 GEG47:GEG61 GOC47:GOC61 GXY47:GXY61 HHU47:HHU61 HRQ47:HRQ61 IBM47:IBM61 ILI47:ILI61 IVE47:IVE61 JFA47:JFA61 JOW47:JOW61 JYS47:JYS61 KIO47:KIO61 KSK47:KSK61 LCG47:LCG61 LMC47:LMC61 LVY47:LVY61 MFU47:MFU61 MPQ47:MPQ61 MZM47:MZM61 NJI47:NJI61 NTE47:NTE61 ODA47:ODA61 OMW47:OMW61 OWS47:OWS61 PGO47:PGO61 PQK47:PQK61 QAG47:QAG61 QKC47:QKC61 QTY47:QTY61 RDU47:RDU61 RNQ47:RNQ61 RXM47:RXM61 SHI47:SHI61 SRE47:SRE61 TBA47:TBA61 TKW47:TKW61 TUS47:TUS61 UEO47:UEO61 UOK47:UOK61 UYG47:UYG61 VIC47:VIC61 VRY47:VRY61 WBU47:WBU61 WLQ47:WLQ61 WVM47:WVM61 E65583:E65597 JA65583:JA65597 SW65583:SW65597 ACS65583:ACS65597 AMO65583:AMO65597 AWK65583:AWK65597 BGG65583:BGG65597 BQC65583:BQC65597 BZY65583:BZY65597 CJU65583:CJU65597 CTQ65583:CTQ65597 DDM65583:DDM65597 DNI65583:DNI65597 DXE65583:DXE65597 EHA65583:EHA65597 EQW65583:EQW65597 FAS65583:FAS65597 FKO65583:FKO65597 FUK65583:FUK65597 GEG65583:GEG65597 GOC65583:GOC65597 GXY65583:GXY65597 HHU65583:HHU65597 HRQ65583:HRQ65597 IBM65583:IBM65597 ILI65583:ILI65597 IVE65583:IVE65597 JFA65583:JFA65597 JOW65583:JOW65597 JYS65583:JYS65597 KIO65583:KIO65597 KSK65583:KSK65597 LCG65583:LCG65597 LMC65583:LMC65597 LVY65583:LVY65597 MFU65583:MFU65597 MPQ65583:MPQ65597 MZM65583:MZM65597 NJI65583:NJI65597 NTE65583:NTE65597 ODA65583:ODA65597 OMW65583:OMW65597 OWS65583:OWS65597 PGO65583:PGO65597 PQK65583:PQK65597 QAG65583:QAG65597 QKC65583:QKC65597 QTY65583:QTY65597 RDU65583:RDU65597 RNQ65583:RNQ65597 RXM65583:RXM65597 SHI65583:SHI65597 SRE65583:SRE65597 TBA65583:TBA65597 TKW65583:TKW65597 TUS65583:TUS65597 UEO65583:UEO65597 UOK65583:UOK65597 UYG65583:UYG65597 VIC65583:VIC65597 VRY65583:VRY65597 WBU65583:WBU65597 WLQ65583:WLQ65597 WVM65583:WVM65597 E131119:E131133 JA131119:JA131133 SW131119:SW131133 ACS131119:ACS131133 AMO131119:AMO131133 AWK131119:AWK131133 BGG131119:BGG131133 BQC131119:BQC131133 BZY131119:BZY131133 CJU131119:CJU131133 CTQ131119:CTQ131133 DDM131119:DDM131133 DNI131119:DNI131133 DXE131119:DXE131133 EHA131119:EHA131133 EQW131119:EQW131133 FAS131119:FAS131133 FKO131119:FKO131133 FUK131119:FUK131133 GEG131119:GEG131133 GOC131119:GOC131133 GXY131119:GXY131133 HHU131119:HHU131133 HRQ131119:HRQ131133 IBM131119:IBM131133 ILI131119:ILI131133 IVE131119:IVE131133 JFA131119:JFA131133 JOW131119:JOW131133 JYS131119:JYS131133 KIO131119:KIO131133 KSK131119:KSK131133 LCG131119:LCG131133 LMC131119:LMC131133 LVY131119:LVY131133 MFU131119:MFU131133 MPQ131119:MPQ131133 MZM131119:MZM131133 NJI131119:NJI131133 NTE131119:NTE131133 ODA131119:ODA131133 OMW131119:OMW131133 OWS131119:OWS131133 PGO131119:PGO131133 PQK131119:PQK131133 QAG131119:QAG131133 QKC131119:QKC131133 QTY131119:QTY131133 RDU131119:RDU131133 RNQ131119:RNQ131133 RXM131119:RXM131133 SHI131119:SHI131133 SRE131119:SRE131133 TBA131119:TBA131133 TKW131119:TKW131133 TUS131119:TUS131133 UEO131119:UEO131133 UOK131119:UOK131133 UYG131119:UYG131133 VIC131119:VIC131133 VRY131119:VRY131133 WBU131119:WBU131133 WLQ131119:WLQ131133 WVM131119:WVM131133 E196655:E196669 JA196655:JA196669 SW196655:SW196669 ACS196655:ACS196669 AMO196655:AMO196669 AWK196655:AWK196669 BGG196655:BGG196669 BQC196655:BQC196669 BZY196655:BZY196669 CJU196655:CJU196669 CTQ196655:CTQ196669 DDM196655:DDM196669 DNI196655:DNI196669 DXE196655:DXE196669 EHA196655:EHA196669 EQW196655:EQW196669 FAS196655:FAS196669 FKO196655:FKO196669 FUK196655:FUK196669 GEG196655:GEG196669 GOC196655:GOC196669 GXY196655:GXY196669 HHU196655:HHU196669 HRQ196655:HRQ196669 IBM196655:IBM196669 ILI196655:ILI196669 IVE196655:IVE196669 JFA196655:JFA196669 JOW196655:JOW196669 JYS196655:JYS196669 KIO196655:KIO196669 KSK196655:KSK196669 LCG196655:LCG196669 LMC196655:LMC196669 LVY196655:LVY196669 MFU196655:MFU196669 MPQ196655:MPQ196669 MZM196655:MZM196669 NJI196655:NJI196669 NTE196655:NTE196669 ODA196655:ODA196669 OMW196655:OMW196669 OWS196655:OWS196669 PGO196655:PGO196669 PQK196655:PQK196669 QAG196655:QAG196669 QKC196655:QKC196669 QTY196655:QTY196669 RDU196655:RDU196669 RNQ196655:RNQ196669 RXM196655:RXM196669 SHI196655:SHI196669 SRE196655:SRE196669 TBA196655:TBA196669 TKW196655:TKW196669 TUS196655:TUS196669 UEO196655:UEO196669 UOK196655:UOK196669 UYG196655:UYG196669 VIC196655:VIC196669 VRY196655:VRY196669 WBU196655:WBU196669 WLQ196655:WLQ196669 WVM196655:WVM196669 E262191:E262205 JA262191:JA262205 SW262191:SW262205 ACS262191:ACS262205 AMO262191:AMO262205 AWK262191:AWK262205 BGG262191:BGG262205 BQC262191:BQC262205 BZY262191:BZY262205 CJU262191:CJU262205 CTQ262191:CTQ262205 DDM262191:DDM262205 DNI262191:DNI262205 DXE262191:DXE262205 EHA262191:EHA262205 EQW262191:EQW262205 FAS262191:FAS262205 FKO262191:FKO262205 FUK262191:FUK262205 GEG262191:GEG262205 GOC262191:GOC262205 GXY262191:GXY262205 HHU262191:HHU262205 HRQ262191:HRQ262205 IBM262191:IBM262205 ILI262191:ILI262205 IVE262191:IVE262205 JFA262191:JFA262205 JOW262191:JOW262205 JYS262191:JYS262205 KIO262191:KIO262205 KSK262191:KSK262205 LCG262191:LCG262205 LMC262191:LMC262205 LVY262191:LVY262205 MFU262191:MFU262205 MPQ262191:MPQ262205 MZM262191:MZM262205 NJI262191:NJI262205 NTE262191:NTE262205 ODA262191:ODA262205 OMW262191:OMW262205 OWS262191:OWS262205 PGO262191:PGO262205 PQK262191:PQK262205 QAG262191:QAG262205 QKC262191:QKC262205 QTY262191:QTY262205 RDU262191:RDU262205 RNQ262191:RNQ262205 RXM262191:RXM262205 SHI262191:SHI262205 SRE262191:SRE262205 TBA262191:TBA262205 TKW262191:TKW262205 TUS262191:TUS262205 UEO262191:UEO262205 UOK262191:UOK262205 UYG262191:UYG262205 VIC262191:VIC262205 VRY262191:VRY262205 WBU262191:WBU262205 WLQ262191:WLQ262205 WVM262191:WVM262205 E327727:E327741 JA327727:JA327741 SW327727:SW327741 ACS327727:ACS327741 AMO327727:AMO327741 AWK327727:AWK327741 BGG327727:BGG327741 BQC327727:BQC327741 BZY327727:BZY327741 CJU327727:CJU327741 CTQ327727:CTQ327741 DDM327727:DDM327741 DNI327727:DNI327741 DXE327727:DXE327741 EHA327727:EHA327741 EQW327727:EQW327741 FAS327727:FAS327741 FKO327727:FKO327741 FUK327727:FUK327741 GEG327727:GEG327741 GOC327727:GOC327741 GXY327727:GXY327741 HHU327727:HHU327741 HRQ327727:HRQ327741 IBM327727:IBM327741 ILI327727:ILI327741 IVE327727:IVE327741 JFA327727:JFA327741 JOW327727:JOW327741 JYS327727:JYS327741 KIO327727:KIO327741 KSK327727:KSK327741 LCG327727:LCG327741 LMC327727:LMC327741 LVY327727:LVY327741 MFU327727:MFU327741 MPQ327727:MPQ327741 MZM327727:MZM327741 NJI327727:NJI327741 NTE327727:NTE327741 ODA327727:ODA327741 OMW327727:OMW327741 OWS327727:OWS327741 PGO327727:PGO327741 PQK327727:PQK327741 QAG327727:QAG327741 QKC327727:QKC327741 QTY327727:QTY327741 RDU327727:RDU327741 RNQ327727:RNQ327741 RXM327727:RXM327741 SHI327727:SHI327741 SRE327727:SRE327741 TBA327727:TBA327741 TKW327727:TKW327741 TUS327727:TUS327741 UEO327727:UEO327741 UOK327727:UOK327741 UYG327727:UYG327741 VIC327727:VIC327741 VRY327727:VRY327741 WBU327727:WBU327741 WLQ327727:WLQ327741 WVM327727:WVM327741 E393263:E393277 JA393263:JA393277 SW393263:SW393277 ACS393263:ACS393277 AMO393263:AMO393277 AWK393263:AWK393277 BGG393263:BGG393277 BQC393263:BQC393277 BZY393263:BZY393277 CJU393263:CJU393277 CTQ393263:CTQ393277 DDM393263:DDM393277 DNI393263:DNI393277 DXE393263:DXE393277 EHA393263:EHA393277 EQW393263:EQW393277 FAS393263:FAS393277 FKO393263:FKO393277 FUK393263:FUK393277 GEG393263:GEG393277 GOC393263:GOC393277 GXY393263:GXY393277 HHU393263:HHU393277 HRQ393263:HRQ393277 IBM393263:IBM393277 ILI393263:ILI393277 IVE393263:IVE393277 JFA393263:JFA393277 JOW393263:JOW393277 JYS393263:JYS393277 KIO393263:KIO393277 KSK393263:KSK393277 LCG393263:LCG393277 LMC393263:LMC393277 LVY393263:LVY393277 MFU393263:MFU393277 MPQ393263:MPQ393277 MZM393263:MZM393277 NJI393263:NJI393277 NTE393263:NTE393277 ODA393263:ODA393277 OMW393263:OMW393277 OWS393263:OWS393277 PGO393263:PGO393277 PQK393263:PQK393277 QAG393263:QAG393277 QKC393263:QKC393277 QTY393263:QTY393277 RDU393263:RDU393277 RNQ393263:RNQ393277 RXM393263:RXM393277 SHI393263:SHI393277 SRE393263:SRE393277 TBA393263:TBA393277 TKW393263:TKW393277 TUS393263:TUS393277 UEO393263:UEO393277 UOK393263:UOK393277 UYG393263:UYG393277 VIC393263:VIC393277 VRY393263:VRY393277 WBU393263:WBU393277 WLQ393263:WLQ393277 WVM393263:WVM393277 E458799:E458813 JA458799:JA458813 SW458799:SW458813 ACS458799:ACS458813 AMO458799:AMO458813 AWK458799:AWK458813 BGG458799:BGG458813 BQC458799:BQC458813 BZY458799:BZY458813 CJU458799:CJU458813 CTQ458799:CTQ458813 DDM458799:DDM458813 DNI458799:DNI458813 DXE458799:DXE458813 EHA458799:EHA458813 EQW458799:EQW458813 FAS458799:FAS458813 FKO458799:FKO458813 FUK458799:FUK458813 GEG458799:GEG458813 GOC458799:GOC458813 GXY458799:GXY458813 HHU458799:HHU458813 HRQ458799:HRQ458813 IBM458799:IBM458813 ILI458799:ILI458813 IVE458799:IVE458813 JFA458799:JFA458813 JOW458799:JOW458813 JYS458799:JYS458813 KIO458799:KIO458813 KSK458799:KSK458813 LCG458799:LCG458813 LMC458799:LMC458813 LVY458799:LVY458813 MFU458799:MFU458813 MPQ458799:MPQ458813 MZM458799:MZM458813 NJI458799:NJI458813 NTE458799:NTE458813 ODA458799:ODA458813 OMW458799:OMW458813 OWS458799:OWS458813 PGO458799:PGO458813 PQK458799:PQK458813 QAG458799:QAG458813 QKC458799:QKC458813 QTY458799:QTY458813 RDU458799:RDU458813 RNQ458799:RNQ458813 RXM458799:RXM458813 SHI458799:SHI458813 SRE458799:SRE458813 TBA458799:TBA458813 TKW458799:TKW458813 TUS458799:TUS458813 UEO458799:UEO458813 UOK458799:UOK458813 UYG458799:UYG458813 VIC458799:VIC458813 VRY458799:VRY458813 WBU458799:WBU458813 WLQ458799:WLQ458813 WVM458799:WVM458813 E524335:E524349 JA524335:JA524349 SW524335:SW524349 ACS524335:ACS524349 AMO524335:AMO524349 AWK524335:AWK524349 BGG524335:BGG524349 BQC524335:BQC524349 BZY524335:BZY524349 CJU524335:CJU524349 CTQ524335:CTQ524349 DDM524335:DDM524349 DNI524335:DNI524349 DXE524335:DXE524349 EHA524335:EHA524349 EQW524335:EQW524349 FAS524335:FAS524349 FKO524335:FKO524349 FUK524335:FUK524349 GEG524335:GEG524349 GOC524335:GOC524349 GXY524335:GXY524349 HHU524335:HHU524349 HRQ524335:HRQ524349 IBM524335:IBM524349 ILI524335:ILI524349 IVE524335:IVE524349 JFA524335:JFA524349 JOW524335:JOW524349 JYS524335:JYS524349 KIO524335:KIO524349 KSK524335:KSK524349 LCG524335:LCG524349 LMC524335:LMC524349 LVY524335:LVY524349 MFU524335:MFU524349 MPQ524335:MPQ524349 MZM524335:MZM524349 NJI524335:NJI524349 NTE524335:NTE524349 ODA524335:ODA524349 OMW524335:OMW524349 OWS524335:OWS524349 PGO524335:PGO524349 PQK524335:PQK524349 QAG524335:QAG524349 QKC524335:QKC524349 QTY524335:QTY524349 RDU524335:RDU524349 RNQ524335:RNQ524349 RXM524335:RXM524349 SHI524335:SHI524349 SRE524335:SRE524349 TBA524335:TBA524349 TKW524335:TKW524349 TUS524335:TUS524349 UEO524335:UEO524349 UOK524335:UOK524349 UYG524335:UYG524349 VIC524335:VIC524349 VRY524335:VRY524349 WBU524335:WBU524349 WLQ524335:WLQ524349 WVM524335:WVM524349 E589871:E589885 JA589871:JA589885 SW589871:SW589885 ACS589871:ACS589885 AMO589871:AMO589885 AWK589871:AWK589885 BGG589871:BGG589885 BQC589871:BQC589885 BZY589871:BZY589885 CJU589871:CJU589885 CTQ589871:CTQ589885 DDM589871:DDM589885 DNI589871:DNI589885 DXE589871:DXE589885 EHA589871:EHA589885 EQW589871:EQW589885 FAS589871:FAS589885 FKO589871:FKO589885 FUK589871:FUK589885 GEG589871:GEG589885 GOC589871:GOC589885 GXY589871:GXY589885 HHU589871:HHU589885 HRQ589871:HRQ589885 IBM589871:IBM589885 ILI589871:ILI589885 IVE589871:IVE589885 JFA589871:JFA589885 JOW589871:JOW589885 JYS589871:JYS589885 KIO589871:KIO589885 KSK589871:KSK589885 LCG589871:LCG589885 LMC589871:LMC589885 LVY589871:LVY589885 MFU589871:MFU589885 MPQ589871:MPQ589885 MZM589871:MZM589885 NJI589871:NJI589885 NTE589871:NTE589885 ODA589871:ODA589885 OMW589871:OMW589885 OWS589871:OWS589885 PGO589871:PGO589885 PQK589871:PQK589885 QAG589871:QAG589885 QKC589871:QKC589885 QTY589871:QTY589885 RDU589871:RDU589885 RNQ589871:RNQ589885 RXM589871:RXM589885 SHI589871:SHI589885 SRE589871:SRE589885 TBA589871:TBA589885 TKW589871:TKW589885 TUS589871:TUS589885 UEO589871:UEO589885 UOK589871:UOK589885 UYG589871:UYG589885 VIC589871:VIC589885 VRY589871:VRY589885 WBU589871:WBU589885 WLQ589871:WLQ589885 WVM589871:WVM589885 E655407:E655421 JA655407:JA655421 SW655407:SW655421 ACS655407:ACS655421 AMO655407:AMO655421 AWK655407:AWK655421 BGG655407:BGG655421 BQC655407:BQC655421 BZY655407:BZY655421 CJU655407:CJU655421 CTQ655407:CTQ655421 DDM655407:DDM655421 DNI655407:DNI655421 DXE655407:DXE655421 EHA655407:EHA655421 EQW655407:EQW655421 FAS655407:FAS655421 FKO655407:FKO655421 FUK655407:FUK655421 GEG655407:GEG655421 GOC655407:GOC655421 GXY655407:GXY655421 HHU655407:HHU655421 HRQ655407:HRQ655421 IBM655407:IBM655421 ILI655407:ILI655421 IVE655407:IVE655421 JFA655407:JFA655421 JOW655407:JOW655421 JYS655407:JYS655421 KIO655407:KIO655421 KSK655407:KSK655421 LCG655407:LCG655421 LMC655407:LMC655421 LVY655407:LVY655421 MFU655407:MFU655421 MPQ655407:MPQ655421 MZM655407:MZM655421 NJI655407:NJI655421 NTE655407:NTE655421 ODA655407:ODA655421 OMW655407:OMW655421 OWS655407:OWS655421 PGO655407:PGO655421 PQK655407:PQK655421 QAG655407:QAG655421 QKC655407:QKC655421 QTY655407:QTY655421 RDU655407:RDU655421 RNQ655407:RNQ655421 RXM655407:RXM655421 SHI655407:SHI655421 SRE655407:SRE655421 TBA655407:TBA655421 TKW655407:TKW655421 TUS655407:TUS655421 UEO655407:UEO655421 UOK655407:UOK655421 UYG655407:UYG655421 VIC655407:VIC655421 VRY655407:VRY655421 WBU655407:WBU655421 WLQ655407:WLQ655421 WVM655407:WVM655421 E720943:E720957 JA720943:JA720957 SW720943:SW720957 ACS720943:ACS720957 AMO720943:AMO720957 AWK720943:AWK720957 BGG720943:BGG720957 BQC720943:BQC720957 BZY720943:BZY720957 CJU720943:CJU720957 CTQ720943:CTQ720957 DDM720943:DDM720957 DNI720943:DNI720957 DXE720943:DXE720957 EHA720943:EHA720957 EQW720943:EQW720957 FAS720943:FAS720957 FKO720943:FKO720957 FUK720943:FUK720957 GEG720943:GEG720957 GOC720943:GOC720957 GXY720943:GXY720957 HHU720943:HHU720957 HRQ720943:HRQ720957 IBM720943:IBM720957 ILI720943:ILI720957 IVE720943:IVE720957 JFA720943:JFA720957 JOW720943:JOW720957 JYS720943:JYS720957 KIO720943:KIO720957 KSK720943:KSK720957 LCG720943:LCG720957 LMC720943:LMC720957 LVY720943:LVY720957 MFU720943:MFU720957 MPQ720943:MPQ720957 MZM720943:MZM720957 NJI720943:NJI720957 NTE720943:NTE720957 ODA720943:ODA720957 OMW720943:OMW720957 OWS720943:OWS720957 PGO720943:PGO720957 PQK720943:PQK720957 QAG720943:QAG720957 QKC720943:QKC720957 QTY720943:QTY720957 RDU720943:RDU720957 RNQ720943:RNQ720957 RXM720943:RXM720957 SHI720943:SHI720957 SRE720943:SRE720957 TBA720943:TBA720957 TKW720943:TKW720957 TUS720943:TUS720957 UEO720943:UEO720957 UOK720943:UOK720957 UYG720943:UYG720957 VIC720943:VIC720957 VRY720943:VRY720957 WBU720943:WBU720957 WLQ720943:WLQ720957 WVM720943:WVM720957 E786479:E786493 JA786479:JA786493 SW786479:SW786493 ACS786479:ACS786493 AMO786479:AMO786493 AWK786479:AWK786493 BGG786479:BGG786493 BQC786479:BQC786493 BZY786479:BZY786493 CJU786479:CJU786493 CTQ786479:CTQ786493 DDM786479:DDM786493 DNI786479:DNI786493 DXE786479:DXE786493 EHA786479:EHA786493 EQW786479:EQW786493 FAS786479:FAS786493 FKO786479:FKO786493 FUK786479:FUK786493 GEG786479:GEG786493 GOC786479:GOC786493 GXY786479:GXY786493 HHU786479:HHU786493 HRQ786479:HRQ786493 IBM786479:IBM786493 ILI786479:ILI786493 IVE786479:IVE786493 JFA786479:JFA786493 JOW786479:JOW786493 JYS786479:JYS786493 KIO786479:KIO786493 KSK786479:KSK786493 LCG786479:LCG786493 LMC786479:LMC786493 LVY786479:LVY786493 MFU786479:MFU786493 MPQ786479:MPQ786493 MZM786479:MZM786493 NJI786479:NJI786493 NTE786479:NTE786493 ODA786479:ODA786493 OMW786479:OMW786493 OWS786479:OWS786493 PGO786479:PGO786493 PQK786479:PQK786493 QAG786479:QAG786493 QKC786479:QKC786493 QTY786479:QTY786493 RDU786479:RDU786493 RNQ786479:RNQ786493 RXM786479:RXM786493 SHI786479:SHI786493 SRE786479:SRE786493 TBA786479:TBA786493 TKW786479:TKW786493 TUS786479:TUS786493 UEO786479:UEO786493 UOK786479:UOK786493 UYG786479:UYG786493 VIC786479:VIC786493 VRY786479:VRY786493 WBU786479:WBU786493 WLQ786479:WLQ786493 WVM786479:WVM786493 E852015:E852029 JA852015:JA852029 SW852015:SW852029 ACS852015:ACS852029 AMO852015:AMO852029 AWK852015:AWK852029 BGG852015:BGG852029 BQC852015:BQC852029 BZY852015:BZY852029 CJU852015:CJU852029 CTQ852015:CTQ852029 DDM852015:DDM852029 DNI852015:DNI852029 DXE852015:DXE852029 EHA852015:EHA852029 EQW852015:EQW852029 FAS852015:FAS852029 FKO852015:FKO852029 FUK852015:FUK852029 GEG852015:GEG852029 GOC852015:GOC852029 GXY852015:GXY852029 HHU852015:HHU852029 HRQ852015:HRQ852029 IBM852015:IBM852029 ILI852015:ILI852029 IVE852015:IVE852029 JFA852015:JFA852029 JOW852015:JOW852029 JYS852015:JYS852029 KIO852015:KIO852029 KSK852015:KSK852029 LCG852015:LCG852029 LMC852015:LMC852029 LVY852015:LVY852029 MFU852015:MFU852029 MPQ852015:MPQ852029 MZM852015:MZM852029 NJI852015:NJI852029 NTE852015:NTE852029 ODA852015:ODA852029 OMW852015:OMW852029 OWS852015:OWS852029 PGO852015:PGO852029 PQK852015:PQK852029 QAG852015:QAG852029 QKC852015:QKC852029 QTY852015:QTY852029 RDU852015:RDU852029 RNQ852015:RNQ852029 RXM852015:RXM852029 SHI852015:SHI852029 SRE852015:SRE852029 TBA852015:TBA852029 TKW852015:TKW852029 TUS852015:TUS852029 UEO852015:UEO852029 UOK852015:UOK852029 UYG852015:UYG852029 VIC852015:VIC852029 VRY852015:VRY852029 WBU852015:WBU852029 WLQ852015:WLQ852029 WVM852015:WVM852029 E917551:E917565 JA917551:JA917565 SW917551:SW917565 ACS917551:ACS917565 AMO917551:AMO917565 AWK917551:AWK917565 BGG917551:BGG917565 BQC917551:BQC917565 BZY917551:BZY917565 CJU917551:CJU917565 CTQ917551:CTQ917565 DDM917551:DDM917565 DNI917551:DNI917565 DXE917551:DXE917565 EHA917551:EHA917565 EQW917551:EQW917565 FAS917551:FAS917565 FKO917551:FKO917565 FUK917551:FUK917565 GEG917551:GEG917565 GOC917551:GOC917565 GXY917551:GXY917565 HHU917551:HHU917565 HRQ917551:HRQ917565 IBM917551:IBM917565 ILI917551:ILI917565 IVE917551:IVE917565 JFA917551:JFA917565 JOW917551:JOW917565 JYS917551:JYS917565 KIO917551:KIO917565 KSK917551:KSK917565 LCG917551:LCG917565 LMC917551:LMC917565 LVY917551:LVY917565 MFU917551:MFU917565 MPQ917551:MPQ917565 MZM917551:MZM917565 NJI917551:NJI917565 NTE917551:NTE917565 ODA917551:ODA917565 OMW917551:OMW917565 OWS917551:OWS917565 PGO917551:PGO917565 PQK917551:PQK917565 QAG917551:QAG917565 QKC917551:QKC917565 QTY917551:QTY917565 RDU917551:RDU917565 RNQ917551:RNQ917565 RXM917551:RXM917565 SHI917551:SHI917565 SRE917551:SRE917565 TBA917551:TBA917565 TKW917551:TKW917565 TUS917551:TUS917565 UEO917551:UEO917565 UOK917551:UOK917565 UYG917551:UYG917565 VIC917551:VIC917565 VRY917551:VRY917565 WBU917551:WBU917565 WLQ917551:WLQ917565 WVM917551:WVM917565 E983087:E983101 JA983087:JA983101 SW983087:SW983101 ACS983087:ACS983101 AMO983087:AMO983101 AWK983087:AWK983101 BGG983087:BGG983101 BQC983087:BQC983101 BZY983087:BZY983101 CJU983087:CJU983101 CTQ983087:CTQ983101 DDM983087:DDM983101 DNI983087:DNI983101 DXE983087:DXE983101 EHA983087:EHA983101 EQW983087:EQW983101 FAS983087:FAS983101 FKO983087:FKO983101 FUK983087:FUK983101 GEG983087:GEG983101 GOC983087:GOC983101 GXY983087:GXY983101 HHU983087:HHU983101 HRQ983087:HRQ983101 IBM983087:IBM983101 ILI983087:ILI983101 IVE983087:IVE983101 JFA983087:JFA983101 JOW983087:JOW983101 JYS983087:JYS983101 KIO983087:KIO983101 KSK983087:KSK983101 LCG983087:LCG983101 LMC983087:LMC983101 LVY983087:LVY983101 MFU983087:MFU983101 MPQ983087:MPQ983101 MZM983087:MZM983101 NJI983087:NJI983101 NTE983087:NTE983101 ODA983087:ODA983101 OMW983087:OMW983101 OWS983087:OWS983101 PGO983087:PGO983101 PQK983087:PQK983101 QAG983087:QAG983101 QKC983087:QKC983101 QTY983087:QTY983101 RDU983087:RDU983101 RNQ983087:RNQ983101 RXM983087:RXM983101 SHI983087:SHI983101 SRE983087:SRE983101 TBA983087:TBA983101 TKW983087:TKW983101 TUS983087:TUS983101 UEO983087:UEO983101 UOK983087:UOK983101 UYG983087:UYG983101 VIC983087:VIC983101 VRY983087:VRY983101 WBU983087:WBU983101 WLQ983087:WLQ983101 WVM983087:WVM983101">
      <formula1>"Storage (active),Storage (inactive),Lobby,Corridor/Transition,Stairs - Active,Restroom,Office,Conference/meeting/multipurpose,Electrical/Mechanical,Workshop,Parking Garage,Exit Signs"</formula1>
    </dataValidation>
    <dataValidation type="list" allowBlank="1" showInputMessage="1" showErrorMessage="1" sqref="K33:K42 JG33:JG42 TC33:TC42 ACY33:ACY42 AMU33:AMU42 AWQ33:AWQ42 BGM33:BGM42 BQI33:BQI42 CAE33:CAE42 CKA33:CKA42 CTW33:CTW42 DDS33:DDS42 DNO33:DNO42 DXK33:DXK42 EHG33:EHG42 ERC33:ERC42 FAY33:FAY42 FKU33:FKU42 FUQ33:FUQ42 GEM33:GEM42 GOI33:GOI42 GYE33:GYE42 HIA33:HIA42 HRW33:HRW42 IBS33:IBS42 ILO33:ILO42 IVK33:IVK42 JFG33:JFG42 JPC33:JPC42 JYY33:JYY42 KIU33:KIU42 KSQ33:KSQ42 LCM33:LCM42 LMI33:LMI42 LWE33:LWE42 MGA33:MGA42 MPW33:MPW42 MZS33:MZS42 NJO33:NJO42 NTK33:NTK42 ODG33:ODG42 ONC33:ONC42 OWY33:OWY42 PGU33:PGU42 PQQ33:PQQ42 QAM33:QAM42 QKI33:QKI42 QUE33:QUE42 REA33:REA42 RNW33:RNW42 RXS33:RXS42 SHO33:SHO42 SRK33:SRK42 TBG33:TBG42 TLC33:TLC42 TUY33:TUY42 UEU33:UEU42 UOQ33:UOQ42 UYM33:UYM42 VII33:VII42 VSE33:VSE42 WCA33:WCA42 WLW33:WLW42 WVS33:WVS42 K65569:K65578 JG65569:JG65578 TC65569:TC65578 ACY65569:ACY65578 AMU65569:AMU65578 AWQ65569:AWQ65578 BGM65569:BGM65578 BQI65569:BQI65578 CAE65569:CAE65578 CKA65569:CKA65578 CTW65569:CTW65578 DDS65569:DDS65578 DNO65569:DNO65578 DXK65569:DXK65578 EHG65569:EHG65578 ERC65569:ERC65578 FAY65569:FAY65578 FKU65569:FKU65578 FUQ65569:FUQ65578 GEM65569:GEM65578 GOI65569:GOI65578 GYE65569:GYE65578 HIA65569:HIA65578 HRW65569:HRW65578 IBS65569:IBS65578 ILO65569:ILO65578 IVK65569:IVK65578 JFG65569:JFG65578 JPC65569:JPC65578 JYY65569:JYY65578 KIU65569:KIU65578 KSQ65569:KSQ65578 LCM65569:LCM65578 LMI65569:LMI65578 LWE65569:LWE65578 MGA65569:MGA65578 MPW65569:MPW65578 MZS65569:MZS65578 NJO65569:NJO65578 NTK65569:NTK65578 ODG65569:ODG65578 ONC65569:ONC65578 OWY65569:OWY65578 PGU65569:PGU65578 PQQ65569:PQQ65578 QAM65569:QAM65578 QKI65569:QKI65578 QUE65569:QUE65578 REA65569:REA65578 RNW65569:RNW65578 RXS65569:RXS65578 SHO65569:SHO65578 SRK65569:SRK65578 TBG65569:TBG65578 TLC65569:TLC65578 TUY65569:TUY65578 UEU65569:UEU65578 UOQ65569:UOQ65578 UYM65569:UYM65578 VII65569:VII65578 VSE65569:VSE65578 WCA65569:WCA65578 WLW65569:WLW65578 WVS65569:WVS65578 K131105:K131114 JG131105:JG131114 TC131105:TC131114 ACY131105:ACY131114 AMU131105:AMU131114 AWQ131105:AWQ131114 BGM131105:BGM131114 BQI131105:BQI131114 CAE131105:CAE131114 CKA131105:CKA131114 CTW131105:CTW131114 DDS131105:DDS131114 DNO131105:DNO131114 DXK131105:DXK131114 EHG131105:EHG131114 ERC131105:ERC131114 FAY131105:FAY131114 FKU131105:FKU131114 FUQ131105:FUQ131114 GEM131105:GEM131114 GOI131105:GOI131114 GYE131105:GYE131114 HIA131105:HIA131114 HRW131105:HRW131114 IBS131105:IBS131114 ILO131105:ILO131114 IVK131105:IVK131114 JFG131105:JFG131114 JPC131105:JPC131114 JYY131105:JYY131114 KIU131105:KIU131114 KSQ131105:KSQ131114 LCM131105:LCM131114 LMI131105:LMI131114 LWE131105:LWE131114 MGA131105:MGA131114 MPW131105:MPW131114 MZS131105:MZS131114 NJO131105:NJO131114 NTK131105:NTK131114 ODG131105:ODG131114 ONC131105:ONC131114 OWY131105:OWY131114 PGU131105:PGU131114 PQQ131105:PQQ131114 QAM131105:QAM131114 QKI131105:QKI131114 QUE131105:QUE131114 REA131105:REA131114 RNW131105:RNW131114 RXS131105:RXS131114 SHO131105:SHO131114 SRK131105:SRK131114 TBG131105:TBG131114 TLC131105:TLC131114 TUY131105:TUY131114 UEU131105:UEU131114 UOQ131105:UOQ131114 UYM131105:UYM131114 VII131105:VII131114 VSE131105:VSE131114 WCA131105:WCA131114 WLW131105:WLW131114 WVS131105:WVS131114 K196641:K196650 JG196641:JG196650 TC196641:TC196650 ACY196641:ACY196650 AMU196641:AMU196650 AWQ196641:AWQ196650 BGM196641:BGM196650 BQI196641:BQI196650 CAE196641:CAE196650 CKA196641:CKA196650 CTW196641:CTW196650 DDS196641:DDS196650 DNO196641:DNO196650 DXK196641:DXK196650 EHG196641:EHG196650 ERC196641:ERC196650 FAY196641:FAY196650 FKU196641:FKU196650 FUQ196641:FUQ196650 GEM196641:GEM196650 GOI196641:GOI196650 GYE196641:GYE196650 HIA196641:HIA196650 HRW196641:HRW196650 IBS196641:IBS196650 ILO196641:ILO196650 IVK196641:IVK196650 JFG196641:JFG196650 JPC196641:JPC196650 JYY196641:JYY196650 KIU196641:KIU196650 KSQ196641:KSQ196650 LCM196641:LCM196650 LMI196641:LMI196650 LWE196641:LWE196650 MGA196641:MGA196650 MPW196641:MPW196650 MZS196641:MZS196650 NJO196641:NJO196650 NTK196641:NTK196650 ODG196641:ODG196650 ONC196641:ONC196650 OWY196641:OWY196650 PGU196641:PGU196650 PQQ196641:PQQ196650 QAM196641:QAM196650 QKI196641:QKI196650 QUE196641:QUE196650 REA196641:REA196650 RNW196641:RNW196650 RXS196641:RXS196650 SHO196641:SHO196650 SRK196641:SRK196650 TBG196641:TBG196650 TLC196641:TLC196650 TUY196641:TUY196650 UEU196641:UEU196650 UOQ196641:UOQ196650 UYM196641:UYM196650 VII196641:VII196650 VSE196641:VSE196650 WCA196641:WCA196650 WLW196641:WLW196650 WVS196641:WVS196650 K262177:K262186 JG262177:JG262186 TC262177:TC262186 ACY262177:ACY262186 AMU262177:AMU262186 AWQ262177:AWQ262186 BGM262177:BGM262186 BQI262177:BQI262186 CAE262177:CAE262186 CKA262177:CKA262186 CTW262177:CTW262186 DDS262177:DDS262186 DNO262177:DNO262186 DXK262177:DXK262186 EHG262177:EHG262186 ERC262177:ERC262186 FAY262177:FAY262186 FKU262177:FKU262186 FUQ262177:FUQ262186 GEM262177:GEM262186 GOI262177:GOI262186 GYE262177:GYE262186 HIA262177:HIA262186 HRW262177:HRW262186 IBS262177:IBS262186 ILO262177:ILO262186 IVK262177:IVK262186 JFG262177:JFG262186 JPC262177:JPC262186 JYY262177:JYY262186 KIU262177:KIU262186 KSQ262177:KSQ262186 LCM262177:LCM262186 LMI262177:LMI262186 LWE262177:LWE262186 MGA262177:MGA262186 MPW262177:MPW262186 MZS262177:MZS262186 NJO262177:NJO262186 NTK262177:NTK262186 ODG262177:ODG262186 ONC262177:ONC262186 OWY262177:OWY262186 PGU262177:PGU262186 PQQ262177:PQQ262186 QAM262177:QAM262186 QKI262177:QKI262186 QUE262177:QUE262186 REA262177:REA262186 RNW262177:RNW262186 RXS262177:RXS262186 SHO262177:SHO262186 SRK262177:SRK262186 TBG262177:TBG262186 TLC262177:TLC262186 TUY262177:TUY262186 UEU262177:UEU262186 UOQ262177:UOQ262186 UYM262177:UYM262186 VII262177:VII262186 VSE262177:VSE262186 WCA262177:WCA262186 WLW262177:WLW262186 WVS262177:WVS262186 K327713:K327722 JG327713:JG327722 TC327713:TC327722 ACY327713:ACY327722 AMU327713:AMU327722 AWQ327713:AWQ327722 BGM327713:BGM327722 BQI327713:BQI327722 CAE327713:CAE327722 CKA327713:CKA327722 CTW327713:CTW327722 DDS327713:DDS327722 DNO327713:DNO327722 DXK327713:DXK327722 EHG327713:EHG327722 ERC327713:ERC327722 FAY327713:FAY327722 FKU327713:FKU327722 FUQ327713:FUQ327722 GEM327713:GEM327722 GOI327713:GOI327722 GYE327713:GYE327722 HIA327713:HIA327722 HRW327713:HRW327722 IBS327713:IBS327722 ILO327713:ILO327722 IVK327713:IVK327722 JFG327713:JFG327722 JPC327713:JPC327722 JYY327713:JYY327722 KIU327713:KIU327722 KSQ327713:KSQ327722 LCM327713:LCM327722 LMI327713:LMI327722 LWE327713:LWE327722 MGA327713:MGA327722 MPW327713:MPW327722 MZS327713:MZS327722 NJO327713:NJO327722 NTK327713:NTK327722 ODG327713:ODG327722 ONC327713:ONC327722 OWY327713:OWY327722 PGU327713:PGU327722 PQQ327713:PQQ327722 QAM327713:QAM327722 QKI327713:QKI327722 QUE327713:QUE327722 REA327713:REA327722 RNW327713:RNW327722 RXS327713:RXS327722 SHO327713:SHO327722 SRK327713:SRK327722 TBG327713:TBG327722 TLC327713:TLC327722 TUY327713:TUY327722 UEU327713:UEU327722 UOQ327713:UOQ327722 UYM327713:UYM327722 VII327713:VII327722 VSE327713:VSE327722 WCA327713:WCA327722 WLW327713:WLW327722 WVS327713:WVS327722 K393249:K393258 JG393249:JG393258 TC393249:TC393258 ACY393249:ACY393258 AMU393249:AMU393258 AWQ393249:AWQ393258 BGM393249:BGM393258 BQI393249:BQI393258 CAE393249:CAE393258 CKA393249:CKA393258 CTW393249:CTW393258 DDS393249:DDS393258 DNO393249:DNO393258 DXK393249:DXK393258 EHG393249:EHG393258 ERC393249:ERC393258 FAY393249:FAY393258 FKU393249:FKU393258 FUQ393249:FUQ393258 GEM393249:GEM393258 GOI393249:GOI393258 GYE393249:GYE393258 HIA393249:HIA393258 HRW393249:HRW393258 IBS393249:IBS393258 ILO393249:ILO393258 IVK393249:IVK393258 JFG393249:JFG393258 JPC393249:JPC393258 JYY393249:JYY393258 KIU393249:KIU393258 KSQ393249:KSQ393258 LCM393249:LCM393258 LMI393249:LMI393258 LWE393249:LWE393258 MGA393249:MGA393258 MPW393249:MPW393258 MZS393249:MZS393258 NJO393249:NJO393258 NTK393249:NTK393258 ODG393249:ODG393258 ONC393249:ONC393258 OWY393249:OWY393258 PGU393249:PGU393258 PQQ393249:PQQ393258 QAM393249:QAM393258 QKI393249:QKI393258 QUE393249:QUE393258 REA393249:REA393258 RNW393249:RNW393258 RXS393249:RXS393258 SHO393249:SHO393258 SRK393249:SRK393258 TBG393249:TBG393258 TLC393249:TLC393258 TUY393249:TUY393258 UEU393249:UEU393258 UOQ393249:UOQ393258 UYM393249:UYM393258 VII393249:VII393258 VSE393249:VSE393258 WCA393249:WCA393258 WLW393249:WLW393258 WVS393249:WVS393258 K458785:K458794 JG458785:JG458794 TC458785:TC458794 ACY458785:ACY458794 AMU458785:AMU458794 AWQ458785:AWQ458794 BGM458785:BGM458794 BQI458785:BQI458794 CAE458785:CAE458794 CKA458785:CKA458794 CTW458785:CTW458794 DDS458785:DDS458794 DNO458785:DNO458794 DXK458785:DXK458794 EHG458785:EHG458794 ERC458785:ERC458794 FAY458785:FAY458794 FKU458785:FKU458794 FUQ458785:FUQ458794 GEM458785:GEM458794 GOI458785:GOI458794 GYE458785:GYE458794 HIA458785:HIA458794 HRW458785:HRW458794 IBS458785:IBS458794 ILO458785:ILO458794 IVK458785:IVK458794 JFG458785:JFG458794 JPC458785:JPC458794 JYY458785:JYY458794 KIU458785:KIU458794 KSQ458785:KSQ458794 LCM458785:LCM458794 LMI458785:LMI458794 LWE458785:LWE458794 MGA458785:MGA458794 MPW458785:MPW458794 MZS458785:MZS458794 NJO458785:NJO458794 NTK458785:NTK458794 ODG458785:ODG458794 ONC458785:ONC458794 OWY458785:OWY458794 PGU458785:PGU458794 PQQ458785:PQQ458794 QAM458785:QAM458794 QKI458785:QKI458794 QUE458785:QUE458794 REA458785:REA458794 RNW458785:RNW458794 RXS458785:RXS458794 SHO458785:SHO458794 SRK458785:SRK458794 TBG458785:TBG458794 TLC458785:TLC458794 TUY458785:TUY458794 UEU458785:UEU458794 UOQ458785:UOQ458794 UYM458785:UYM458794 VII458785:VII458794 VSE458785:VSE458794 WCA458785:WCA458794 WLW458785:WLW458794 WVS458785:WVS458794 K524321:K524330 JG524321:JG524330 TC524321:TC524330 ACY524321:ACY524330 AMU524321:AMU524330 AWQ524321:AWQ524330 BGM524321:BGM524330 BQI524321:BQI524330 CAE524321:CAE524330 CKA524321:CKA524330 CTW524321:CTW524330 DDS524321:DDS524330 DNO524321:DNO524330 DXK524321:DXK524330 EHG524321:EHG524330 ERC524321:ERC524330 FAY524321:FAY524330 FKU524321:FKU524330 FUQ524321:FUQ524330 GEM524321:GEM524330 GOI524321:GOI524330 GYE524321:GYE524330 HIA524321:HIA524330 HRW524321:HRW524330 IBS524321:IBS524330 ILO524321:ILO524330 IVK524321:IVK524330 JFG524321:JFG524330 JPC524321:JPC524330 JYY524321:JYY524330 KIU524321:KIU524330 KSQ524321:KSQ524330 LCM524321:LCM524330 LMI524321:LMI524330 LWE524321:LWE524330 MGA524321:MGA524330 MPW524321:MPW524330 MZS524321:MZS524330 NJO524321:NJO524330 NTK524321:NTK524330 ODG524321:ODG524330 ONC524321:ONC524330 OWY524321:OWY524330 PGU524321:PGU524330 PQQ524321:PQQ524330 QAM524321:QAM524330 QKI524321:QKI524330 QUE524321:QUE524330 REA524321:REA524330 RNW524321:RNW524330 RXS524321:RXS524330 SHO524321:SHO524330 SRK524321:SRK524330 TBG524321:TBG524330 TLC524321:TLC524330 TUY524321:TUY524330 UEU524321:UEU524330 UOQ524321:UOQ524330 UYM524321:UYM524330 VII524321:VII524330 VSE524321:VSE524330 WCA524321:WCA524330 WLW524321:WLW524330 WVS524321:WVS524330 K589857:K589866 JG589857:JG589866 TC589857:TC589866 ACY589857:ACY589866 AMU589857:AMU589866 AWQ589857:AWQ589866 BGM589857:BGM589866 BQI589857:BQI589866 CAE589857:CAE589866 CKA589857:CKA589866 CTW589857:CTW589866 DDS589857:DDS589866 DNO589857:DNO589866 DXK589857:DXK589866 EHG589857:EHG589866 ERC589857:ERC589866 FAY589857:FAY589866 FKU589857:FKU589866 FUQ589857:FUQ589866 GEM589857:GEM589866 GOI589857:GOI589866 GYE589857:GYE589866 HIA589857:HIA589866 HRW589857:HRW589866 IBS589857:IBS589866 ILO589857:ILO589866 IVK589857:IVK589866 JFG589857:JFG589866 JPC589857:JPC589866 JYY589857:JYY589866 KIU589857:KIU589866 KSQ589857:KSQ589866 LCM589857:LCM589866 LMI589857:LMI589866 LWE589857:LWE589866 MGA589857:MGA589866 MPW589857:MPW589866 MZS589857:MZS589866 NJO589857:NJO589866 NTK589857:NTK589866 ODG589857:ODG589866 ONC589857:ONC589866 OWY589857:OWY589866 PGU589857:PGU589866 PQQ589857:PQQ589866 QAM589857:QAM589866 QKI589857:QKI589866 QUE589857:QUE589866 REA589857:REA589866 RNW589857:RNW589866 RXS589857:RXS589866 SHO589857:SHO589866 SRK589857:SRK589866 TBG589857:TBG589866 TLC589857:TLC589866 TUY589857:TUY589866 UEU589857:UEU589866 UOQ589857:UOQ589866 UYM589857:UYM589866 VII589857:VII589866 VSE589857:VSE589866 WCA589857:WCA589866 WLW589857:WLW589866 WVS589857:WVS589866 K655393:K655402 JG655393:JG655402 TC655393:TC655402 ACY655393:ACY655402 AMU655393:AMU655402 AWQ655393:AWQ655402 BGM655393:BGM655402 BQI655393:BQI655402 CAE655393:CAE655402 CKA655393:CKA655402 CTW655393:CTW655402 DDS655393:DDS655402 DNO655393:DNO655402 DXK655393:DXK655402 EHG655393:EHG655402 ERC655393:ERC655402 FAY655393:FAY655402 FKU655393:FKU655402 FUQ655393:FUQ655402 GEM655393:GEM655402 GOI655393:GOI655402 GYE655393:GYE655402 HIA655393:HIA655402 HRW655393:HRW655402 IBS655393:IBS655402 ILO655393:ILO655402 IVK655393:IVK655402 JFG655393:JFG655402 JPC655393:JPC655402 JYY655393:JYY655402 KIU655393:KIU655402 KSQ655393:KSQ655402 LCM655393:LCM655402 LMI655393:LMI655402 LWE655393:LWE655402 MGA655393:MGA655402 MPW655393:MPW655402 MZS655393:MZS655402 NJO655393:NJO655402 NTK655393:NTK655402 ODG655393:ODG655402 ONC655393:ONC655402 OWY655393:OWY655402 PGU655393:PGU655402 PQQ655393:PQQ655402 QAM655393:QAM655402 QKI655393:QKI655402 QUE655393:QUE655402 REA655393:REA655402 RNW655393:RNW655402 RXS655393:RXS655402 SHO655393:SHO655402 SRK655393:SRK655402 TBG655393:TBG655402 TLC655393:TLC655402 TUY655393:TUY655402 UEU655393:UEU655402 UOQ655393:UOQ655402 UYM655393:UYM655402 VII655393:VII655402 VSE655393:VSE655402 WCA655393:WCA655402 WLW655393:WLW655402 WVS655393:WVS655402 K720929:K720938 JG720929:JG720938 TC720929:TC720938 ACY720929:ACY720938 AMU720929:AMU720938 AWQ720929:AWQ720938 BGM720929:BGM720938 BQI720929:BQI720938 CAE720929:CAE720938 CKA720929:CKA720938 CTW720929:CTW720938 DDS720929:DDS720938 DNO720929:DNO720938 DXK720929:DXK720938 EHG720929:EHG720938 ERC720929:ERC720938 FAY720929:FAY720938 FKU720929:FKU720938 FUQ720929:FUQ720938 GEM720929:GEM720938 GOI720929:GOI720938 GYE720929:GYE720938 HIA720929:HIA720938 HRW720929:HRW720938 IBS720929:IBS720938 ILO720929:ILO720938 IVK720929:IVK720938 JFG720929:JFG720938 JPC720929:JPC720938 JYY720929:JYY720938 KIU720929:KIU720938 KSQ720929:KSQ720938 LCM720929:LCM720938 LMI720929:LMI720938 LWE720929:LWE720938 MGA720929:MGA720938 MPW720929:MPW720938 MZS720929:MZS720938 NJO720929:NJO720938 NTK720929:NTK720938 ODG720929:ODG720938 ONC720929:ONC720938 OWY720929:OWY720938 PGU720929:PGU720938 PQQ720929:PQQ720938 QAM720929:QAM720938 QKI720929:QKI720938 QUE720929:QUE720938 REA720929:REA720938 RNW720929:RNW720938 RXS720929:RXS720938 SHO720929:SHO720938 SRK720929:SRK720938 TBG720929:TBG720938 TLC720929:TLC720938 TUY720929:TUY720938 UEU720929:UEU720938 UOQ720929:UOQ720938 UYM720929:UYM720938 VII720929:VII720938 VSE720929:VSE720938 WCA720929:WCA720938 WLW720929:WLW720938 WVS720929:WVS720938 K786465:K786474 JG786465:JG786474 TC786465:TC786474 ACY786465:ACY786474 AMU786465:AMU786474 AWQ786465:AWQ786474 BGM786465:BGM786474 BQI786465:BQI786474 CAE786465:CAE786474 CKA786465:CKA786474 CTW786465:CTW786474 DDS786465:DDS786474 DNO786465:DNO786474 DXK786465:DXK786474 EHG786465:EHG786474 ERC786465:ERC786474 FAY786465:FAY786474 FKU786465:FKU786474 FUQ786465:FUQ786474 GEM786465:GEM786474 GOI786465:GOI786474 GYE786465:GYE786474 HIA786465:HIA786474 HRW786465:HRW786474 IBS786465:IBS786474 ILO786465:ILO786474 IVK786465:IVK786474 JFG786465:JFG786474 JPC786465:JPC786474 JYY786465:JYY786474 KIU786465:KIU786474 KSQ786465:KSQ786474 LCM786465:LCM786474 LMI786465:LMI786474 LWE786465:LWE786474 MGA786465:MGA786474 MPW786465:MPW786474 MZS786465:MZS786474 NJO786465:NJO786474 NTK786465:NTK786474 ODG786465:ODG786474 ONC786465:ONC786474 OWY786465:OWY786474 PGU786465:PGU786474 PQQ786465:PQQ786474 QAM786465:QAM786474 QKI786465:QKI786474 QUE786465:QUE786474 REA786465:REA786474 RNW786465:RNW786474 RXS786465:RXS786474 SHO786465:SHO786474 SRK786465:SRK786474 TBG786465:TBG786474 TLC786465:TLC786474 TUY786465:TUY786474 UEU786465:UEU786474 UOQ786465:UOQ786474 UYM786465:UYM786474 VII786465:VII786474 VSE786465:VSE786474 WCA786465:WCA786474 WLW786465:WLW786474 WVS786465:WVS786474 K852001:K852010 JG852001:JG852010 TC852001:TC852010 ACY852001:ACY852010 AMU852001:AMU852010 AWQ852001:AWQ852010 BGM852001:BGM852010 BQI852001:BQI852010 CAE852001:CAE852010 CKA852001:CKA852010 CTW852001:CTW852010 DDS852001:DDS852010 DNO852001:DNO852010 DXK852001:DXK852010 EHG852001:EHG852010 ERC852001:ERC852010 FAY852001:FAY852010 FKU852001:FKU852010 FUQ852001:FUQ852010 GEM852001:GEM852010 GOI852001:GOI852010 GYE852001:GYE852010 HIA852001:HIA852010 HRW852001:HRW852010 IBS852001:IBS852010 ILO852001:ILO852010 IVK852001:IVK852010 JFG852001:JFG852010 JPC852001:JPC852010 JYY852001:JYY852010 KIU852001:KIU852010 KSQ852001:KSQ852010 LCM852001:LCM852010 LMI852001:LMI852010 LWE852001:LWE852010 MGA852001:MGA852010 MPW852001:MPW852010 MZS852001:MZS852010 NJO852001:NJO852010 NTK852001:NTK852010 ODG852001:ODG852010 ONC852001:ONC852010 OWY852001:OWY852010 PGU852001:PGU852010 PQQ852001:PQQ852010 QAM852001:QAM852010 QKI852001:QKI852010 QUE852001:QUE852010 REA852001:REA852010 RNW852001:RNW852010 RXS852001:RXS852010 SHO852001:SHO852010 SRK852001:SRK852010 TBG852001:TBG852010 TLC852001:TLC852010 TUY852001:TUY852010 UEU852001:UEU852010 UOQ852001:UOQ852010 UYM852001:UYM852010 VII852001:VII852010 VSE852001:VSE852010 WCA852001:WCA852010 WLW852001:WLW852010 WVS852001:WVS852010 K917537:K917546 JG917537:JG917546 TC917537:TC917546 ACY917537:ACY917546 AMU917537:AMU917546 AWQ917537:AWQ917546 BGM917537:BGM917546 BQI917537:BQI917546 CAE917537:CAE917546 CKA917537:CKA917546 CTW917537:CTW917546 DDS917537:DDS917546 DNO917537:DNO917546 DXK917537:DXK917546 EHG917537:EHG917546 ERC917537:ERC917546 FAY917537:FAY917546 FKU917537:FKU917546 FUQ917537:FUQ917546 GEM917537:GEM917546 GOI917537:GOI917546 GYE917537:GYE917546 HIA917537:HIA917546 HRW917537:HRW917546 IBS917537:IBS917546 ILO917537:ILO917546 IVK917537:IVK917546 JFG917537:JFG917546 JPC917537:JPC917546 JYY917537:JYY917546 KIU917537:KIU917546 KSQ917537:KSQ917546 LCM917537:LCM917546 LMI917537:LMI917546 LWE917537:LWE917546 MGA917537:MGA917546 MPW917537:MPW917546 MZS917537:MZS917546 NJO917537:NJO917546 NTK917537:NTK917546 ODG917537:ODG917546 ONC917537:ONC917546 OWY917537:OWY917546 PGU917537:PGU917546 PQQ917537:PQQ917546 QAM917537:QAM917546 QKI917537:QKI917546 QUE917537:QUE917546 REA917537:REA917546 RNW917537:RNW917546 RXS917537:RXS917546 SHO917537:SHO917546 SRK917537:SRK917546 TBG917537:TBG917546 TLC917537:TLC917546 TUY917537:TUY917546 UEU917537:UEU917546 UOQ917537:UOQ917546 UYM917537:UYM917546 VII917537:VII917546 VSE917537:VSE917546 WCA917537:WCA917546 WLW917537:WLW917546 WVS917537:WVS917546 K983073:K983082 JG983073:JG983082 TC983073:TC983082 ACY983073:ACY983082 AMU983073:AMU983082 AWQ983073:AWQ983082 BGM983073:BGM983082 BQI983073:BQI983082 CAE983073:CAE983082 CKA983073:CKA983082 CTW983073:CTW983082 DDS983073:DDS983082 DNO983073:DNO983082 DXK983073:DXK983082 EHG983073:EHG983082 ERC983073:ERC983082 FAY983073:FAY983082 FKU983073:FKU983082 FUQ983073:FUQ983082 GEM983073:GEM983082 GOI983073:GOI983082 GYE983073:GYE983082 HIA983073:HIA983082 HRW983073:HRW983082 IBS983073:IBS983082 ILO983073:ILO983082 IVK983073:IVK983082 JFG983073:JFG983082 JPC983073:JPC983082 JYY983073:JYY983082 KIU983073:KIU983082 KSQ983073:KSQ983082 LCM983073:LCM983082 LMI983073:LMI983082 LWE983073:LWE983082 MGA983073:MGA983082 MPW983073:MPW983082 MZS983073:MZS983082 NJO983073:NJO983082 NTK983073:NTK983082 ODG983073:ODG983082 ONC983073:ONC983082 OWY983073:OWY983082 PGU983073:PGU983082 PQQ983073:PQQ983082 QAM983073:QAM983082 QKI983073:QKI983082 QUE983073:QUE983082 REA983073:REA983082 RNW983073:RNW983082 RXS983073:RXS983082 SHO983073:SHO983082 SRK983073:SRK983082 TBG983073:TBG983082 TLC983073:TLC983082 TUY983073:TUY983082 UEU983073:UEU983082 UOQ983073:UOQ983082 UYM983073:UYM983082 VII983073:VII983082 VSE983073:VSE983082 WCA983073:WCA983082 WLW983073:WLW983082 WVS983073:WVS983082">
      <formula1>"Yes,No,Sensors"</formula1>
    </dataValidation>
    <dataValidation type="list" allowBlank="1" showInputMessage="1" showErrorMessage="1" sqref="J33:J42 JF33:JF42 TB33:TB42 ACX33:ACX42 AMT33:AMT42 AWP33:AWP42 BGL33:BGL42 BQH33:BQH42 CAD33:CAD42 CJZ33:CJZ42 CTV33:CTV42 DDR33:DDR42 DNN33:DNN42 DXJ33:DXJ42 EHF33:EHF42 ERB33:ERB42 FAX33:FAX42 FKT33:FKT42 FUP33:FUP42 GEL33:GEL42 GOH33:GOH42 GYD33:GYD42 HHZ33:HHZ42 HRV33:HRV42 IBR33:IBR42 ILN33:ILN42 IVJ33:IVJ42 JFF33:JFF42 JPB33:JPB42 JYX33:JYX42 KIT33:KIT42 KSP33:KSP42 LCL33:LCL42 LMH33:LMH42 LWD33:LWD42 MFZ33:MFZ42 MPV33:MPV42 MZR33:MZR42 NJN33:NJN42 NTJ33:NTJ42 ODF33:ODF42 ONB33:ONB42 OWX33:OWX42 PGT33:PGT42 PQP33:PQP42 QAL33:QAL42 QKH33:QKH42 QUD33:QUD42 RDZ33:RDZ42 RNV33:RNV42 RXR33:RXR42 SHN33:SHN42 SRJ33:SRJ42 TBF33:TBF42 TLB33:TLB42 TUX33:TUX42 UET33:UET42 UOP33:UOP42 UYL33:UYL42 VIH33:VIH42 VSD33:VSD42 WBZ33:WBZ42 WLV33:WLV42 WVR33:WVR42 J65569:J65578 JF65569:JF65578 TB65569:TB65578 ACX65569:ACX65578 AMT65569:AMT65578 AWP65569:AWP65578 BGL65569:BGL65578 BQH65569:BQH65578 CAD65569:CAD65578 CJZ65569:CJZ65578 CTV65569:CTV65578 DDR65569:DDR65578 DNN65569:DNN65578 DXJ65569:DXJ65578 EHF65569:EHF65578 ERB65569:ERB65578 FAX65569:FAX65578 FKT65569:FKT65578 FUP65569:FUP65578 GEL65569:GEL65578 GOH65569:GOH65578 GYD65569:GYD65578 HHZ65569:HHZ65578 HRV65569:HRV65578 IBR65569:IBR65578 ILN65569:ILN65578 IVJ65569:IVJ65578 JFF65569:JFF65578 JPB65569:JPB65578 JYX65569:JYX65578 KIT65569:KIT65578 KSP65569:KSP65578 LCL65569:LCL65578 LMH65569:LMH65578 LWD65569:LWD65578 MFZ65569:MFZ65578 MPV65569:MPV65578 MZR65569:MZR65578 NJN65569:NJN65578 NTJ65569:NTJ65578 ODF65569:ODF65578 ONB65569:ONB65578 OWX65569:OWX65578 PGT65569:PGT65578 PQP65569:PQP65578 QAL65569:QAL65578 QKH65569:QKH65578 QUD65569:QUD65578 RDZ65569:RDZ65578 RNV65569:RNV65578 RXR65569:RXR65578 SHN65569:SHN65578 SRJ65569:SRJ65578 TBF65569:TBF65578 TLB65569:TLB65578 TUX65569:TUX65578 UET65569:UET65578 UOP65569:UOP65578 UYL65569:UYL65578 VIH65569:VIH65578 VSD65569:VSD65578 WBZ65569:WBZ65578 WLV65569:WLV65578 WVR65569:WVR65578 J131105:J131114 JF131105:JF131114 TB131105:TB131114 ACX131105:ACX131114 AMT131105:AMT131114 AWP131105:AWP131114 BGL131105:BGL131114 BQH131105:BQH131114 CAD131105:CAD131114 CJZ131105:CJZ131114 CTV131105:CTV131114 DDR131105:DDR131114 DNN131105:DNN131114 DXJ131105:DXJ131114 EHF131105:EHF131114 ERB131105:ERB131114 FAX131105:FAX131114 FKT131105:FKT131114 FUP131105:FUP131114 GEL131105:GEL131114 GOH131105:GOH131114 GYD131105:GYD131114 HHZ131105:HHZ131114 HRV131105:HRV131114 IBR131105:IBR131114 ILN131105:ILN131114 IVJ131105:IVJ131114 JFF131105:JFF131114 JPB131105:JPB131114 JYX131105:JYX131114 KIT131105:KIT131114 KSP131105:KSP131114 LCL131105:LCL131114 LMH131105:LMH131114 LWD131105:LWD131114 MFZ131105:MFZ131114 MPV131105:MPV131114 MZR131105:MZR131114 NJN131105:NJN131114 NTJ131105:NTJ131114 ODF131105:ODF131114 ONB131105:ONB131114 OWX131105:OWX131114 PGT131105:PGT131114 PQP131105:PQP131114 QAL131105:QAL131114 QKH131105:QKH131114 QUD131105:QUD131114 RDZ131105:RDZ131114 RNV131105:RNV131114 RXR131105:RXR131114 SHN131105:SHN131114 SRJ131105:SRJ131114 TBF131105:TBF131114 TLB131105:TLB131114 TUX131105:TUX131114 UET131105:UET131114 UOP131105:UOP131114 UYL131105:UYL131114 VIH131105:VIH131114 VSD131105:VSD131114 WBZ131105:WBZ131114 WLV131105:WLV131114 WVR131105:WVR131114 J196641:J196650 JF196641:JF196650 TB196641:TB196650 ACX196641:ACX196650 AMT196641:AMT196650 AWP196641:AWP196650 BGL196641:BGL196650 BQH196641:BQH196650 CAD196641:CAD196650 CJZ196641:CJZ196650 CTV196641:CTV196650 DDR196641:DDR196650 DNN196641:DNN196650 DXJ196641:DXJ196650 EHF196641:EHF196650 ERB196641:ERB196650 FAX196641:FAX196650 FKT196641:FKT196650 FUP196641:FUP196650 GEL196641:GEL196650 GOH196641:GOH196650 GYD196641:GYD196650 HHZ196641:HHZ196650 HRV196641:HRV196650 IBR196641:IBR196650 ILN196641:ILN196650 IVJ196641:IVJ196650 JFF196641:JFF196650 JPB196641:JPB196650 JYX196641:JYX196650 KIT196641:KIT196650 KSP196641:KSP196650 LCL196641:LCL196650 LMH196641:LMH196650 LWD196641:LWD196650 MFZ196641:MFZ196650 MPV196641:MPV196650 MZR196641:MZR196650 NJN196641:NJN196650 NTJ196641:NTJ196650 ODF196641:ODF196650 ONB196641:ONB196650 OWX196641:OWX196650 PGT196641:PGT196650 PQP196641:PQP196650 QAL196641:QAL196650 QKH196641:QKH196650 QUD196641:QUD196650 RDZ196641:RDZ196650 RNV196641:RNV196650 RXR196641:RXR196650 SHN196641:SHN196650 SRJ196641:SRJ196650 TBF196641:TBF196650 TLB196641:TLB196650 TUX196641:TUX196650 UET196641:UET196650 UOP196641:UOP196650 UYL196641:UYL196650 VIH196641:VIH196650 VSD196641:VSD196650 WBZ196641:WBZ196650 WLV196641:WLV196650 WVR196641:WVR196650 J262177:J262186 JF262177:JF262186 TB262177:TB262186 ACX262177:ACX262186 AMT262177:AMT262186 AWP262177:AWP262186 BGL262177:BGL262186 BQH262177:BQH262186 CAD262177:CAD262186 CJZ262177:CJZ262186 CTV262177:CTV262186 DDR262177:DDR262186 DNN262177:DNN262186 DXJ262177:DXJ262186 EHF262177:EHF262186 ERB262177:ERB262186 FAX262177:FAX262186 FKT262177:FKT262186 FUP262177:FUP262186 GEL262177:GEL262186 GOH262177:GOH262186 GYD262177:GYD262186 HHZ262177:HHZ262186 HRV262177:HRV262186 IBR262177:IBR262186 ILN262177:ILN262186 IVJ262177:IVJ262186 JFF262177:JFF262186 JPB262177:JPB262186 JYX262177:JYX262186 KIT262177:KIT262186 KSP262177:KSP262186 LCL262177:LCL262186 LMH262177:LMH262186 LWD262177:LWD262186 MFZ262177:MFZ262186 MPV262177:MPV262186 MZR262177:MZR262186 NJN262177:NJN262186 NTJ262177:NTJ262186 ODF262177:ODF262186 ONB262177:ONB262186 OWX262177:OWX262186 PGT262177:PGT262186 PQP262177:PQP262186 QAL262177:QAL262186 QKH262177:QKH262186 QUD262177:QUD262186 RDZ262177:RDZ262186 RNV262177:RNV262186 RXR262177:RXR262186 SHN262177:SHN262186 SRJ262177:SRJ262186 TBF262177:TBF262186 TLB262177:TLB262186 TUX262177:TUX262186 UET262177:UET262186 UOP262177:UOP262186 UYL262177:UYL262186 VIH262177:VIH262186 VSD262177:VSD262186 WBZ262177:WBZ262186 WLV262177:WLV262186 WVR262177:WVR262186 J327713:J327722 JF327713:JF327722 TB327713:TB327722 ACX327713:ACX327722 AMT327713:AMT327722 AWP327713:AWP327722 BGL327713:BGL327722 BQH327713:BQH327722 CAD327713:CAD327722 CJZ327713:CJZ327722 CTV327713:CTV327722 DDR327713:DDR327722 DNN327713:DNN327722 DXJ327713:DXJ327722 EHF327713:EHF327722 ERB327713:ERB327722 FAX327713:FAX327722 FKT327713:FKT327722 FUP327713:FUP327722 GEL327713:GEL327722 GOH327713:GOH327722 GYD327713:GYD327722 HHZ327713:HHZ327722 HRV327713:HRV327722 IBR327713:IBR327722 ILN327713:ILN327722 IVJ327713:IVJ327722 JFF327713:JFF327722 JPB327713:JPB327722 JYX327713:JYX327722 KIT327713:KIT327722 KSP327713:KSP327722 LCL327713:LCL327722 LMH327713:LMH327722 LWD327713:LWD327722 MFZ327713:MFZ327722 MPV327713:MPV327722 MZR327713:MZR327722 NJN327713:NJN327722 NTJ327713:NTJ327722 ODF327713:ODF327722 ONB327713:ONB327722 OWX327713:OWX327722 PGT327713:PGT327722 PQP327713:PQP327722 QAL327713:QAL327722 QKH327713:QKH327722 QUD327713:QUD327722 RDZ327713:RDZ327722 RNV327713:RNV327722 RXR327713:RXR327722 SHN327713:SHN327722 SRJ327713:SRJ327722 TBF327713:TBF327722 TLB327713:TLB327722 TUX327713:TUX327722 UET327713:UET327722 UOP327713:UOP327722 UYL327713:UYL327722 VIH327713:VIH327722 VSD327713:VSD327722 WBZ327713:WBZ327722 WLV327713:WLV327722 WVR327713:WVR327722 J393249:J393258 JF393249:JF393258 TB393249:TB393258 ACX393249:ACX393258 AMT393249:AMT393258 AWP393249:AWP393258 BGL393249:BGL393258 BQH393249:BQH393258 CAD393249:CAD393258 CJZ393249:CJZ393258 CTV393249:CTV393258 DDR393249:DDR393258 DNN393249:DNN393258 DXJ393249:DXJ393258 EHF393249:EHF393258 ERB393249:ERB393258 FAX393249:FAX393258 FKT393249:FKT393258 FUP393249:FUP393258 GEL393249:GEL393258 GOH393249:GOH393258 GYD393249:GYD393258 HHZ393249:HHZ393258 HRV393249:HRV393258 IBR393249:IBR393258 ILN393249:ILN393258 IVJ393249:IVJ393258 JFF393249:JFF393258 JPB393249:JPB393258 JYX393249:JYX393258 KIT393249:KIT393258 KSP393249:KSP393258 LCL393249:LCL393258 LMH393249:LMH393258 LWD393249:LWD393258 MFZ393249:MFZ393258 MPV393249:MPV393258 MZR393249:MZR393258 NJN393249:NJN393258 NTJ393249:NTJ393258 ODF393249:ODF393258 ONB393249:ONB393258 OWX393249:OWX393258 PGT393249:PGT393258 PQP393249:PQP393258 QAL393249:QAL393258 QKH393249:QKH393258 QUD393249:QUD393258 RDZ393249:RDZ393258 RNV393249:RNV393258 RXR393249:RXR393258 SHN393249:SHN393258 SRJ393249:SRJ393258 TBF393249:TBF393258 TLB393249:TLB393258 TUX393249:TUX393258 UET393249:UET393258 UOP393249:UOP393258 UYL393249:UYL393258 VIH393249:VIH393258 VSD393249:VSD393258 WBZ393249:WBZ393258 WLV393249:WLV393258 WVR393249:WVR393258 J458785:J458794 JF458785:JF458794 TB458785:TB458794 ACX458785:ACX458794 AMT458785:AMT458794 AWP458785:AWP458794 BGL458785:BGL458794 BQH458785:BQH458794 CAD458785:CAD458794 CJZ458785:CJZ458794 CTV458785:CTV458794 DDR458785:DDR458794 DNN458785:DNN458794 DXJ458785:DXJ458794 EHF458785:EHF458794 ERB458785:ERB458794 FAX458785:FAX458794 FKT458785:FKT458794 FUP458785:FUP458794 GEL458785:GEL458794 GOH458785:GOH458794 GYD458785:GYD458794 HHZ458785:HHZ458794 HRV458785:HRV458794 IBR458785:IBR458794 ILN458785:ILN458794 IVJ458785:IVJ458794 JFF458785:JFF458794 JPB458785:JPB458794 JYX458785:JYX458794 KIT458785:KIT458794 KSP458785:KSP458794 LCL458785:LCL458794 LMH458785:LMH458794 LWD458785:LWD458794 MFZ458785:MFZ458794 MPV458785:MPV458794 MZR458785:MZR458794 NJN458785:NJN458794 NTJ458785:NTJ458794 ODF458785:ODF458794 ONB458785:ONB458794 OWX458785:OWX458794 PGT458785:PGT458794 PQP458785:PQP458794 QAL458785:QAL458794 QKH458785:QKH458794 QUD458785:QUD458794 RDZ458785:RDZ458794 RNV458785:RNV458794 RXR458785:RXR458794 SHN458785:SHN458794 SRJ458785:SRJ458794 TBF458785:TBF458794 TLB458785:TLB458794 TUX458785:TUX458794 UET458785:UET458794 UOP458785:UOP458794 UYL458785:UYL458794 VIH458785:VIH458794 VSD458785:VSD458794 WBZ458785:WBZ458794 WLV458785:WLV458794 WVR458785:WVR458794 J524321:J524330 JF524321:JF524330 TB524321:TB524330 ACX524321:ACX524330 AMT524321:AMT524330 AWP524321:AWP524330 BGL524321:BGL524330 BQH524321:BQH524330 CAD524321:CAD524330 CJZ524321:CJZ524330 CTV524321:CTV524330 DDR524321:DDR524330 DNN524321:DNN524330 DXJ524321:DXJ524330 EHF524321:EHF524330 ERB524321:ERB524330 FAX524321:FAX524330 FKT524321:FKT524330 FUP524321:FUP524330 GEL524321:GEL524330 GOH524321:GOH524330 GYD524321:GYD524330 HHZ524321:HHZ524330 HRV524321:HRV524330 IBR524321:IBR524330 ILN524321:ILN524330 IVJ524321:IVJ524330 JFF524321:JFF524330 JPB524321:JPB524330 JYX524321:JYX524330 KIT524321:KIT524330 KSP524321:KSP524330 LCL524321:LCL524330 LMH524321:LMH524330 LWD524321:LWD524330 MFZ524321:MFZ524330 MPV524321:MPV524330 MZR524321:MZR524330 NJN524321:NJN524330 NTJ524321:NTJ524330 ODF524321:ODF524330 ONB524321:ONB524330 OWX524321:OWX524330 PGT524321:PGT524330 PQP524321:PQP524330 QAL524321:QAL524330 QKH524321:QKH524330 QUD524321:QUD524330 RDZ524321:RDZ524330 RNV524321:RNV524330 RXR524321:RXR524330 SHN524321:SHN524330 SRJ524321:SRJ524330 TBF524321:TBF524330 TLB524321:TLB524330 TUX524321:TUX524330 UET524321:UET524330 UOP524321:UOP524330 UYL524321:UYL524330 VIH524321:VIH524330 VSD524321:VSD524330 WBZ524321:WBZ524330 WLV524321:WLV524330 WVR524321:WVR524330 J589857:J589866 JF589857:JF589866 TB589857:TB589866 ACX589857:ACX589866 AMT589857:AMT589866 AWP589857:AWP589866 BGL589857:BGL589866 BQH589857:BQH589866 CAD589857:CAD589866 CJZ589857:CJZ589866 CTV589857:CTV589866 DDR589857:DDR589866 DNN589857:DNN589866 DXJ589857:DXJ589866 EHF589857:EHF589866 ERB589857:ERB589866 FAX589857:FAX589866 FKT589857:FKT589866 FUP589857:FUP589866 GEL589857:GEL589866 GOH589857:GOH589866 GYD589857:GYD589866 HHZ589857:HHZ589866 HRV589857:HRV589866 IBR589857:IBR589866 ILN589857:ILN589866 IVJ589857:IVJ589866 JFF589857:JFF589866 JPB589857:JPB589866 JYX589857:JYX589866 KIT589857:KIT589866 KSP589857:KSP589866 LCL589857:LCL589866 LMH589857:LMH589866 LWD589857:LWD589866 MFZ589857:MFZ589866 MPV589857:MPV589866 MZR589857:MZR589866 NJN589857:NJN589866 NTJ589857:NTJ589866 ODF589857:ODF589866 ONB589857:ONB589866 OWX589857:OWX589866 PGT589857:PGT589866 PQP589857:PQP589866 QAL589857:QAL589866 QKH589857:QKH589866 QUD589857:QUD589866 RDZ589857:RDZ589866 RNV589857:RNV589866 RXR589857:RXR589866 SHN589857:SHN589866 SRJ589857:SRJ589866 TBF589857:TBF589866 TLB589857:TLB589866 TUX589857:TUX589866 UET589857:UET589866 UOP589857:UOP589866 UYL589857:UYL589866 VIH589857:VIH589866 VSD589857:VSD589866 WBZ589857:WBZ589866 WLV589857:WLV589866 WVR589857:WVR589866 J655393:J655402 JF655393:JF655402 TB655393:TB655402 ACX655393:ACX655402 AMT655393:AMT655402 AWP655393:AWP655402 BGL655393:BGL655402 BQH655393:BQH655402 CAD655393:CAD655402 CJZ655393:CJZ655402 CTV655393:CTV655402 DDR655393:DDR655402 DNN655393:DNN655402 DXJ655393:DXJ655402 EHF655393:EHF655402 ERB655393:ERB655402 FAX655393:FAX655402 FKT655393:FKT655402 FUP655393:FUP655402 GEL655393:GEL655402 GOH655393:GOH655402 GYD655393:GYD655402 HHZ655393:HHZ655402 HRV655393:HRV655402 IBR655393:IBR655402 ILN655393:ILN655402 IVJ655393:IVJ655402 JFF655393:JFF655402 JPB655393:JPB655402 JYX655393:JYX655402 KIT655393:KIT655402 KSP655393:KSP655402 LCL655393:LCL655402 LMH655393:LMH655402 LWD655393:LWD655402 MFZ655393:MFZ655402 MPV655393:MPV655402 MZR655393:MZR655402 NJN655393:NJN655402 NTJ655393:NTJ655402 ODF655393:ODF655402 ONB655393:ONB655402 OWX655393:OWX655402 PGT655393:PGT655402 PQP655393:PQP655402 QAL655393:QAL655402 QKH655393:QKH655402 QUD655393:QUD655402 RDZ655393:RDZ655402 RNV655393:RNV655402 RXR655393:RXR655402 SHN655393:SHN655402 SRJ655393:SRJ655402 TBF655393:TBF655402 TLB655393:TLB655402 TUX655393:TUX655402 UET655393:UET655402 UOP655393:UOP655402 UYL655393:UYL655402 VIH655393:VIH655402 VSD655393:VSD655402 WBZ655393:WBZ655402 WLV655393:WLV655402 WVR655393:WVR655402 J720929:J720938 JF720929:JF720938 TB720929:TB720938 ACX720929:ACX720938 AMT720929:AMT720938 AWP720929:AWP720938 BGL720929:BGL720938 BQH720929:BQH720938 CAD720929:CAD720938 CJZ720929:CJZ720938 CTV720929:CTV720938 DDR720929:DDR720938 DNN720929:DNN720938 DXJ720929:DXJ720938 EHF720929:EHF720938 ERB720929:ERB720938 FAX720929:FAX720938 FKT720929:FKT720938 FUP720929:FUP720938 GEL720929:GEL720938 GOH720929:GOH720938 GYD720929:GYD720938 HHZ720929:HHZ720938 HRV720929:HRV720938 IBR720929:IBR720938 ILN720929:ILN720938 IVJ720929:IVJ720938 JFF720929:JFF720938 JPB720929:JPB720938 JYX720929:JYX720938 KIT720929:KIT720938 KSP720929:KSP720938 LCL720929:LCL720938 LMH720929:LMH720938 LWD720929:LWD720938 MFZ720929:MFZ720938 MPV720929:MPV720938 MZR720929:MZR720938 NJN720929:NJN720938 NTJ720929:NTJ720938 ODF720929:ODF720938 ONB720929:ONB720938 OWX720929:OWX720938 PGT720929:PGT720938 PQP720929:PQP720938 QAL720929:QAL720938 QKH720929:QKH720938 QUD720929:QUD720938 RDZ720929:RDZ720938 RNV720929:RNV720938 RXR720929:RXR720938 SHN720929:SHN720938 SRJ720929:SRJ720938 TBF720929:TBF720938 TLB720929:TLB720938 TUX720929:TUX720938 UET720929:UET720938 UOP720929:UOP720938 UYL720929:UYL720938 VIH720929:VIH720938 VSD720929:VSD720938 WBZ720929:WBZ720938 WLV720929:WLV720938 WVR720929:WVR720938 J786465:J786474 JF786465:JF786474 TB786465:TB786474 ACX786465:ACX786474 AMT786465:AMT786474 AWP786465:AWP786474 BGL786465:BGL786474 BQH786465:BQH786474 CAD786465:CAD786474 CJZ786465:CJZ786474 CTV786465:CTV786474 DDR786465:DDR786474 DNN786465:DNN786474 DXJ786465:DXJ786474 EHF786465:EHF786474 ERB786465:ERB786474 FAX786465:FAX786474 FKT786465:FKT786474 FUP786465:FUP786474 GEL786465:GEL786474 GOH786465:GOH786474 GYD786465:GYD786474 HHZ786465:HHZ786474 HRV786465:HRV786474 IBR786465:IBR786474 ILN786465:ILN786474 IVJ786465:IVJ786474 JFF786465:JFF786474 JPB786465:JPB786474 JYX786465:JYX786474 KIT786465:KIT786474 KSP786465:KSP786474 LCL786465:LCL786474 LMH786465:LMH786474 LWD786465:LWD786474 MFZ786465:MFZ786474 MPV786465:MPV786474 MZR786465:MZR786474 NJN786465:NJN786474 NTJ786465:NTJ786474 ODF786465:ODF786474 ONB786465:ONB786474 OWX786465:OWX786474 PGT786465:PGT786474 PQP786465:PQP786474 QAL786465:QAL786474 QKH786465:QKH786474 QUD786465:QUD786474 RDZ786465:RDZ786474 RNV786465:RNV786474 RXR786465:RXR786474 SHN786465:SHN786474 SRJ786465:SRJ786474 TBF786465:TBF786474 TLB786465:TLB786474 TUX786465:TUX786474 UET786465:UET786474 UOP786465:UOP786474 UYL786465:UYL786474 VIH786465:VIH786474 VSD786465:VSD786474 WBZ786465:WBZ786474 WLV786465:WLV786474 WVR786465:WVR786474 J852001:J852010 JF852001:JF852010 TB852001:TB852010 ACX852001:ACX852010 AMT852001:AMT852010 AWP852001:AWP852010 BGL852001:BGL852010 BQH852001:BQH852010 CAD852001:CAD852010 CJZ852001:CJZ852010 CTV852001:CTV852010 DDR852001:DDR852010 DNN852001:DNN852010 DXJ852001:DXJ852010 EHF852001:EHF852010 ERB852001:ERB852010 FAX852001:FAX852010 FKT852001:FKT852010 FUP852001:FUP852010 GEL852001:GEL852010 GOH852001:GOH852010 GYD852001:GYD852010 HHZ852001:HHZ852010 HRV852001:HRV852010 IBR852001:IBR852010 ILN852001:ILN852010 IVJ852001:IVJ852010 JFF852001:JFF852010 JPB852001:JPB852010 JYX852001:JYX852010 KIT852001:KIT852010 KSP852001:KSP852010 LCL852001:LCL852010 LMH852001:LMH852010 LWD852001:LWD852010 MFZ852001:MFZ852010 MPV852001:MPV852010 MZR852001:MZR852010 NJN852001:NJN852010 NTJ852001:NTJ852010 ODF852001:ODF852010 ONB852001:ONB852010 OWX852001:OWX852010 PGT852001:PGT852010 PQP852001:PQP852010 QAL852001:QAL852010 QKH852001:QKH852010 QUD852001:QUD852010 RDZ852001:RDZ852010 RNV852001:RNV852010 RXR852001:RXR852010 SHN852001:SHN852010 SRJ852001:SRJ852010 TBF852001:TBF852010 TLB852001:TLB852010 TUX852001:TUX852010 UET852001:UET852010 UOP852001:UOP852010 UYL852001:UYL852010 VIH852001:VIH852010 VSD852001:VSD852010 WBZ852001:WBZ852010 WLV852001:WLV852010 WVR852001:WVR852010 J917537:J917546 JF917537:JF917546 TB917537:TB917546 ACX917537:ACX917546 AMT917537:AMT917546 AWP917537:AWP917546 BGL917537:BGL917546 BQH917537:BQH917546 CAD917537:CAD917546 CJZ917537:CJZ917546 CTV917537:CTV917546 DDR917537:DDR917546 DNN917537:DNN917546 DXJ917537:DXJ917546 EHF917537:EHF917546 ERB917537:ERB917546 FAX917537:FAX917546 FKT917537:FKT917546 FUP917537:FUP917546 GEL917537:GEL917546 GOH917537:GOH917546 GYD917537:GYD917546 HHZ917537:HHZ917546 HRV917537:HRV917546 IBR917537:IBR917546 ILN917537:ILN917546 IVJ917537:IVJ917546 JFF917537:JFF917546 JPB917537:JPB917546 JYX917537:JYX917546 KIT917537:KIT917546 KSP917537:KSP917546 LCL917537:LCL917546 LMH917537:LMH917546 LWD917537:LWD917546 MFZ917537:MFZ917546 MPV917537:MPV917546 MZR917537:MZR917546 NJN917537:NJN917546 NTJ917537:NTJ917546 ODF917537:ODF917546 ONB917537:ONB917546 OWX917537:OWX917546 PGT917537:PGT917546 PQP917537:PQP917546 QAL917537:QAL917546 QKH917537:QKH917546 QUD917537:QUD917546 RDZ917537:RDZ917546 RNV917537:RNV917546 RXR917537:RXR917546 SHN917537:SHN917546 SRJ917537:SRJ917546 TBF917537:TBF917546 TLB917537:TLB917546 TUX917537:TUX917546 UET917537:UET917546 UOP917537:UOP917546 UYL917537:UYL917546 VIH917537:VIH917546 VSD917537:VSD917546 WBZ917537:WBZ917546 WLV917537:WLV917546 WVR917537:WVR917546 J983073:J983082 JF983073:JF983082 TB983073:TB983082 ACX983073:ACX983082 AMT983073:AMT983082 AWP983073:AWP983082 BGL983073:BGL983082 BQH983073:BQH983082 CAD983073:CAD983082 CJZ983073:CJZ983082 CTV983073:CTV983082 DDR983073:DDR983082 DNN983073:DNN983082 DXJ983073:DXJ983082 EHF983073:EHF983082 ERB983073:ERB983082 FAX983073:FAX983082 FKT983073:FKT983082 FUP983073:FUP983082 GEL983073:GEL983082 GOH983073:GOH983082 GYD983073:GYD983082 HHZ983073:HHZ983082 HRV983073:HRV983082 IBR983073:IBR983082 ILN983073:ILN983082 IVJ983073:IVJ983082 JFF983073:JFF983082 JPB983073:JPB983082 JYX983073:JYX983082 KIT983073:KIT983082 KSP983073:KSP983082 LCL983073:LCL983082 LMH983073:LMH983082 LWD983073:LWD983082 MFZ983073:MFZ983082 MPV983073:MPV983082 MZR983073:MZR983082 NJN983073:NJN983082 NTJ983073:NTJ983082 ODF983073:ODF983082 ONB983073:ONB983082 OWX983073:OWX983082 PGT983073:PGT983082 PQP983073:PQP983082 QAL983073:QAL983082 QKH983073:QKH983082 QUD983073:QUD983082 RDZ983073:RDZ983082 RNV983073:RNV983082 RXR983073:RXR983082 SHN983073:SHN983082 SRJ983073:SRJ983082 TBF983073:TBF983082 TLB983073:TLB983082 TUX983073:TUX983082 UET983073:UET983082 UOP983073:UOP983082 UYL983073:UYL983082 VIH983073:VIH983082 VSD983073:VSD983082 WBZ983073:WBZ983082 WLV983073:WLV983082 WVR983073:WVR983082">
      <formula1>"Yes,No"</formula1>
    </dataValidation>
    <dataValidation type="list" allowBlank="1" showInputMessage="1" showErrorMessage="1" sqref="E33:E42 JA33:JA42 SW33:SW42 ACS33:ACS42 AMO33:AMO42 AWK33:AWK42 BGG33:BGG42 BQC33:BQC42 BZY33:BZY42 CJU33:CJU42 CTQ33:CTQ42 DDM33:DDM42 DNI33:DNI42 DXE33:DXE42 EHA33:EHA42 EQW33:EQW42 FAS33:FAS42 FKO33:FKO42 FUK33:FUK42 GEG33:GEG42 GOC33:GOC42 GXY33:GXY42 HHU33:HHU42 HRQ33:HRQ42 IBM33:IBM42 ILI33:ILI42 IVE33:IVE42 JFA33:JFA42 JOW33:JOW42 JYS33:JYS42 KIO33:KIO42 KSK33:KSK42 LCG33:LCG42 LMC33:LMC42 LVY33:LVY42 MFU33:MFU42 MPQ33:MPQ42 MZM33:MZM42 NJI33:NJI42 NTE33:NTE42 ODA33:ODA42 OMW33:OMW42 OWS33:OWS42 PGO33:PGO42 PQK33:PQK42 QAG33:QAG42 QKC33:QKC42 QTY33:QTY42 RDU33:RDU42 RNQ33:RNQ42 RXM33:RXM42 SHI33:SHI42 SRE33:SRE42 TBA33:TBA42 TKW33:TKW42 TUS33:TUS42 UEO33:UEO42 UOK33:UOK42 UYG33:UYG42 VIC33:VIC42 VRY33:VRY42 WBU33:WBU42 WLQ33:WLQ42 WVM33:WVM42 E65569:E65578 JA65569:JA65578 SW65569:SW65578 ACS65569:ACS65578 AMO65569:AMO65578 AWK65569:AWK65578 BGG65569:BGG65578 BQC65569:BQC65578 BZY65569:BZY65578 CJU65569:CJU65578 CTQ65569:CTQ65578 DDM65569:DDM65578 DNI65569:DNI65578 DXE65569:DXE65578 EHA65569:EHA65578 EQW65569:EQW65578 FAS65569:FAS65578 FKO65569:FKO65578 FUK65569:FUK65578 GEG65569:GEG65578 GOC65569:GOC65578 GXY65569:GXY65578 HHU65569:HHU65578 HRQ65569:HRQ65578 IBM65569:IBM65578 ILI65569:ILI65578 IVE65569:IVE65578 JFA65569:JFA65578 JOW65569:JOW65578 JYS65569:JYS65578 KIO65569:KIO65578 KSK65569:KSK65578 LCG65569:LCG65578 LMC65569:LMC65578 LVY65569:LVY65578 MFU65569:MFU65578 MPQ65569:MPQ65578 MZM65569:MZM65578 NJI65569:NJI65578 NTE65569:NTE65578 ODA65569:ODA65578 OMW65569:OMW65578 OWS65569:OWS65578 PGO65569:PGO65578 PQK65569:PQK65578 QAG65569:QAG65578 QKC65569:QKC65578 QTY65569:QTY65578 RDU65569:RDU65578 RNQ65569:RNQ65578 RXM65569:RXM65578 SHI65569:SHI65578 SRE65569:SRE65578 TBA65569:TBA65578 TKW65569:TKW65578 TUS65569:TUS65578 UEO65569:UEO65578 UOK65569:UOK65578 UYG65569:UYG65578 VIC65569:VIC65578 VRY65569:VRY65578 WBU65569:WBU65578 WLQ65569:WLQ65578 WVM65569:WVM65578 E131105:E131114 JA131105:JA131114 SW131105:SW131114 ACS131105:ACS131114 AMO131105:AMO131114 AWK131105:AWK131114 BGG131105:BGG131114 BQC131105:BQC131114 BZY131105:BZY131114 CJU131105:CJU131114 CTQ131105:CTQ131114 DDM131105:DDM131114 DNI131105:DNI131114 DXE131105:DXE131114 EHA131105:EHA131114 EQW131105:EQW131114 FAS131105:FAS131114 FKO131105:FKO131114 FUK131105:FUK131114 GEG131105:GEG131114 GOC131105:GOC131114 GXY131105:GXY131114 HHU131105:HHU131114 HRQ131105:HRQ131114 IBM131105:IBM131114 ILI131105:ILI131114 IVE131105:IVE131114 JFA131105:JFA131114 JOW131105:JOW131114 JYS131105:JYS131114 KIO131105:KIO131114 KSK131105:KSK131114 LCG131105:LCG131114 LMC131105:LMC131114 LVY131105:LVY131114 MFU131105:MFU131114 MPQ131105:MPQ131114 MZM131105:MZM131114 NJI131105:NJI131114 NTE131105:NTE131114 ODA131105:ODA131114 OMW131105:OMW131114 OWS131105:OWS131114 PGO131105:PGO131114 PQK131105:PQK131114 QAG131105:QAG131114 QKC131105:QKC131114 QTY131105:QTY131114 RDU131105:RDU131114 RNQ131105:RNQ131114 RXM131105:RXM131114 SHI131105:SHI131114 SRE131105:SRE131114 TBA131105:TBA131114 TKW131105:TKW131114 TUS131105:TUS131114 UEO131105:UEO131114 UOK131105:UOK131114 UYG131105:UYG131114 VIC131105:VIC131114 VRY131105:VRY131114 WBU131105:WBU131114 WLQ131105:WLQ131114 WVM131105:WVM131114 E196641:E196650 JA196641:JA196650 SW196641:SW196650 ACS196641:ACS196650 AMO196641:AMO196650 AWK196641:AWK196650 BGG196641:BGG196650 BQC196641:BQC196650 BZY196641:BZY196650 CJU196641:CJU196650 CTQ196641:CTQ196650 DDM196641:DDM196650 DNI196641:DNI196650 DXE196641:DXE196650 EHA196641:EHA196650 EQW196641:EQW196650 FAS196641:FAS196650 FKO196641:FKO196650 FUK196641:FUK196650 GEG196641:GEG196650 GOC196641:GOC196650 GXY196641:GXY196650 HHU196641:HHU196650 HRQ196641:HRQ196650 IBM196641:IBM196650 ILI196641:ILI196650 IVE196641:IVE196650 JFA196641:JFA196650 JOW196641:JOW196650 JYS196641:JYS196650 KIO196641:KIO196650 KSK196641:KSK196650 LCG196641:LCG196650 LMC196641:LMC196650 LVY196641:LVY196650 MFU196641:MFU196650 MPQ196641:MPQ196650 MZM196641:MZM196650 NJI196641:NJI196650 NTE196641:NTE196650 ODA196641:ODA196650 OMW196641:OMW196650 OWS196641:OWS196650 PGO196641:PGO196650 PQK196641:PQK196650 QAG196641:QAG196650 QKC196641:QKC196650 QTY196641:QTY196650 RDU196641:RDU196650 RNQ196641:RNQ196650 RXM196641:RXM196650 SHI196641:SHI196650 SRE196641:SRE196650 TBA196641:TBA196650 TKW196641:TKW196650 TUS196641:TUS196650 UEO196641:UEO196650 UOK196641:UOK196650 UYG196641:UYG196650 VIC196641:VIC196650 VRY196641:VRY196650 WBU196641:WBU196650 WLQ196641:WLQ196650 WVM196641:WVM196650 E262177:E262186 JA262177:JA262186 SW262177:SW262186 ACS262177:ACS262186 AMO262177:AMO262186 AWK262177:AWK262186 BGG262177:BGG262186 BQC262177:BQC262186 BZY262177:BZY262186 CJU262177:CJU262186 CTQ262177:CTQ262186 DDM262177:DDM262186 DNI262177:DNI262186 DXE262177:DXE262186 EHA262177:EHA262186 EQW262177:EQW262186 FAS262177:FAS262186 FKO262177:FKO262186 FUK262177:FUK262186 GEG262177:GEG262186 GOC262177:GOC262186 GXY262177:GXY262186 HHU262177:HHU262186 HRQ262177:HRQ262186 IBM262177:IBM262186 ILI262177:ILI262186 IVE262177:IVE262186 JFA262177:JFA262186 JOW262177:JOW262186 JYS262177:JYS262186 KIO262177:KIO262186 KSK262177:KSK262186 LCG262177:LCG262186 LMC262177:LMC262186 LVY262177:LVY262186 MFU262177:MFU262186 MPQ262177:MPQ262186 MZM262177:MZM262186 NJI262177:NJI262186 NTE262177:NTE262186 ODA262177:ODA262186 OMW262177:OMW262186 OWS262177:OWS262186 PGO262177:PGO262186 PQK262177:PQK262186 QAG262177:QAG262186 QKC262177:QKC262186 QTY262177:QTY262186 RDU262177:RDU262186 RNQ262177:RNQ262186 RXM262177:RXM262186 SHI262177:SHI262186 SRE262177:SRE262186 TBA262177:TBA262186 TKW262177:TKW262186 TUS262177:TUS262186 UEO262177:UEO262186 UOK262177:UOK262186 UYG262177:UYG262186 VIC262177:VIC262186 VRY262177:VRY262186 WBU262177:WBU262186 WLQ262177:WLQ262186 WVM262177:WVM262186 E327713:E327722 JA327713:JA327722 SW327713:SW327722 ACS327713:ACS327722 AMO327713:AMO327722 AWK327713:AWK327722 BGG327713:BGG327722 BQC327713:BQC327722 BZY327713:BZY327722 CJU327713:CJU327722 CTQ327713:CTQ327722 DDM327713:DDM327722 DNI327713:DNI327722 DXE327713:DXE327722 EHA327713:EHA327722 EQW327713:EQW327722 FAS327713:FAS327722 FKO327713:FKO327722 FUK327713:FUK327722 GEG327713:GEG327722 GOC327713:GOC327722 GXY327713:GXY327722 HHU327713:HHU327722 HRQ327713:HRQ327722 IBM327713:IBM327722 ILI327713:ILI327722 IVE327713:IVE327722 JFA327713:JFA327722 JOW327713:JOW327722 JYS327713:JYS327722 KIO327713:KIO327722 KSK327713:KSK327722 LCG327713:LCG327722 LMC327713:LMC327722 LVY327713:LVY327722 MFU327713:MFU327722 MPQ327713:MPQ327722 MZM327713:MZM327722 NJI327713:NJI327722 NTE327713:NTE327722 ODA327713:ODA327722 OMW327713:OMW327722 OWS327713:OWS327722 PGO327713:PGO327722 PQK327713:PQK327722 QAG327713:QAG327722 QKC327713:QKC327722 QTY327713:QTY327722 RDU327713:RDU327722 RNQ327713:RNQ327722 RXM327713:RXM327722 SHI327713:SHI327722 SRE327713:SRE327722 TBA327713:TBA327722 TKW327713:TKW327722 TUS327713:TUS327722 UEO327713:UEO327722 UOK327713:UOK327722 UYG327713:UYG327722 VIC327713:VIC327722 VRY327713:VRY327722 WBU327713:WBU327722 WLQ327713:WLQ327722 WVM327713:WVM327722 E393249:E393258 JA393249:JA393258 SW393249:SW393258 ACS393249:ACS393258 AMO393249:AMO393258 AWK393249:AWK393258 BGG393249:BGG393258 BQC393249:BQC393258 BZY393249:BZY393258 CJU393249:CJU393258 CTQ393249:CTQ393258 DDM393249:DDM393258 DNI393249:DNI393258 DXE393249:DXE393258 EHA393249:EHA393258 EQW393249:EQW393258 FAS393249:FAS393258 FKO393249:FKO393258 FUK393249:FUK393258 GEG393249:GEG393258 GOC393249:GOC393258 GXY393249:GXY393258 HHU393249:HHU393258 HRQ393249:HRQ393258 IBM393249:IBM393258 ILI393249:ILI393258 IVE393249:IVE393258 JFA393249:JFA393258 JOW393249:JOW393258 JYS393249:JYS393258 KIO393249:KIO393258 KSK393249:KSK393258 LCG393249:LCG393258 LMC393249:LMC393258 LVY393249:LVY393258 MFU393249:MFU393258 MPQ393249:MPQ393258 MZM393249:MZM393258 NJI393249:NJI393258 NTE393249:NTE393258 ODA393249:ODA393258 OMW393249:OMW393258 OWS393249:OWS393258 PGO393249:PGO393258 PQK393249:PQK393258 QAG393249:QAG393258 QKC393249:QKC393258 QTY393249:QTY393258 RDU393249:RDU393258 RNQ393249:RNQ393258 RXM393249:RXM393258 SHI393249:SHI393258 SRE393249:SRE393258 TBA393249:TBA393258 TKW393249:TKW393258 TUS393249:TUS393258 UEO393249:UEO393258 UOK393249:UOK393258 UYG393249:UYG393258 VIC393249:VIC393258 VRY393249:VRY393258 WBU393249:WBU393258 WLQ393249:WLQ393258 WVM393249:WVM393258 E458785:E458794 JA458785:JA458794 SW458785:SW458794 ACS458785:ACS458794 AMO458785:AMO458794 AWK458785:AWK458794 BGG458785:BGG458794 BQC458785:BQC458794 BZY458785:BZY458794 CJU458785:CJU458794 CTQ458785:CTQ458794 DDM458785:DDM458794 DNI458785:DNI458794 DXE458785:DXE458794 EHA458785:EHA458794 EQW458785:EQW458794 FAS458785:FAS458794 FKO458785:FKO458794 FUK458785:FUK458794 GEG458785:GEG458794 GOC458785:GOC458794 GXY458785:GXY458794 HHU458785:HHU458794 HRQ458785:HRQ458794 IBM458785:IBM458794 ILI458785:ILI458794 IVE458785:IVE458794 JFA458785:JFA458794 JOW458785:JOW458794 JYS458785:JYS458794 KIO458785:KIO458794 KSK458785:KSK458794 LCG458785:LCG458794 LMC458785:LMC458794 LVY458785:LVY458794 MFU458785:MFU458794 MPQ458785:MPQ458794 MZM458785:MZM458794 NJI458785:NJI458794 NTE458785:NTE458794 ODA458785:ODA458794 OMW458785:OMW458794 OWS458785:OWS458794 PGO458785:PGO458794 PQK458785:PQK458794 QAG458785:QAG458794 QKC458785:QKC458794 QTY458785:QTY458794 RDU458785:RDU458794 RNQ458785:RNQ458794 RXM458785:RXM458794 SHI458785:SHI458794 SRE458785:SRE458794 TBA458785:TBA458794 TKW458785:TKW458794 TUS458785:TUS458794 UEO458785:UEO458794 UOK458785:UOK458794 UYG458785:UYG458794 VIC458785:VIC458794 VRY458785:VRY458794 WBU458785:WBU458794 WLQ458785:WLQ458794 WVM458785:WVM458794 E524321:E524330 JA524321:JA524330 SW524321:SW524330 ACS524321:ACS524330 AMO524321:AMO524330 AWK524321:AWK524330 BGG524321:BGG524330 BQC524321:BQC524330 BZY524321:BZY524330 CJU524321:CJU524330 CTQ524321:CTQ524330 DDM524321:DDM524330 DNI524321:DNI524330 DXE524321:DXE524330 EHA524321:EHA524330 EQW524321:EQW524330 FAS524321:FAS524330 FKO524321:FKO524330 FUK524321:FUK524330 GEG524321:GEG524330 GOC524321:GOC524330 GXY524321:GXY524330 HHU524321:HHU524330 HRQ524321:HRQ524330 IBM524321:IBM524330 ILI524321:ILI524330 IVE524321:IVE524330 JFA524321:JFA524330 JOW524321:JOW524330 JYS524321:JYS524330 KIO524321:KIO524330 KSK524321:KSK524330 LCG524321:LCG524330 LMC524321:LMC524330 LVY524321:LVY524330 MFU524321:MFU524330 MPQ524321:MPQ524330 MZM524321:MZM524330 NJI524321:NJI524330 NTE524321:NTE524330 ODA524321:ODA524330 OMW524321:OMW524330 OWS524321:OWS524330 PGO524321:PGO524330 PQK524321:PQK524330 QAG524321:QAG524330 QKC524321:QKC524330 QTY524321:QTY524330 RDU524321:RDU524330 RNQ524321:RNQ524330 RXM524321:RXM524330 SHI524321:SHI524330 SRE524321:SRE524330 TBA524321:TBA524330 TKW524321:TKW524330 TUS524321:TUS524330 UEO524321:UEO524330 UOK524321:UOK524330 UYG524321:UYG524330 VIC524321:VIC524330 VRY524321:VRY524330 WBU524321:WBU524330 WLQ524321:WLQ524330 WVM524321:WVM524330 E589857:E589866 JA589857:JA589866 SW589857:SW589866 ACS589857:ACS589866 AMO589857:AMO589866 AWK589857:AWK589866 BGG589857:BGG589866 BQC589857:BQC589866 BZY589857:BZY589866 CJU589857:CJU589866 CTQ589857:CTQ589866 DDM589857:DDM589866 DNI589857:DNI589866 DXE589857:DXE589866 EHA589857:EHA589866 EQW589857:EQW589866 FAS589857:FAS589866 FKO589857:FKO589866 FUK589857:FUK589866 GEG589857:GEG589866 GOC589857:GOC589866 GXY589857:GXY589866 HHU589857:HHU589866 HRQ589857:HRQ589866 IBM589857:IBM589866 ILI589857:ILI589866 IVE589857:IVE589866 JFA589857:JFA589866 JOW589857:JOW589866 JYS589857:JYS589866 KIO589857:KIO589866 KSK589857:KSK589866 LCG589857:LCG589866 LMC589857:LMC589866 LVY589857:LVY589866 MFU589857:MFU589866 MPQ589857:MPQ589866 MZM589857:MZM589866 NJI589857:NJI589866 NTE589857:NTE589866 ODA589857:ODA589866 OMW589857:OMW589866 OWS589857:OWS589866 PGO589857:PGO589866 PQK589857:PQK589866 QAG589857:QAG589866 QKC589857:QKC589866 QTY589857:QTY589866 RDU589857:RDU589866 RNQ589857:RNQ589866 RXM589857:RXM589866 SHI589857:SHI589866 SRE589857:SRE589866 TBA589857:TBA589866 TKW589857:TKW589866 TUS589857:TUS589866 UEO589857:UEO589866 UOK589857:UOK589866 UYG589857:UYG589866 VIC589857:VIC589866 VRY589857:VRY589866 WBU589857:WBU589866 WLQ589857:WLQ589866 WVM589857:WVM589866 E655393:E655402 JA655393:JA655402 SW655393:SW655402 ACS655393:ACS655402 AMO655393:AMO655402 AWK655393:AWK655402 BGG655393:BGG655402 BQC655393:BQC655402 BZY655393:BZY655402 CJU655393:CJU655402 CTQ655393:CTQ655402 DDM655393:DDM655402 DNI655393:DNI655402 DXE655393:DXE655402 EHA655393:EHA655402 EQW655393:EQW655402 FAS655393:FAS655402 FKO655393:FKO655402 FUK655393:FUK655402 GEG655393:GEG655402 GOC655393:GOC655402 GXY655393:GXY655402 HHU655393:HHU655402 HRQ655393:HRQ655402 IBM655393:IBM655402 ILI655393:ILI655402 IVE655393:IVE655402 JFA655393:JFA655402 JOW655393:JOW655402 JYS655393:JYS655402 KIO655393:KIO655402 KSK655393:KSK655402 LCG655393:LCG655402 LMC655393:LMC655402 LVY655393:LVY655402 MFU655393:MFU655402 MPQ655393:MPQ655402 MZM655393:MZM655402 NJI655393:NJI655402 NTE655393:NTE655402 ODA655393:ODA655402 OMW655393:OMW655402 OWS655393:OWS655402 PGO655393:PGO655402 PQK655393:PQK655402 QAG655393:QAG655402 QKC655393:QKC655402 QTY655393:QTY655402 RDU655393:RDU655402 RNQ655393:RNQ655402 RXM655393:RXM655402 SHI655393:SHI655402 SRE655393:SRE655402 TBA655393:TBA655402 TKW655393:TKW655402 TUS655393:TUS655402 UEO655393:UEO655402 UOK655393:UOK655402 UYG655393:UYG655402 VIC655393:VIC655402 VRY655393:VRY655402 WBU655393:WBU655402 WLQ655393:WLQ655402 WVM655393:WVM655402 E720929:E720938 JA720929:JA720938 SW720929:SW720938 ACS720929:ACS720938 AMO720929:AMO720938 AWK720929:AWK720938 BGG720929:BGG720938 BQC720929:BQC720938 BZY720929:BZY720938 CJU720929:CJU720938 CTQ720929:CTQ720938 DDM720929:DDM720938 DNI720929:DNI720938 DXE720929:DXE720938 EHA720929:EHA720938 EQW720929:EQW720938 FAS720929:FAS720938 FKO720929:FKO720938 FUK720929:FUK720938 GEG720929:GEG720938 GOC720929:GOC720938 GXY720929:GXY720938 HHU720929:HHU720938 HRQ720929:HRQ720938 IBM720929:IBM720938 ILI720929:ILI720938 IVE720929:IVE720938 JFA720929:JFA720938 JOW720929:JOW720938 JYS720929:JYS720938 KIO720929:KIO720938 KSK720929:KSK720938 LCG720929:LCG720938 LMC720929:LMC720938 LVY720929:LVY720938 MFU720929:MFU720938 MPQ720929:MPQ720938 MZM720929:MZM720938 NJI720929:NJI720938 NTE720929:NTE720938 ODA720929:ODA720938 OMW720929:OMW720938 OWS720929:OWS720938 PGO720929:PGO720938 PQK720929:PQK720938 QAG720929:QAG720938 QKC720929:QKC720938 QTY720929:QTY720938 RDU720929:RDU720938 RNQ720929:RNQ720938 RXM720929:RXM720938 SHI720929:SHI720938 SRE720929:SRE720938 TBA720929:TBA720938 TKW720929:TKW720938 TUS720929:TUS720938 UEO720929:UEO720938 UOK720929:UOK720938 UYG720929:UYG720938 VIC720929:VIC720938 VRY720929:VRY720938 WBU720929:WBU720938 WLQ720929:WLQ720938 WVM720929:WVM720938 E786465:E786474 JA786465:JA786474 SW786465:SW786474 ACS786465:ACS786474 AMO786465:AMO786474 AWK786465:AWK786474 BGG786465:BGG786474 BQC786465:BQC786474 BZY786465:BZY786474 CJU786465:CJU786474 CTQ786465:CTQ786474 DDM786465:DDM786474 DNI786465:DNI786474 DXE786465:DXE786474 EHA786465:EHA786474 EQW786465:EQW786474 FAS786465:FAS786474 FKO786465:FKO786474 FUK786465:FUK786474 GEG786465:GEG786474 GOC786465:GOC786474 GXY786465:GXY786474 HHU786465:HHU786474 HRQ786465:HRQ786474 IBM786465:IBM786474 ILI786465:ILI786474 IVE786465:IVE786474 JFA786465:JFA786474 JOW786465:JOW786474 JYS786465:JYS786474 KIO786465:KIO786474 KSK786465:KSK786474 LCG786465:LCG786474 LMC786465:LMC786474 LVY786465:LVY786474 MFU786465:MFU786474 MPQ786465:MPQ786474 MZM786465:MZM786474 NJI786465:NJI786474 NTE786465:NTE786474 ODA786465:ODA786474 OMW786465:OMW786474 OWS786465:OWS786474 PGO786465:PGO786474 PQK786465:PQK786474 QAG786465:QAG786474 QKC786465:QKC786474 QTY786465:QTY786474 RDU786465:RDU786474 RNQ786465:RNQ786474 RXM786465:RXM786474 SHI786465:SHI786474 SRE786465:SRE786474 TBA786465:TBA786474 TKW786465:TKW786474 TUS786465:TUS786474 UEO786465:UEO786474 UOK786465:UOK786474 UYG786465:UYG786474 VIC786465:VIC786474 VRY786465:VRY786474 WBU786465:WBU786474 WLQ786465:WLQ786474 WVM786465:WVM786474 E852001:E852010 JA852001:JA852010 SW852001:SW852010 ACS852001:ACS852010 AMO852001:AMO852010 AWK852001:AWK852010 BGG852001:BGG852010 BQC852001:BQC852010 BZY852001:BZY852010 CJU852001:CJU852010 CTQ852001:CTQ852010 DDM852001:DDM852010 DNI852001:DNI852010 DXE852001:DXE852010 EHA852001:EHA852010 EQW852001:EQW852010 FAS852001:FAS852010 FKO852001:FKO852010 FUK852001:FUK852010 GEG852001:GEG852010 GOC852001:GOC852010 GXY852001:GXY852010 HHU852001:HHU852010 HRQ852001:HRQ852010 IBM852001:IBM852010 ILI852001:ILI852010 IVE852001:IVE852010 JFA852001:JFA852010 JOW852001:JOW852010 JYS852001:JYS852010 KIO852001:KIO852010 KSK852001:KSK852010 LCG852001:LCG852010 LMC852001:LMC852010 LVY852001:LVY852010 MFU852001:MFU852010 MPQ852001:MPQ852010 MZM852001:MZM852010 NJI852001:NJI852010 NTE852001:NTE852010 ODA852001:ODA852010 OMW852001:OMW852010 OWS852001:OWS852010 PGO852001:PGO852010 PQK852001:PQK852010 QAG852001:QAG852010 QKC852001:QKC852010 QTY852001:QTY852010 RDU852001:RDU852010 RNQ852001:RNQ852010 RXM852001:RXM852010 SHI852001:SHI852010 SRE852001:SRE852010 TBA852001:TBA852010 TKW852001:TKW852010 TUS852001:TUS852010 UEO852001:UEO852010 UOK852001:UOK852010 UYG852001:UYG852010 VIC852001:VIC852010 VRY852001:VRY852010 WBU852001:WBU852010 WLQ852001:WLQ852010 WVM852001:WVM852010 E917537:E917546 JA917537:JA917546 SW917537:SW917546 ACS917537:ACS917546 AMO917537:AMO917546 AWK917537:AWK917546 BGG917537:BGG917546 BQC917537:BQC917546 BZY917537:BZY917546 CJU917537:CJU917546 CTQ917537:CTQ917546 DDM917537:DDM917546 DNI917537:DNI917546 DXE917537:DXE917546 EHA917537:EHA917546 EQW917537:EQW917546 FAS917537:FAS917546 FKO917537:FKO917546 FUK917537:FUK917546 GEG917537:GEG917546 GOC917537:GOC917546 GXY917537:GXY917546 HHU917537:HHU917546 HRQ917537:HRQ917546 IBM917537:IBM917546 ILI917537:ILI917546 IVE917537:IVE917546 JFA917537:JFA917546 JOW917537:JOW917546 JYS917537:JYS917546 KIO917537:KIO917546 KSK917537:KSK917546 LCG917537:LCG917546 LMC917537:LMC917546 LVY917537:LVY917546 MFU917537:MFU917546 MPQ917537:MPQ917546 MZM917537:MZM917546 NJI917537:NJI917546 NTE917537:NTE917546 ODA917537:ODA917546 OMW917537:OMW917546 OWS917537:OWS917546 PGO917537:PGO917546 PQK917537:PQK917546 QAG917537:QAG917546 QKC917537:QKC917546 QTY917537:QTY917546 RDU917537:RDU917546 RNQ917537:RNQ917546 RXM917537:RXM917546 SHI917537:SHI917546 SRE917537:SRE917546 TBA917537:TBA917546 TKW917537:TKW917546 TUS917537:TUS917546 UEO917537:UEO917546 UOK917537:UOK917546 UYG917537:UYG917546 VIC917537:VIC917546 VRY917537:VRY917546 WBU917537:WBU917546 WLQ917537:WLQ917546 WVM917537:WVM917546 E983073:E983082 JA983073:JA983082 SW983073:SW983082 ACS983073:ACS983082 AMO983073:AMO983082 AWK983073:AWK983082 BGG983073:BGG983082 BQC983073:BQC983082 BZY983073:BZY983082 CJU983073:CJU983082 CTQ983073:CTQ983082 DDM983073:DDM983082 DNI983073:DNI983082 DXE983073:DXE983082 EHA983073:EHA983082 EQW983073:EQW983082 FAS983073:FAS983082 FKO983073:FKO983082 FUK983073:FUK983082 GEG983073:GEG983082 GOC983073:GOC983082 GXY983073:GXY983082 HHU983073:HHU983082 HRQ983073:HRQ983082 IBM983073:IBM983082 ILI983073:ILI983082 IVE983073:IVE983082 JFA983073:JFA983082 JOW983073:JOW983082 JYS983073:JYS983082 KIO983073:KIO983082 KSK983073:KSK983082 LCG983073:LCG983082 LMC983073:LMC983082 LVY983073:LVY983082 MFU983073:MFU983082 MPQ983073:MPQ983082 MZM983073:MZM983082 NJI983073:NJI983082 NTE983073:NTE983082 ODA983073:ODA983082 OMW983073:OMW983082 OWS983073:OWS983082 PGO983073:PGO983082 PQK983073:PQK983082 QAG983073:QAG983082 QKC983073:QKC983082 QTY983073:QTY983082 RDU983073:RDU983082 RNQ983073:RNQ983082 RXM983073:RXM983082 SHI983073:SHI983082 SRE983073:SRE983082 TBA983073:TBA983082 TKW983073:TKW983082 TUS983073:TUS983082 UEO983073:UEO983082 UOK983073:UOK983082 UYG983073:UYG983082 VIC983073:VIC983082 VRY983073:VRY983082 WBU983073:WBU983082 WLQ983073:WLQ983082 WVM983073:WVM983082">
      <formula1>"Incandescent,Screw-Based CFL,Pin-type fluorescent,Metal Halide,High Pressure Sodium,LED,Other"</formula1>
    </dataValidation>
    <dataValidation type="list" allowBlank="1" showInputMessage="1" showErrorMessage="1" sqref="N33:O42 JJ33:JK42 TF33:TG42 ADB33:ADC42 AMX33:AMY42 AWT33:AWU42 BGP33:BGQ42 BQL33:BQM42 CAH33:CAI42 CKD33:CKE42 CTZ33:CUA42 DDV33:DDW42 DNR33:DNS42 DXN33:DXO42 EHJ33:EHK42 ERF33:ERG42 FBB33:FBC42 FKX33:FKY42 FUT33:FUU42 GEP33:GEQ42 GOL33:GOM42 GYH33:GYI42 HID33:HIE42 HRZ33:HSA42 IBV33:IBW42 ILR33:ILS42 IVN33:IVO42 JFJ33:JFK42 JPF33:JPG42 JZB33:JZC42 KIX33:KIY42 KST33:KSU42 LCP33:LCQ42 LML33:LMM42 LWH33:LWI42 MGD33:MGE42 MPZ33:MQA42 MZV33:MZW42 NJR33:NJS42 NTN33:NTO42 ODJ33:ODK42 ONF33:ONG42 OXB33:OXC42 PGX33:PGY42 PQT33:PQU42 QAP33:QAQ42 QKL33:QKM42 QUH33:QUI42 RED33:REE42 RNZ33:ROA42 RXV33:RXW42 SHR33:SHS42 SRN33:SRO42 TBJ33:TBK42 TLF33:TLG42 TVB33:TVC42 UEX33:UEY42 UOT33:UOU42 UYP33:UYQ42 VIL33:VIM42 VSH33:VSI42 WCD33:WCE42 WLZ33:WMA42 WVV33:WVW42 N65569:O65578 JJ65569:JK65578 TF65569:TG65578 ADB65569:ADC65578 AMX65569:AMY65578 AWT65569:AWU65578 BGP65569:BGQ65578 BQL65569:BQM65578 CAH65569:CAI65578 CKD65569:CKE65578 CTZ65569:CUA65578 DDV65569:DDW65578 DNR65569:DNS65578 DXN65569:DXO65578 EHJ65569:EHK65578 ERF65569:ERG65578 FBB65569:FBC65578 FKX65569:FKY65578 FUT65569:FUU65578 GEP65569:GEQ65578 GOL65569:GOM65578 GYH65569:GYI65578 HID65569:HIE65578 HRZ65569:HSA65578 IBV65569:IBW65578 ILR65569:ILS65578 IVN65569:IVO65578 JFJ65569:JFK65578 JPF65569:JPG65578 JZB65569:JZC65578 KIX65569:KIY65578 KST65569:KSU65578 LCP65569:LCQ65578 LML65569:LMM65578 LWH65569:LWI65578 MGD65569:MGE65578 MPZ65569:MQA65578 MZV65569:MZW65578 NJR65569:NJS65578 NTN65569:NTO65578 ODJ65569:ODK65578 ONF65569:ONG65578 OXB65569:OXC65578 PGX65569:PGY65578 PQT65569:PQU65578 QAP65569:QAQ65578 QKL65569:QKM65578 QUH65569:QUI65578 RED65569:REE65578 RNZ65569:ROA65578 RXV65569:RXW65578 SHR65569:SHS65578 SRN65569:SRO65578 TBJ65569:TBK65578 TLF65569:TLG65578 TVB65569:TVC65578 UEX65569:UEY65578 UOT65569:UOU65578 UYP65569:UYQ65578 VIL65569:VIM65578 VSH65569:VSI65578 WCD65569:WCE65578 WLZ65569:WMA65578 WVV65569:WVW65578 N131105:O131114 JJ131105:JK131114 TF131105:TG131114 ADB131105:ADC131114 AMX131105:AMY131114 AWT131105:AWU131114 BGP131105:BGQ131114 BQL131105:BQM131114 CAH131105:CAI131114 CKD131105:CKE131114 CTZ131105:CUA131114 DDV131105:DDW131114 DNR131105:DNS131114 DXN131105:DXO131114 EHJ131105:EHK131114 ERF131105:ERG131114 FBB131105:FBC131114 FKX131105:FKY131114 FUT131105:FUU131114 GEP131105:GEQ131114 GOL131105:GOM131114 GYH131105:GYI131114 HID131105:HIE131114 HRZ131105:HSA131114 IBV131105:IBW131114 ILR131105:ILS131114 IVN131105:IVO131114 JFJ131105:JFK131114 JPF131105:JPG131114 JZB131105:JZC131114 KIX131105:KIY131114 KST131105:KSU131114 LCP131105:LCQ131114 LML131105:LMM131114 LWH131105:LWI131114 MGD131105:MGE131114 MPZ131105:MQA131114 MZV131105:MZW131114 NJR131105:NJS131114 NTN131105:NTO131114 ODJ131105:ODK131114 ONF131105:ONG131114 OXB131105:OXC131114 PGX131105:PGY131114 PQT131105:PQU131114 QAP131105:QAQ131114 QKL131105:QKM131114 QUH131105:QUI131114 RED131105:REE131114 RNZ131105:ROA131114 RXV131105:RXW131114 SHR131105:SHS131114 SRN131105:SRO131114 TBJ131105:TBK131114 TLF131105:TLG131114 TVB131105:TVC131114 UEX131105:UEY131114 UOT131105:UOU131114 UYP131105:UYQ131114 VIL131105:VIM131114 VSH131105:VSI131114 WCD131105:WCE131114 WLZ131105:WMA131114 WVV131105:WVW131114 N196641:O196650 JJ196641:JK196650 TF196641:TG196650 ADB196641:ADC196650 AMX196641:AMY196650 AWT196641:AWU196650 BGP196641:BGQ196650 BQL196641:BQM196650 CAH196641:CAI196650 CKD196641:CKE196650 CTZ196641:CUA196650 DDV196641:DDW196650 DNR196641:DNS196650 DXN196641:DXO196650 EHJ196641:EHK196650 ERF196641:ERG196650 FBB196641:FBC196650 FKX196641:FKY196650 FUT196641:FUU196650 GEP196641:GEQ196650 GOL196641:GOM196650 GYH196641:GYI196650 HID196641:HIE196650 HRZ196641:HSA196650 IBV196641:IBW196650 ILR196641:ILS196650 IVN196641:IVO196650 JFJ196641:JFK196650 JPF196641:JPG196650 JZB196641:JZC196650 KIX196641:KIY196650 KST196641:KSU196650 LCP196641:LCQ196650 LML196641:LMM196650 LWH196641:LWI196650 MGD196641:MGE196650 MPZ196641:MQA196650 MZV196641:MZW196650 NJR196641:NJS196650 NTN196641:NTO196650 ODJ196641:ODK196650 ONF196641:ONG196650 OXB196641:OXC196650 PGX196641:PGY196650 PQT196641:PQU196650 QAP196641:QAQ196650 QKL196641:QKM196650 QUH196641:QUI196650 RED196641:REE196650 RNZ196641:ROA196650 RXV196641:RXW196650 SHR196641:SHS196650 SRN196641:SRO196650 TBJ196641:TBK196650 TLF196641:TLG196650 TVB196641:TVC196650 UEX196641:UEY196650 UOT196641:UOU196650 UYP196641:UYQ196650 VIL196641:VIM196650 VSH196641:VSI196650 WCD196641:WCE196650 WLZ196641:WMA196650 WVV196641:WVW196650 N262177:O262186 JJ262177:JK262186 TF262177:TG262186 ADB262177:ADC262186 AMX262177:AMY262186 AWT262177:AWU262186 BGP262177:BGQ262186 BQL262177:BQM262186 CAH262177:CAI262186 CKD262177:CKE262186 CTZ262177:CUA262186 DDV262177:DDW262186 DNR262177:DNS262186 DXN262177:DXO262186 EHJ262177:EHK262186 ERF262177:ERG262186 FBB262177:FBC262186 FKX262177:FKY262186 FUT262177:FUU262186 GEP262177:GEQ262186 GOL262177:GOM262186 GYH262177:GYI262186 HID262177:HIE262186 HRZ262177:HSA262186 IBV262177:IBW262186 ILR262177:ILS262186 IVN262177:IVO262186 JFJ262177:JFK262186 JPF262177:JPG262186 JZB262177:JZC262186 KIX262177:KIY262186 KST262177:KSU262186 LCP262177:LCQ262186 LML262177:LMM262186 LWH262177:LWI262186 MGD262177:MGE262186 MPZ262177:MQA262186 MZV262177:MZW262186 NJR262177:NJS262186 NTN262177:NTO262186 ODJ262177:ODK262186 ONF262177:ONG262186 OXB262177:OXC262186 PGX262177:PGY262186 PQT262177:PQU262186 QAP262177:QAQ262186 QKL262177:QKM262186 QUH262177:QUI262186 RED262177:REE262186 RNZ262177:ROA262186 RXV262177:RXW262186 SHR262177:SHS262186 SRN262177:SRO262186 TBJ262177:TBK262186 TLF262177:TLG262186 TVB262177:TVC262186 UEX262177:UEY262186 UOT262177:UOU262186 UYP262177:UYQ262186 VIL262177:VIM262186 VSH262177:VSI262186 WCD262177:WCE262186 WLZ262177:WMA262186 WVV262177:WVW262186 N327713:O327722 JJ327713:JK327722 TF327713:TG327722 ADB327713:ADC327722 AMX327713:AMY327722 AWT327713:AWU327722 BGP327713:BGQ327722 BQL327713:BQM327722 CAH327713:CAI327722 CKD327713:CKE327722 CTZ327713:CUA327722 DDV327713:DDW327722 DNR327713:DNS327722 DXN327713:DXO327722 EHJ327713:EHK327722 ERF327713:ERG327722 FBB327713:FBC327722 FKX327713:FKY327722 FUT327713:FUU327722 GEP327713:GEQ327722 GOL327713:GOM327722 GYH327713:GYI327722 HID327713:HIE327722 HRZ327713:HSA327722 IBV327713:IBW327722 ILR327713:ILS327722 IVN327713:IVO327722 JFJ327713:JFK327722 JPF327713:JPG327722 JZB327713:JZC327722 KIX327713:KIY327722 KST327713:KSU327722 LCP327713:LCQ327722 LML327713:LMM327722 LWH327713:LWI327722 MGD327713:MGE327722 MPZ327713:MQA327722 MZV327713:MZW327722 NJR327713:NJS327722 NTN327713:NTO327722 ODJ327713:ODK327722 ONF327713:ONG327722 OXB327713:OXC327722 PGX327713:PGY327722 PQT327713:PQU327722 QAP327713:QAQ327722 QKL327713:QKM327722 QUH327713:QUI327722 RED327713:REE327722 RNZ327713:ROA327722 RXV327713:RXW327722 SHR327713:SHS327722 SRN327713:SRO327722 TBJ327713:TBK327722 TLF327713:TLG327722 TVB327713:TVC327722 UEX327713:UEY327722 UOT327713:UOU327722 UYP327713:UYQ327722 VIL327713:VIM327722 VSH327713:VSI327722 WCD327713:WCE327722 WLZ327713:WMA327722 WVV327713:WVW327722 N393249:O393258 JJ393249:JK393258 TF393249:TG393258 ADB393249:ADC393258 AMX393249:AMY393258 AWT393249:AWU393258 BGP393249:BGQ393258 BQL393249:BQM393258 CAH393249:CAI393258 CKD393249:CKE393258 CTZ393249:CUA393258 DDV393249:DDW393258 DNR393249:DNS393258 DXN393249:DXO393258 EHJ393249:EHK393258 ERF393249:ERG393258 FBB393249:FBC393258 FKX393249:FKY393258 FUT393249:FUU393258 GEP393249:GEQ393258 GOL393249:GOM393258 GYH393249:GYI393258 HID393249:HIE393258 HRZ393249:HSA393258 IBV393249:IBW393258 ILR393249:ILS393258 IVN393249:IVO393258 JFJ393249:JFK393258 JPF393249:JPG393258 JZB393249:JZC393258 KIX393249:KIY393258 KST393249:KSU393258 LCP393249:LCQ393258 LML393249:LMM393258 LWH393249:LWI393258 MGD393249:MGE393258 MPZ393249:MQA393258 MZV393249:MZW393258 NJR393249:NJS393258 NTN393249:NTO393258 ODJ393249:ODK393258 ONF393249:ONG393258 OXB393249:OXC393258 PGX393249:PGY393258 PQT393249:PQU393258 QAP393249:QAQ393258 QKL393249:QKM393258 QUH393249:QUI393258 RED393249:REE393258 RNZ393249:ROA393258 RXV393249:RXW393258 SHR393249:SHS393258 SRN393249:SRO393258 TBJ393249:TBK393258 TLF393249:TLG393258 TVB393249:TVC393258 UEX393249:UEY393258 UOT393249:UOU393258 UYP393249:UYQ393258 VIL393249:VIM393258 VSH393249:VSI393258 WCD393249:WCE393258 WLZ393249:WMA393258 WVV393249:WVW393258 N458785:O458794 JJ458785:JK458794 TF458785:TG458794 ADB458785:ADC458794 AMX458785:AMY458794 AWT458785:AWU458794 BGP458785:BGQ458794 BQL458785:BQM458794 CAH458785:CAI458794 CKD458785:CKE458794 CTZ458785:CUA458794 DDV458785:DDW458794 DNR458785:DNS458794 DXN458785:DXO458794 EHJ458785:EHK458794 ERF458785:ERG458794 FBB458785:FBC458794 FKX458785:FKY458794 FUT458785:FUU458794 GEP458785:GEQ458794 GOL458785:GOM458794 GYH458785:GYI458794 HID458785:HIE458794 HRZ458785:HSA458794 IBV458785:IBW458794 ILR458785:ILS458794 IVN458785:IVO458794 JFJ458785:JFK458794 JPF458785:JPG458794 JZB458785:JZC458794 KIX458785:KIY458794 KST458785:KSU458794 LCP458785:LCQ458794 LML458785:LMM458794 LWH458785:LWI458794 MGD458785:MGE458794 MPZ458785:MQA458794 MZV458785:MZW458794 NJR458785:NJS458794 NTN458785:NTO458794 ODJ458785:ODK458794 ONF458785:ONG458794 OXB458785:OXC458794 PGX458785:PGY458794 PQT458785:PQU458794 QAP458785:QAQ458794 QKL458785:QKM458794 QUH458785:QUI458794 RED458785:REE458794 RNZ458785:ROA458794 RXV458785:RXW458794 SHR458785:SHS458794 SRN458785:SRO458794 TBJ458785:TBK458794 TLF458785:TLG458794 TVB458785:TVC458794 UEX458785:UEY458794 UOT458785:UOU458794 UYP458785:UYQ458794 VIL458785:VIM458794 VSH458785:VSI458794 WCD458785:WCE458794 WLZ458785:WMA458794 WVV458785:WVW458794 N524321:O524330 JJ524321:JK524330 TF524321:TG524330 ADB524321:ADC524330 AMX524321:AMY524330 AWT524321:AWU524330 BGP524321:BGQ524330 BQL524321:BQM524330 CAH524321:CAI524330 CKD524321:CKE524330 CTZ524321:CUA524330 DDV524321:DDW524330 DNR524321:DNS524330 DXN524321:DXO524330 EHJ524321:EHK524330 ERF524321:ERG524330 FBB524321:FBC524330 FKX524321:FKY524330 FUT524321:FUU524330 GEP524321:GEQ524330 GOL524321:GOM524330 GYH524321:GYI524330 HID524321:HIE524330 HRZ524321:HSA524330 IBV524321:IBW524330 ILR524321:ILS524330 IVN524321:IVO524330 JFJ524321:JFK524330 JPF524321:JPG524330 JZB524321:JZC524330 KIX524321:KIY524330 KST524321:KSU524330 LCP524321:LCQ524330 LML524321:LMM524330 LWH524321:LWI524330 MGD524321:MGE524330 MPZ524321:MQA524330 MZV524321:MZW524330 NJR524321:NJS524330 NTN524321:NTO524330 ODJ524321:ODK524330 ONF524321:ONG524330 OXB524321:OXC524330 PGX524321:PGY524330 PQT524321:PQU524330 QAP524321:QAQ524330 QKL524321:QKM524330 QUH524321:QUI524330 RED524321:REE524330 RNZ524321:ROA524330 RXV524321:RXW524330 SHR524321:SHS524330 SRN524321:SRO524330 TBJ524321:TBK524330 TLF524321:TLG524330 TVB524321:TVC524330 UEX524321:UEY524330 UOT524321:UOU524330 UYP524321:UYQ524330 VIL524321:VIM524330 VSH524321:VSI524330 WCD524321:WCE524330 WLZ524321:WMA524330 WVV524321:WVW524330 N589857:O589866 JJ589857:JK589866 TF589857:TG589866 ADB589857:ADC589866 AMX589857:AMY589866 AWT589857:AWU589866 BGP589857:BGQ589866 BQL589857:BQM589866 CAH589857:CAI589866 CKD589857:CKE589866 CTZ589857:CUA589866 DDV589857:DDW589866 DNR589857:DNS589866 DXN589857:DXO589866 EHJ589857:EHK589866 ERF589857:ERG589866 FBB589857:FBC589866 FKX589857:FKY589866 FUT589857:FUU589866 GEP589857:GEQ589866 GOL589857:GOM589866 GYH589857:GYI589866 HID589857:HIE589866 HRZ589857:HSA589866 IBV589857:IBW589866 ILR589857:ILS589866 IVN589857:IVO589866 JFJ589857:JFK589866 JPF589857:JPG589866 JZB589857:JZC589866 KIX589857:KIY589866 KST589857:KSU589866 LCP589857:LCQ589866 LML589857:LMM589866 LWH589857:LWI589866 MGD589857:MGE589866 MPZ589857:MQA589866 MZV589857:MZW589866 NJR589857:NJS589866 NTN589857:NTO589866 ODJ589857:ODK589866 ONF589857:ONG589866 OXB589857:OXC589866 PGX589857:PGY589866 PQT589857:PQU589866 QAP589857:QAQ589866 QKL589857:QKM589866 QUH589857:QUI589866 RED589857:REE589866 RNZ589857:ROA589866 RXV589857:RXW589866 SHR589857:SHS589866 SRN589857:SRO589866 TBJ589857:TBK589866 TLF589857:TLG589866 TVB589857:TVC589866 UEX589857:UEY589866 UOT589857:UOU589866 UYP589857:UYQ589866 VIL589857:VIM589866 VSH589857:VSI589866 WCD589857:WCE589866 WLZ589857:WMA589866 WVV589857:WVW589866 N655393:O655402 JJ655393:JK655402 TF655393:TG655402 ADB655393:ADC655402 AMX655393:AMY655402 AWT655393:AWU655402 BGP655393:BGQ655402 BQL655393:BQM655402 CAH655393:CAI655402 CKD655393:CKE655402 CTZ655393:CUA655402 DDV655393:DDW655402 DNR655393:DNS655402 DXN655393:DXO655402 EHJ655393:EHK655402 ERF655393:ERG655402 FBB655393:FBC655402 FKX655393:FKY655402 FUT655393:FUU655402 GEP655393:GEQ655402 GOL655393:GOM655402 GYH655393:GYI655402 HID655393:HIE655402 HRZ655393:HSA655402 IBV655393:IBW655402 ILR655393:ILS655402 IVN655393:IVO655402 JFJ655393:JFK655402 JPF655393:JPG655402 JZB655393:JZC655402 KIX655393:KIY655402 KST655393:KSU655402 LCP655393:LCQ655402 LML655393:LMM655402 LWH655393:LWI655402 MGD655393:MGE655402 MPZ655393:MQA655402 MZV655393:MZW655402 NJR655393:NJS655402 NTN655393:NTO655402 ODJ655393:ODK655402 ONF655393:ONG655402 OXB655393:OXC655402 PGX655393:PGY655402 PQT655393:PQU655402 QAP655393:QAQ655402 QKL655393:QKM655402 QUH655393:QUI655402 RED655393:REE655402 RNZ655393:ROA655402 RXV655393:RXW655402 SHR655393:SHS655402 SRN655393:SRO655402 TBJ655393:TBK655402 TLF655393:TLG655402 TVB655393:TVC655402 UEX655393:UEY655402 UOT655393:UOU655402 UYP655393:UYQ655402 VIL655393:VIM655402 VSH655393:VSI655402 WCD655393:WCE655402 WLZ655393:WMA655402 WVV655393:WVW655402 N720929:O720938 JJ720929:JK720938 TF720929:TG720938 ADB720929:ADC720938 AMX720929:AMY720938 AWT720929:AWU720938 BGP720929:BGQ720938 BQL720929:BQM720938 CAH720929:CAI720938 CKD720929:CKE720938 CTZ720929:CUA720938 DDV720929:DDW720938 DNR720929:DNS720938 DXN720929:DXO720938 EHJ720929:EHK720938 ERF720929:ERG720938 FBB720929:FBC720938 FKX720929:FKY720938 FUT720929:FUU720938 GEP720929:GEQ720938 GOL720929:GOM720938 GYH720929:GYI720938 HID720929:HIE720938 HRZ720929:HSA720938 IBV720929:IBW720938 ILR720929:ILS720938 IVN720929:IVO720938 JFJ720929:JFK720938 JPF720929:JPG720938 JZB720929:JZC720938 KIX720929:KIY720938 KST720929:KSU720938 LCP720929:LCQ720938 LML720929:LMM720938 LWH720929:LWI720938 MGD720929:MGE720938 MPZ720929:MQA720938 MZV720929:MZW720938 NJR720929:NJS720938 NTN720929:NTO720938 ODJ720929:ODK720938 ONF720929:ONG720938 OXB720929:OXC720938 PGX720929:PGY720938 PQT720929:PQU720938 QAP720929:QAQ720938 QKL720929:QKM720938 QUH720929:QUI720938 RED720929:REE720938 RNZ720929:ROA720938 RXV720929:RXW720938 SHR720929:SHS720938 SRN720929:SRO720938 TBJ720929:TBK720938 TLF720929:TLG720938 TVB720929:TVC720938 UEX720929:UEY720938 UOT720929:UOU720938 UYP720929:UYQ720938 VIL720929:VIM720938 VSH720929:VSI720938 WCD720929:WCE720938 WLZ720929:WMA720938 WVV720929:WVW720938 N786465:O786474 JJ786465:JK786474 TF786465:TG786474 ADB786465:ADC786474 AMX786465:AMY786474 AWT786465:AWU786474 BGP786465:BGQ786474 BQL786465:BQM786474 CAH786465:CAI786474 CKD786465:CKE786474 CTZ786465:CUA786474 DDV786465:DDW786474 DNR786465:DNS786474 DXN786465:DXO786474 EHJ786465:EHK786474 ERF786465:ERG786474 FBB786465:FBC786474 FKX786465:FKY786474 FUT786465:FUU786474 GEP786465:GEQ786474 GOL786465:GOM786474 GYH786465:GYI786474 HID786465:HIE786474 HRZ786465:HSA786474 IBV786465:IBW786474 ILR786465:ILS786474 IVN786465:IVO786474 JFJ786465:JFK786474 JPF786465:JPG786474 JZB786465:JZC786474 KIX786465:KIY786474 KST786465:KSU786474 LCP786465:LCQ786474 LML786465:LMM786474 LWH786465:LWI786474 MGD786465:MGE786474 MPZ786465:MQA786474 MZV786465:MZW786474 NJR786465:NJS786474 NTN786465:NTO786474 ODJ786465:ODK786474 ONF786465:ONG786474 OXB786465:OXC786474 PGX786465:PGY786474 PQT786465:PQU786474 QAP786465:QAQ786474 QKL786465:QKM786474 QUH786465:QUI786474 RED786465:REE786474 RNZ786465:ROA786474 RXV786465:RXW786474 SHR786465:SHS786474 SRN786465:SRO786474 TBJ786465:TBK786474 TLF786465:TLG786474 TVB786465:TVC786474 UEX786465:UEY786474 UOT786465:UOU786474 UYP786465:UYQ786474 VIL786465:VIM786474 VSH786465:VSI786474 WCD786465:WCE786474 WLZ786465:WMA786474 WVV786465:WVW786474 N852001:O852010 JJ852001:JK852010 TF852001:TG852010 ADB852001:ADC852010 AMX852001:AMY852010 AWT852001:AWU852010 BGP852001:BGQ852010 BQL852001:BQM852010 CAH852001:CAI852010 CKD852001:CKE852010 CTZ852001:CUA852010 DDV852001:DDW852010 DNR852001:DNS852010 DXN852001:DXO852010 EHJ852001:EHK852010 ERF852001:ERG852010 FBB852001:FBC852010 FKX852001:FKY852010 FUT852001:FUU852010 GEP852001:GEQ852010 GOL852001:GOM852010 GYH852001:GYI852010 HID852001:HIE852010 HRZ852001:HSA852010 IBV852001:IBW852010 ILR852001:ILS852010 IVN852001:IVO852010 JFJ852001:JFK852010 JPF852001:JPG852010 JZB852001:JZC852010 KIX852001:KIY852010 KST852001:KSU852010 LCP852001:LCQ852010 LML852001:LMM852010 LWH852001:LWI852010 MGD852001:MGE852010 MPZ852001:MQA852010 MZV852001:MZW852010 NJR852001:NJS852010 NTN852001:NTO852010 ODJ852001:ODK852010 ONF852001:ONG852010 OXB852001:OXC852010 PGX852001:PGY852010 PQT852001:PQU852010 QAP852001:QAQ852010 QKL852001:QKM852010 QUH852001:QUI852010 RED852001:REE852010 RNZ852001:ROA852010 RXV852001:RXW852010 SHR852001:SHS852010 SRN852001:SRO852010 TBJ852001:TBK852010 TLF852001:TLG852010 TVB852001:TVC852010 UEX852001:UEY852010 UOT852001:UOU852010 UYP852001:UYQ852010 VIL852001:VIM852010 VSH852001:VSI852010 WCD852001:WCE852010 WLZ852001:WMA852010 WVV852001:WVW852010 N917537:O917546 JJ917537:JK917546 TF917537:TG917546 ADB917537:ADC917546 AMX917537:AMY917546 AWT917537:AWU917546 BGP917537:BGQ917546 BQL917537:BQM917546 CAH917537:CAI917546 CKD917537:CKE917546 CTZ917537:CUA917546 DDV917537:DDW917546 DNR917537:DNS917546 DXN917537:DXO917546 EHJ917537:EHK917546 ERF917537:ERG917546 FBB917537:FBC917546 FKX917537:FKY917546 FUT917537:FUU917546 GEP917537:GEQ917546 GOL917537:GOM917546 GYH917537:GYI917546 HID917537:HIE917546 HRZ917537:HSA917546 IBV917537:IBW917546 ILR917537:ILS917546 IVN917537:IVO917546 JFJ917537:JFK917546 JPF917537:JPG917546 JZB917537:JZC917546 KIX917537:KIY917546 KST917537:KSU917546 LCP917537:LCQ917546 LML917537:LMM917546 LWH917537:LWI917546 MGD917537:MGE917546 MPZ917537:MQA917546 MZV917537:MZW917546 NJR917537:NJS917546 NTN917537:NTO917546 ODJ917537:ODK917546 ONF917537:ONG917546 OXB917537:OXC917546 PGX917537:PGY917546 PQT917537:PQU917546 QAP917537:QAQ917546 QKL917537:QKM917546 QUH917537:QUI917546 RED917537:REE917546 RNZ917537:ROA917546 RXV917537:RXW917546 SHR917537:SHS917546 SRN917537:SRO917546 TBJ917537:TBK917546 TLF917537:TLG917546 TVB917537:TVC917546 UEX917537:UEY917546 UOT917537:UOU917546 UYP917537:UYQ917546 VIL917537:VIM917546 VSH917537:VSI917546 WCD917537:WCE917546 WLZ917537:WMA917546 WVV917537:WVW917546 N983073:O983082 JJ983073:JK983082 TF983073:TG983082 ADB983073:ADC983082 AMX983073:AMY983082 AWT983073:AWU983082 BGP983073:BGQ983082 BQL983073:BQM983082 CAH983073:CAI983082 CKD983073:CKE983082 CTZ983073:CUA983082 DDV983073:DDW983082 DNR983073:DNS983082 DXN983073:DXO983082 EHJ983073:EHK983082 ERF983073:ERG983082 FBB983073:FBC983082 FKX983073:FKY983082 FUT983073:FUU983082 GEP983073:GEQ983082 GOL983073:GOM983082 GYH983073:GYI983082 HID983073:HIE983082 HRZ983073:HSA983082 IBV983073:IBW983082 ILR983073:ILS983082 IVN983073:IVO983082 JFJ983073:JFK983082 JPF983073:JPG983082 JZB983073:JZC983082 KIX983073:KIY983082 KST983073:KSU983082 LCP983073:LCQ983082 LML983073:LMM983082 LWH983073:LWI983082 MGD983073:MGE983082 MPZ983073:MQA983082 MZV983073:MZW983082 NJR983073:NJS983082 NTN983073:NTO983082 ODJ983073:ODK983082 ONF983073:ONG983082 OXB983073:OXC983082 PGX983073:PGY983082 PQT983073:PQU983082 QAP983073:QAQ983082 QKL983073:QKM983082 QUH983073:QUI983082 RED983073:REE983082 RNZ983073:ROA983082 RXV983073:RXW983082 SHR983073:SHS983082 SRN983073:SRO983082 TBJ983073:TBK983082 TLF983073:TLG983082 TVB983073:TVC983082 UEX983073:UEY983082 UOT983073:UOU983082 UYP983073:UYQ983082 VIL983073:VIM983082 VSH983073:VSI983082 WCD983073:WCE983082 WLZ983073:WMA983082 WVV983073:WVW983082 L96:M104 JH96:JI104 TD96:TE104 ACZ96:ADA104 AMV96:AMW104 AWR96:AWS104 BGN96:BGO104 BQJ96:BQK104 CAF96:CAG104 CKB96:CKC104 CTX96:CTY104 DDT96:DDU104 DNP96:DNQ104 DXL96:DXM104 EHH96:EHI104 ERD96:ERE104 FAZ96:FBA104 FKV96:FKW104 FUR96:FUS104 GEN96:GEO104 GOJ96:GOK104 GYF96:GYG104 HIB96:HIC104 HRX96:HRY104 IBT96:IBU104 ILP96:ILQ104 IVL96:IVM104 JFH96:JFI104 JPD96:JPE104 JYZ96:JZA104 KIV96:KIW104 KSR96:KSS104 LCN96:LCO104 LMJ96:LMK104 LWF96:LWG104 MGB96:MGC104 MPX96:MPY104 MZT96:MZU104 NJP96:NJQ104 NTL96:NTM104 ODH96:ODI104 OND96:ONE104 OWZ96:OXA104 PGV96:PGW104 PQR96:PQS104 QAN96:QAO104 QKJ96:QKK104 QUF96:QUG104 REB96:REC104 RNX96:RNY104 RXT96:RXU104 SHP96:SHQ104 SRL96:SRM104 TBH96:TBI104 TLD96:TLE104 TUZ96:TVA104 UEV96:UEW104 UOR96:UOS104 UYN96:UYO104 VIJ96:VIK104 VSF96:VSG104 WCB96:WCC104 WLX96:WLY104 WVT96:WVU104 L65632:M65640 JH65632:JI65640 TD65632:TE65640 ACZ65632:ADA65640 AMV65632:AMW65640 AWR65632:AWS65640 BGN65632:BGO65640 BQJ65632:BQK65640 CAF65632:CAG65640 CKB65632:CKC65640 CTX65632:CTY65640 DDT65632:DDU65640 DNP65632:DNQ65640 DXL65632:DXM65640 EHH65632:EHI65640 ERD65632:ERE65640 FAZ65632:FBA65640 FKV65632:FKW65640 FUR65632:FUS65640 GEN65632:GEO65640 GOJ65632:GOK65640 GYF65632:GYG65640 HIB65632:HIC65640 HRX65632:HRY65640 IBT65632:IBU65640 ILP65632:ILQ65640 IVL65632:IVM65640 JFH65632:JFI65640 JPD65632:JPE65640 JYZ65632:JZA65640 KIV65632:KIW65640 KSR65632:KSS65640 LCN65632:LCO65640 LMJ65632:LMK65640 LWF65632:LWG65640 MGB65632:MGC65640 MPX65632:MPY65640 MZT65632:MZU65640 NJP65632:NJQ65640 NTL65632:NTM65640 ODH65632:ODI65640 OND65632:ONE65640 OWZ65632:OXA65640 PGV65632:PGW65640 PQR65632:PQS65640 QAN65632:QAO65640 QKJ65632:QKK65640 QUF65632:QUG65640 REB65632:REC65640 RNX65632:RNY65640 RXT65632:RXU65640 SHP65632:SHQ65640 SRL65632:SRM65640 TBH65632:TBI65640 TLD65632:TLE65640 TUZ65632:TVA65640 UEV65632:UEW65640 UOR65632:UOS65640 UYN65632:UYO65640 VIJ65632:VIK65640 VSF65632:VSG65640 WCB65632:WCC65640 WLX65632:WLY65640 WVT65632:WVU65640 L131168:M131176 JH131168:JI131176 TD131168:TE131176 ACZ131168:ADA131176 AMV131168:AMW131176 AWR131168:AWS131176 BGN131168:BGO131176 BQJ131168:BQK131176 CAF131168:CAG131176 CKB131168:CKC131176 CTX131168:CTY131176 DDT131168:DDU131176 DNP131168:DNQ131176 DXL131168:DXM131176 EHH131168:EHI131176 ERD131168:ERE131176 FAZ131168:FBA131176 FKV131168:FKW131176 FUR131168:FUS131176 GEN131168:GEO131176 GOJ131168:GOK131176 GYF131168:GYG131176 HIB131168:HIC131176 HRX131168:HRY131176 IBT131168:IBU131176 ILP131168:ILQ131176 IVL131168:IVM131176 JFH131168:JFI131176 JPD131168:JPE131176 JYZ131168:JZA131176 KIV131168:KIW131176 KSR131168:KSS131176 LCN131168:LCO131176 LMJ131168:LMK131176 LWF131168:LWG131176 MGB131168:MGC131176 MPX131168:MPY131176 MZT131168:MZU131176 NJP131168:NJQ131176 NTL131168:NTM131176 ODH131168:ODI131176 OND131168:ONE131176 OWZ131168:OXA131176 PGV131168:PGW131176 PQR131168:PQS131176 QAN131168:QAO131176 QKJ131168:QKK131176 QUF131168:QUG131176 REB131168:REC131176 RNX131168:RNY131176 RXT131168:RXU131176 SHP131168:SHQ131176 SRL131168:SRM131176 TBH131168:TBI131176 TLD131168:TLE131176 TUZ131168:TVA131176 UEV131168:UEW131176 UOR131168:UOS131176 UYN131168:UYO131176 VIJ131168:VIK131176 VSF131168:VSG131176 WCB131168:WCC131176 WLX131168:WLY131176 WVT131168:WVU131176 L196704:M196712 JH196704:JI196712 TD196704:TE196712 ACZ196704:ADA196712 AMV196704:AMW196712 AWR196704:AWS196712 BGN196704:BGO196712 BQJ196704:BQK196712 CAF196704:CAG196712 CKB196704:CKC196712 CTX196704:CTY196712 DDT196704:DDU196712 DNP196704:DNQ196712 DXL196704:DXM196712 EHH196704:EHI196712 ERD196704:ERE196712 FAZ196704:FBA196712 FKV196704:FKW196712 FUR196704:FUS196712 GEN196704:GEO196712 GOJ196704:GOK196712 GYF196704:GYG196712 HIB196704:HIC196712 HRX196704:HRY196712 IBT196704:IBU196712 ILP196704:ILQ196712 IVL196704:IVM196712 JFH196704:JFI196712 JPD196704:JPE196712 JYZ196704:JZA196712 KIV196704:KIW196712 KSR196704:KSS196712 LCN196704:LCO196712 LMJ196704:LMK196712 LWF196704:LWG196712 MGB196704:MGC196712 MPX196704:MPY196712 MZT196704:MZU196712 NJP196704:NJQ196712 NTL196704:NTM196712 ODH196704:ODI196712 OND196704:ONE196712 OWZ196704:OXA196712 PGV196704:PGW196712 PQR196704:PQS196712 QAN196704:QAO196712 QKJ196704:QKK196712 QUF196704:QUG196712 REB196704:REC196712 RNX196704:RNY196712 RXT196704:RXU196712 SHP196704:SHQ196712 SRL196704:SRM196712 TBH196704:TBI196712 TLD196704:TLE196712 TUZ196704:TVA196712 UEV196704:UEW196712 UOR196704:UOS196712 UYN196704:UYO196712 VIJ196704:VIK196712 VSF196704:VSG196712 WCB196704:WCC196712 WLX196704:WLY196712 WVT196704:WVU196712 L262240:M262248 JH262240:JI262248 TD262240:TE262248 ACZ262240:ADA262248 AMV262240:AMW262248 AWR262240:AWS262248 BGN262240:BGO262248 BQJ262240:BQK262248 CAF262240:CAG262248 CKB262240:CKC262248 CTX262240:CTY262248 DDT262240:DDU262248 DNP262240:DNQ262248 DXL262240:DXM262248 EHH262240:EHI262248 ERD262240:ERE262248 FAZ262240:FBA262248 FKV262240:FKW262248 FUR262240:FUS262248 GEN262240:GEO262248 GOJ262240:GOK262248 GYF262240:GYG262248 HIB262240:HIC262248 HRX262240:HRY262248 IBT262240:IBU262248 ILP262240:ILQ262248 IVL262240:IVM262248 JFH262240:JFI262248 JPD262240:JPE262248 JYZ262240:JZA262248 KIV262240:KIW262248 KSR262240:KSS262248 LCN262240:LCO262248 LMJ262240:LMK262248 LWF262240:LWG262248 MGB262240:MGC262248 MPX262240:MPY262248 MZT262240:MZU262248 NJP262240:NJQ262248 NTL262240:NTM262248 ODH262240:ODI262248 OND262240:ONE262248 OWZ262240:OXA262248 PGV262240:PGW262248 PQR262240:PQS262248 QAN262240:QAO262248 QKJ262240:QKK262248 QUF262240:QUG262248 REB262240:REC262248 RNX262240:RNY262248 RXT262240:RXU262248 SHP262240:SHQ262248 SRL262240:SRM262248 TBH262240:TBI262248 TLD262240:TLE262248 TUZ262240:TVA262248 UEV262240:UEW262248 UOR262240:UOS262248 UYN262240:UYO262248 VIJ262240:VIK262248 VSF262240:VSG262248 WCB262240:WCC262248 WLX262240:WLY262248 WVT262240:WVU262248 L327776:M327784 JH327776:JI327784 TD327776:TE327784 ACZ327776:ADA327784 AMV327776:AMW327784 AWR327776:AWS327784 BGN327776:BGO327784 BQJ327776:BQK327784 CAF327776:CAG327784 CKB327776:CKC327784 CTX327776:CTY327784 DDT327776:DDU327784 DNP327776:DNQ327784 DXL327776:DXM327784 EHH327776:EHI327784 ERD327776:ERE327784 FAZ327776:FBA327784 FKV327776:FKW327784 FUR327776:FUS327784 GEN327776:GEO327784 GOJ327776:GOK327784 GYF327776:GYG327784 HIB327776:HIC327784 HRX327776:HRY327784 IBT327776:IBU327784 ILP327776:ILQ327784 IVL327776:IVM327784 JFH327776:JFI327784 JPD327776:JPE327784 JYZ327776:JZA327784 KIV327776:KIW327784 KSR327776:KSS327784 LCN327776:LCO327784 LMJ327776:LMK327784 LWF327776:LWG327784 MGB327776:MGC327784 MPX327776:MPY327784 MZT327776:MZU327784 NJP327776:NJQ327784 NTL327776:NTM327784 ODH327776:ODI327784 OND327776:ONE327784 OWZ327776:OXA327784 PGV327776:PGW327784 PQR327776:PQS327784 QAN327776:QAO327784 QKJ327776:QKK327784 QUF327776:QUG327784 REB327776:REC327784 RNX327776:RNY327784 RXT327776:RXU327784 SHP327776:SHQ327784 SRL327776:SRM327784 TBH327776:TBI327784 TLD327776:TLE327784 TUZ327776:TVA327784 UEV327776:UEW327784 UOR327776:UOS327784 UYN327776:UYO327784 VIJ327776:VIK327784 VSF327776:VSG327784 WCB327776:WCC327784 WLX327776:WLY327784 WVT327776:WVU327784 L393312:M393320 JH393312:JI393320 TD393312:TE393320 ACZ393312:ADA393320 AMV393312:AMW393320 AWR393312:AWS393320 BGN393312:BGO393320 BQJ393312:BQK393320 CAF393312:CAG393320 CKB393312:CKC393320 CTX393312:CTY393320 DDT393312:DDU393320 DNP393312:DNQ393320 DXL393312:DXM393320 EHH393312:EHI393320 ERD393312:ERE393320 FAZ393312:FBA393320 FKV393312:FKW393320 FUR393312:FUS393320 GEN393312:GEO393320 GOJ393312:GOK393320 GYF393312:GYG393320 HIB393312:HIC393320 HRX393312:HRY393320 IBT393312:IBU393320 ILP393312:ILQ393320 IVL393312:IVM393320 JFH393312:JFI393320 JPD393312:JPE393320 JYZ393312:JZA393320 KIV393312:KIW393320 KSR393312:KSS393320 LCN393312:LCO393320 LMJ393312:LMK393320 LWF393312:LWG393320 MGB393312:MGC393320 MPX393312:MPY393320 MZT393312:MZU393320 NJP393312:NJQ393320 NTL393312:NTM393320 ODH393312:ODI393320 OND393312:ONE393320 OWZ393312:OXA393320 PGV393312:PGW393320 PQR393312:PQS393320 QAN393312:QAO393320 QKJ393312:QKK393320 QUF393312:QUG393320 REB393312:REC393320 RNX393312:RNY393320 RXT393312:RXU393320 SHP393312:SHQ393320 SRL393312:SRM393320 TBH393312:TBI393320 TLD393312:TLE393320 TUZ393312:TVA393320 UEV393312:UEW393320 UOR393312:UOS393320 UYN393312:UYO393320 VIJ393312:VIK393320 VSF393312:VSG393320 WCB393312:WCC393320 WLX393312:WLY393320 WVT393312:WVU393320 L458848:M458856 JH458848:JI458856 TD458848:TE458856 ACZ458848:ADA458856 AMV458848:AMW458856 AWR458848:AWS458856 BGN458848:BGO458856 BQJ458848:BQK458856 CAF458848:CAG458856 CKB458848:CKC458856 CTX458848:CTY458856 DDT458848:DDU458856 DNP458848:DNQ458856 DXL458848:DXM458856 EHH458848:EHI458856 ERD458848:ERE458856 FAZ458848:FBA458856 FKV458848:FKW458856 FUR458848:FUS458856 GEN458848:GEO458856 GOJ458848:GOK458856 GYF458848:GYG458856 HIB458848:HIC458856 HRX458848:HRY458856 IBT458848:IBU458856 ILP458848:ILQ458856 IVL458848:IVM458856 JFH458848:JFI458856 JPD458848:JPE458856 JYZ458848:JZA458856 KIV458848:KIW458856 KSR458848:KSS458856 LCN458848:LCO458856 LMJ458848:LMK458856 LWF458848:LWG458856 MGB458848:MGC458856 MPX458848:MPY458856 MZT458848:MZU458856 NJP458848:NJQ458856 NTL458848:NTM458856 ODH458848:ODI458856 OND458848:ONE458856 OWZ458848:OXA458856 PGV458848:PGW458856 PQR458848:PQS458856 QAN458848:QAO458856 QKJ458848:QKK458856 QUF458848:QUG458856 REB458848:REC458856 RNX458848:RNY458856 RXT458848:RXU458856 SHP458848:SHQ458856 SRL458848:SRM458856 TBH458848:TBI458856 TLD458848:TLE458856 TUZ458848:TVA458856 UEV458848:UEW458856 UOR458848:UOS458856 UYN458848:UYO458856 VIJ458848:VIK458856 VSF458848:VSG458856 WCB458848:WCC458856 WLX458848:WLY458856 WVT458848:WVU458856 L524384:M524392 JH524384:JI524392 TD524384:TE524392 ACZ524384:ADA524392 AMV524384:AMW524392 AWR524384:AWS524392 BGN524384:BGO524392 BQJ524384:BQK524392 CAF524384:CAG524392 CKB524384:CKC524392 CTX524384:CTY524392 DDT524384:DDU524392 DNP524384:DNQ524392 DXL524384:DXM524392 EHH524384:EHI524392 ERD524384:ERE524392 FAZ524384:FBA524392 FKV524384:FKW524392 FUR524384:FUS524392 GEN524384:GEO524392 GOJ524384:GOK524392 GYF524384:GYG524392 HIB524384:HIC524392 HRX524384:HRY524392 IBT524384:IBU524392 ILP524384:ILQ524392 IVL524384:IVM524392 JFH524384:JFI524392 JPD524384:JPE524392 JYZ524384:JZA524392 KIV524384:KIW524392 KSR524384:KSS524392 LCN524384:LCO524392 LMJ524384:LMK524392 LWF524384:LWG524392 MGB524384:MGC524392 MPX524384:MPY524392 MZT524384:MZU524392 NJP524384:NJQ524392 NTL524384:NTM524392 ODH524384:ODI524392 OND524384:ONE524392 OWZ524384:OXA524392 PGV524384:PGW524392 PQR524384:PQS524392 QAN524384:QAO524392 QKJ524384:QKK524392 QUF524384:QUG524392 REB524384:REC524392 RNX524384:RNY524392 RXT524384:RXU524392 SHP524384:SHQ524392 SRL524384:SRM524392 TBH524384:TBI524392 TLD524384:TLE524392 TUZ524384:TVA524392 UEV524384:UEW524392 UOR524384:UOS524392 UYN524384:UYO524392 VIJ524384:VIK524392 VSF524384:VSG524392 WCB524384:WCC524392 WLX524384:WLY524392 WVT524384:WVU524392 L589920:M589928 JH589920:JI589928 TD589920:TE589928 ACZ589920:ADA589928 AMV589920:AMW589928 AWR589920:AWS589928 BGN589920:BGO589928 BQJ589920:BQK589928 CAF589920:CAG589928 CKB589920:CKC589928 CTX589920:CTY589928 DDT589920:DDU589928 DNP589920:DNQ589928 DXL589920:DXM589928 EHH589920:EHI589928 ERD589920:ERE589928 FAZ589920:FBA589928 FKV589920:FKW589928 FUR589920:FUS589928 GEN589920:GEO589928 GOJ589920:GOK589928 GYF589920:GYG589928 HIB589920:HIC589928 HRX589920:HRY589928 IBT589920:IBU589928 ILP589920:ILQ589928 IVL589920:IVM589928 JFH589920:JFI589928 JPD589920:JPE589928 JYZ589920:JZA589928 KIV589920:KIW589928 KSR589920:KSS589928 LCN589920:LCO589928 LMJ589920:LMK589928 LWF589920:LWG589928 MGB589920:MGC589928 MPX589920:MPY589928 MZT589920:MZU589928 NJP589920:NJQ589928 NTL589920:NTM589928 ODH589920:ODI589928 OND589920:ONE589928 OWZ589920:OXA589928 PGV589920:PGW589928 PQR589920:PQS589928 QAN589920:QAO589928 QKJ589920:QKK589928 QUF589920:QUG589928 REB589920:REC589928 RNX589920:RNY589928 RXT589920:RXU589928 SHP589920:SHQ589928 SRL589920:SRM589928 TBH589920:TBI589928 TLD589920:TLE589928 TUZ589920:TVA589928 UEV589920:UEW589928 UOR589920:UOS589928 UYN589920:UYO589928 VIJ589920:VIK589928 VSF589920:VSG589928 WCB589920:WCC589928 WLX589920:WLY589928 WVT589920:WVU589928 L655456:M655464 JH655456:JI655464 TD655456:TE655464 ACZ655456:ADA655464 AMV655456:AMW655464 AWR655456:AWS655464 BGN655456:BGO655464 BQJ655456:BQK655464 CAF655456:CAG655464 CKB655456:CKC655464 CTX655456:CTY655464 DDT655456:DDU655464 DNP655456:DNQ655464 DXL655456:DXM655464 EHH655456:EHI655464 ERD655456:ERE655464 FAZ655456:FBA655464 FKV655456:FKW655464 FUR655456:FUS655464 GEN655456:GEO655464 GOJ655456:GOK655464 GYF655456:GYG655464 HIB655456:HIC655464 HRX655456:HRY655464 IBT655456:IBU655464 ILP655456:ILQ655464 IVL655456:IVM655464 JFH655456:JFI655464 JPD655456:JPE655464 JYZ655456:JZA655464 KIV655456:KIW655464 KSR655456:KSS655464 LCN655456:LCO655464 LMJ655456:LMK655464 LWF655456:LWG655464 MGB655456:MGC655464 MPX655456:MPY655464 MZT655456:MZU655464 NJP655456:NJQ655464 NTL655456:NTM655464 ODH655456:ODI655464 OND655456:ONE655464 OWZ655456:OXA655464 PGV655456:PGW655464 PQR655456:PQS655464 QAN655456:QAO655464 QKJ655456:QKK655464 QUF655456:QUG655464 REB655456:REC655464 RNX655456:RNY655464 RXT655456:RXU655464 SHP655456:SHQ655464 SRL655456:SRM655464 TBH655456:TBI655464 TLD655456:TLE655464 TUZ655456:TVA655464 UEV655456:UEW655464 UOR655456:UOS655464 UYN655456:UYO655464 VIJ655456:VIK655464 VSF655456:VSG655464 WCB655456:WCC655464 WLX655456:WLY655464 WVT655456:WVU655464 L720992:M721000 JH720992:JI721000 TD720992:TE721000 ACZ720992:ADA721000 AMV720992:AMW721000 AWR720992:AWS721000 BGN720992:BGO721000 BQJ720992:BQK721000 CAF720992:CAG721000 CKB720992:CKC721000 CTX720992:CTY721000 DDT720992:DDU721000 DNP720992:DNQ721000 DXL720992:DXM721000 EHH720992:EHI721000 ERD720992:ERE721000 FAZ720992:FBA721000 FKV720992:FKW721000 FUR720992:FUS721000 GEN720992:GEO721000 GOJ720992:GOK721000 GYF720992:GYG721000 HIB720992:HIC721000 HRX720992:HRY721000 IBT720992:IBU721000 ILP720992:ILQ721000 IVL720992:IVM721000 JFH720992:JFI721000 JPD720992:JPE721000 JYZ720992:JZA721000 KIV720992:KIW721000 KSR720992:KSS721000 LCN720992:LCO721000 LMJ720992:LMK721000 LWF720992:LWG721000 MGB720992:MGC721000 MPX720992:MPY721000 MZT720992:MZU721000 NJP720992:NJQ721000 NTL720992:NTM721000 ODH720992:ODI721000 OND720992:ONE721000 OWZ720992:OXA721000 PGV720992:PGW721000 PQR720992:PQS721000 QAN720992:QAO721000 QKJ720992:QKK721000 QUF720992:QUG721000 REB720992:REC721000 RNX720992:RNY721000 RXT720992:RXU721000 SHP720992:SHQ721000 SRL720992:SRM721000 TBH720992:TBI721000 TLD720992:TLE721000 TUZ720992:TVA721000 UEV720992:UEW721000 UOR720992:UOS721000 UYN720992:UYO721000 VIJ720992:VIK721000 VSF720992:VSG721000 WCB720992:WCC721000 WLX720992:WLY721000 WVT720992:WVU721000 L786528:M786536 JH786528:JI786536 TD786528:TE786536 ACZ786528:ADA786536 AMV786528:AMW786536 AWR786528:AWS786536 BGN786528:BGO786536 BQJ786528:BQK786536 CAF786528:CAG786536 CKB786528:CKC786536 CTX786528:CTY786536 DDT786528:DDU786536 DNP786528:DNQ786536 DXL786528:DXM786536 EHH786528:EHI786536 ERD786528:ERE786536 FAZ786528:FBA786536 FKV786528:FKW786536 FUR786528:FUS786536 GEN786528:GEO786536 GOJ786528:GOK786536 GYF786528:GYG786536 HIB786528:HIC786536 HRX786528:HRY786536 IBT786528:IBU786536 ILP786528:ILQ786536 IVL786528:IVM786536 JFH786528:JFI786536 JPD786528:JPE786536 JYZ786528:JZA786536 KIV786528:KIW786536 KSR786528:KSS786536 LCN786528:LCO786536 LMJ786528:LMK786536 LWF786528:LWG786536 MGB786528:MGC786536 MPX786528:MPY786536 MZT786528:MZU786536 NJP786528:NJQ786536 NTL786528:NTM786536 ODH786528:ODI786536 OND786528:ONE786536 OWZ786528:OXA786536 PGV786528:PGW786536 PQR786528:PQS786536 QAN786528:QAO786536 QKJ786528:QKK786536 QUF786528:QUG786536 REB786528:REC786536 RNX786528:RNY786536 RXT786528:RXU786536 SHP786528:SHQ786536 SRL786528:SRM786536 TBH786528:TBI786536 TLD786528:TLE786536 TUZ786528:TVA786536 UEV786528:UEW786536 UOR786528:UOS786536 UYN786528:UYO786536 VIJ786528:VIK786536 VSF786528:VSG786536 WCB786528:WCC786536 WLX786528:WLY786536 WVT786528:WVU786536 L852064:M852072 JH852064:JI852072 TD852064:TE852072 ACZ852064:ADA852072 AMV852064:AMW852072 AWR852064:AWS852072 BGN852064:BGO852072 BQJ852064:BQK852072 CAF852064:CAG852072 CKB852064:CKC852072 CTX852064:CTY852072 DDT852064:DDU852072 DNP852064:DNQ852072 DXL852064:DXM852072 EHH852064:EHI852072 ERD852064:ERE852072 FAZ852064:FBA852072 FKV852064:FKW852072 FUR852064:FUS852072 GEN852064:GEO852072 GOJ852064:GOK852072 GYF852064:GYG852072 HIB852064:HIC852072 HRX852064:HRY852072 IBT852064:IBU852072 ILP852064:ILQ852072 IVL852064:IVM852072 JFH852064:JFI852072 JPD852064:JPE852072 JYZ852064:JZA852072 KIV852064:KIW852072 KSR852064:KSS852072 LCN852064:LCO852072 LMJ852064:LMK852072 LWF852064:LWG852072 MGB852064:MGC852072 MPX852064:MPY852072 MZT852064:MZU852072 NJP852064:NJQ852072 NTL852064:NTM852072 ODH852064:ODI852072 OND852064:ONE852072 OWZ852064:OXA852072 PGV852064:PGW852072 PQR852064:PQS852072 QAN852064:QAO852072 QKJ852064:QKK852072 QUF852064:QUG852072 REB852064:REC852072 RNX852064:RNY852072 RXT852064:RXU852072 SHP852064:SHQ852072 SRL852064:SRM852072 TBH852064:TBI852072 TLD852064:TLE852072 TUZ852064:TVA852072 UEV852064:UEW852072 UOR852064:UOS852072 UYN852064:UYO852072 VIJ852064:VIK852072 VSF852064:VSG852072 WCB852064:WCC852072 WLX852064:WLY852072 WVT852064:WVU852072 L917600:M917608 JH917600:JI917608 TD917600:TE917608 ACZ917600:ADA917608 AMV917600:AMW917608 AWR917600:AWS917608 BGN917600:BGO917608 BQJ917600:BQK917608 CAF917600:CAG917608 CKB917600:CKC917608 CTX917600:CTY917608 DDT917600:DDU917608 DNP917600:DNQ917608 DXL917600:DXM917608 EHH917600:EHI917608 ERD917600:ERE917608 FAZ917600:FBA917608 FKV917600:FKW917608 FUR917600:FUS917608 GEN917600:GEO917608 GOJ917600:GOK917608 GYF917600:GYG917608 HIB917600:HIC917608 HRX917600:HRY917608 IBT917600:IBU917608 ILP917600:ILQ917608 IVL917600:IVM917608 JFH917600:JFI917608 JPD917600:JPE917608 JYZ917600:JZA917608 KIV917600:KIW917608 KSR917600:KSS917608 LCN917600:LCO917608 LMJ917600:LMK917608 LWF917600:LWG917608 MGB917600:MGC917608 MPX917600:MPY917608 MZT917600:MZU917608 NJP917600:NJQ917608 NTL917600:NTM917608 ODH917600:ODI917608 OND917600:ONE917608 OWZ917600:OXA917608 PGV917600:PGW917608 PQR917600:PQS917608 QAN917600:QAO917608 QKJ917600:QKK917608 QUF917600:QUG917608 REB917600:REC917608 RNX917600:RNY917608 RXT917600:RXU917608 SHP917600:SHQ917608 SRL917600:SRM917608 TBH917600:TBI917608 TLD917600:TLE917608 TUZ917600:TVA917608 UEV917600:UEW917608 UOR917600:UOS917608 UYN917600:UYO917608 VIJ917600:VIK917608 VSF917600:VSG917608 WCB917600:WCC917608 WLX917600:WLY917608 WVT917600:WVU917608 L983136:M983144 JH983136:JI983144 TD983136:TE983144 ACZ983136:ADA983144 AMV983136:AMW983144 AWR983136:AWS983144 BGN983136:BGO983144 BQJ983136:BQK983144 CAF983136:CAG983144 CKB983136:CKC983144 CTX983136:CTY983144 DDT983136:DDU983144 DNP983136:DNQ983144 DXL983136:DXM983144 EHH983136:EHI983144 ERD983136:ERE983144 FAZ983136:FBA983144 FKV983136:FKW983144 FUR983136:FUS983144 GEN983136:GEO983144 GOJ983136:GOK983144 GYF983136:GYG983144 HIB983136:HIC983144 HRX983136:HRY983144 IBT983136:IBU983144 ILP983136:ILQ983144 IVL983136:IVM983144 JFH983136:JFI983144 JPD983136:JPE983144 JYZ983136:JZA983144 KIV983136:KIW983144 KSR983136:KSS983144 LCN983136:LCO983144 LMJ983136:LMK983144 LWF983136:LWG983144 MGB983136:MGC983144 MPX983136:MPY983144 MZT983136:MZU983144 NJP983136:NJQ983144 NTL983136:NTM983144 ODH983136:ODI983144 OND983136:ONE983144 OWZ983136:OXA983144 PGV983136:PGW983144 PQR983136:PQS983144 QAN983136:QAO983144 QKJ983136:QKK983144 QUF983136:QUG983144 REB983136:REC983144 RNX983136:RNY983144 RXT983136:RXU983144 SHP983136:SHQ983144 SRL983136:SRM983144 TBH983136:TBI983144 TLD983136:TLE983144 TUZ983136:TVA983144 UEV983136:UEW983144 UOR983136:UOS983144 UYN983136:UYO983144 VIJ983136:VIK983144 VSF983136:VSG983144 WCB983136:WCC983144 WLX983136:WLY983144 WVT983136:WVU983144 N75:O89 JJ75:JK89 TF75:TG89 ADB75:ADC89 AMX75:AMY89 AWT75:AWU89 BGP75:BGQ89 BQL75:BQM89 CAH75:CAI89 CKD75:CKE89 CTZ75:CUA89 DDV75:DDW89 DNR75:DNS89 DXN75:DXO89 EHJ75:EHK89 ERF75:ERG89 FBB75:FBC89 FKX75:FKY89 FUT75:FUU89 GEP75:GEQ89 GOL75:GOM89 GYH75:GYI89 HID75:HIE89 HRZ75:HSA89 IBV75:IBW89 ILR75:ILS89 IVN75:IVO89 JFJ75:JFK89 JPF75:JPG89 JZB75:JZC89 KIX75:KIY89 KST75:KSU89 LCP75:LCQ89 LML75:LMM89 LWH75:LWI89 MGD75:MGE89 MPZ75:MQA89 MZV75:MZW89 NJR75:NJS89 NTN75:NTO89 ODJ75:ODK89 ONF75:ONG89 OXB75:OXC89 PGX75:PGY89 PQT75:PQU89 QAP75:QAQ89 QKL75:QKM89 QUH75:QUI89 RED75:REE89 RNZ75:ROA89 RXV75:RXW89 SHR75:SHS89 SRN75:SRO89 TBJ75:TBK89 TLF75:TLG89 TVB75:TVC89 UEX75:UEY89 UOT75:UOU89 UYP75:UYQ89 VIL75:VIM89 VSH75:VSI89 WCD75:WCE89 WLZ75:WMA89 WVV75:WVW89 N65611:O65625 JJ65611:JK65625 TF65611:TG65625 ADB65611:ADC65625 AMX65611:AMY65625 AWT65611:AWU65625 BGP65611:BGQ65625 BQL65611:BQM65625 CAH65611:CAI65625 CKD65611:CKE65625 CTZ65611:CUA65625 DDV65611:DDW65625 DNR65611:DNS65625 DXN65611:DXO65625 EHJ65611:EHK65625 ERF65611:ERG65625 FBB65611:FBC65625 FKX65611:FKY65625 FUT65611:FUU65625 GEP65611:GEQ65625 GOL65611:GOM65625 GYH65611:GYI65625 HID65611:HIE65625 HRZ65611:HSA65625 IBV65611:IBW65625 ILR65611:ILS65625 IVN65611:IVO65625 JFJ65611:JFK65625 JPF65611:JPG65625 JZB65611:JZC65625 KIX65611:KIY65625 KST65611:KSU65625 LCP65611:LCQ65625 LML65611:LMM65625 LWH65611:LWI65625 MGD65611:MGE65625 MPZ65611:MQA65625 MZV65611:MZW65625 NJR65611:NJS65625 NTN65611:NTO65625 ODJ65611:ODK65625 ONF65611:ONG65625 OXB65611:OXC65625 PGX65611:PGY65625 PQT65611:PQU65625 QAP65611:QAQ65625 QKL65611:QKM65625 QUH65611:QUI65625 RED65611:REE65625 RNZ65611:ROA65625 RXV65611:RXW65625 SHR65611:SHS65625 SRN65611:SRO65625 TBJ65611:TBK65625 TLF65611:TLG65625 TVB65611:TVC65625 UEX65611:UEY65625 UOT65611:UOU65625 UYP65611:UYQ65625 VIL65611:VIM65625 VSH65611:VSI65625 WCD65611:WCE65625 WLZ65611:WMA65625 WVV65611:WVW65625 N131147:O131161 JJ131147:JK131161 TF131147:TG131161 ADB131147:ADC131161 AMX131147:AMY131161 AWT131147:AWU131161 BGP131147:BGQ131161 BQL131147:BQM131161 CAH131147:CAI131161 CKD131147:CKE131161 CTZ131147:CUA131161 DDV131147:DDW131161 DNR131147:DNS131161 DXN131147:DXO131161 EHJ131147:EHK131161 ERF131147:ERG131161 FBB131147:FBC131161 FKX131147:FKY131161 FUT131147:FUU131161 GEP131147:GEQ131161 GOL131147:GOM131161 GYH131147:GYI131161 HID131147:HIE131161 HRZ131147:HSA131161 IBV131147:IBW131161 ILR131147:ILS131161 IVN131147:IVO131161 JFJ131147:JFK131161 JPF131147:JPG131161 JZB131147:JZC131161 KIX131147:KIY131161 KST131147:KSU131161 LCP131147:LCQ131161 LML131147:LMM131161 LWH131147:LWI131161 MGD131147:MGE131161 MPZ131147:MQA131161 MZV131147:MZW131161 NJR131147:NJS131161 NTN131147:NTO131161 ODJ131147:ODK131161 ONF131147:ONG131161 OXB131147:OXC131161 PGX131147:PGY131161 PQT131147:PQU131161 QAP131147:QAQ131161 QKL131147:QKM131161 QUH131147:QUI131161 RED131147:REE131161 RNZ131147:ROA131161 RXV131147:RXW131161 SHR131147:SHS131161 SRN131147:SRO131161 TBJ131147:TBK131161 TLF131147:TLG131161 TVB131147:TVC131161 UEX131147:UEY131161 UOT131147:UOU131161 UYP131147:UYQ131161 VIL131147:VIM131161 VSH131147:VSI131161 WCD131147:WCE131161 WLZ131147:WMA131161 WVV131147:WVW131161 N196683:O196697 JJ196683:JK196697 TF196683:TG196697 ADB196683:ADC196697 AMX196683:AMY196697 AWT196683:AWU196697 BGP196683:BGQ196697 BQL196683:BQM196697 CAH196683:CAI196697 CKD196683:CKE196697 CTZ196683:CUA196697 DDV196683:DDW196697 DNR196683:DNS196697 DXN196683:DXO196697 EHJ196683:EHK196697 ERF196683:ERG196697 FBB196683:FBC196697 FKX196683:FKY196697 FUT196683:FUU196697 GEP196683:GEQ196697 GOL196683:GOM196697 GYH196683:GYI196697 HID196683:HIE196697 HRZ196683:HSA196697 IBV196683:IBW196697 ILR196683:ILS196697 IVN196683:IVO196697 JFJ196683:JFK196697 JPF196683:JPG196697 JZB196683:JZC196697 KIX196683:KIY196697 KST196683:KSU196697 LCP196683:LCQ196697 LML196683:LMM196697 LWH196683:LWI196697 MGD196683:MGE196697 MPZ196683:MQA196697 MZV196683:MZW196697 NJR196683:NJS196697 NTN196683:NTO196697 ODJ196683:ODK196697 ONF196683:ONG196697 OXB196683:OXC196697 PGX196683:PGY196697 PQT196683:PQU196697 QAP196683:QAQ196697 QKL196683:QKM196697 QUH196683:QUI196697 RED196683:REE196697 RNZ196683:ROA196697 RXV196683:RXW196697 SHR196683:SHS196697 SRN196683:SRO196697 TBJ196683:TBK196697 TLF196683:TLG196697 TVB196683:TVC196697 UEX196683:UEY196697 UOT196683:UOU196697 UYP196683:UYQ196697 VIL196683:VIM196697 VSH196683:VSI196697 WCD196683:WCE196697 WLZ196683:WMA196697 WVV196683:WVW196697 N262219:O262233 JJ262219:JK262233 TF262219:TG262233 ADB262219:ADC262233 AMX262219:AMY262233 AWT262219:AWU262233 BGP262219:BGQ262233 BQL262219:BQM262233 CAH262219:CAI262233 CKD262219:CKE262233 CTZ262219:CUA262233 DDV262219:DDW262233 DNR262219:DNS262233 DXN262219:DXO262233 EHJ262219:EHK262233 ERF262219:ERG262233 FBB262219:FBC262233 FKX262219:FKY262233 FUT262219:FUU262233 GEP262219:GEQ262233 GOL262219:GOM262233 GYH262219:GYI262233 HID262219:HIE262233 HRZ262219:HSA262233 IBV262219:IBW262233 ILR262219:ILS262233 IVN262219:IVO262233 JFJ262219:JFK262233 JPF262219:JPG262233 JZB262219:JZC262233 KIX262219:KIY262233 KST262219:KSU262233 LCP262219:LCQ262233 LML262219:LMM262233 LWH262219:LWI262233 MGD262219:MGE262233 MPZ262219:MQA262233 MZV262219:MZW262233 NJR262219:NJS262233 NTN262219:NTO262233 ODJ262219:ODK262233 ONF262219:ONG262233 OXB262219:OXC262233 PGX262219:PGY262233 PQT262219:PQU262233 QAP262219:QAQ262233 QKL262219:QKM262233 QUH262219:QUI262233 RED262219:REE262233 RNZ262219:ROA262233 RXV262219:RXW262233 SHR262219:SHS262233 SRN262219:SRO262233 TBJ262219:TBK262233 TLF262219:TLG262233 TVB262219:TVC262233 UEX262219:UEY262233 UOT262219:UOU262233 UYP262219:UYQ262233 VIL262219:VIM262233 VSH262219:VSI262233 WCD262219:WCE262233 WLZ262219:WMA262233 WVV262219:WVW262233 N327755:O327769 JJ327755:JK327769 TF327755:TG327769 ADB327755:ADC327769 AMX327755:AMY327769 AWT327755:AWU327769 BGP327755:BGQ327769 BQL327755:BQM327769 CAH327755:CAI327769 CKD327755:CKE327769 CTZ327755:CUA327769 DDV327755:DDW327769 DNR327755:DNS327769 DXN327755:DXO327769 EHJ327755:EHK327769 ERF327755:ERG327769 FBB327755:FBC327769 FKX327755:FKY327769 FUT327755:FUU327769 GEP327755:GEQ327769 GOL327755:GOM327769 GYH327755:GYI327769 HID327755:HIE327769 HRZ327755:HSA327769 IBV327755:IBW327769 ILR327755:ILS327769 IVN327755:IVO327769 JFJ327755:JFK327769 JPF327755:JPG327769 JZB327755:JZC327769 KIX327755:KIY327769 KST327755:KSU327769 LCP327755:LCQ327769 LML327755:LMM327769 LWH327755:LWI327769 MGD327755:MGE327769 MPZ327755:MQA327769 MZV327755:MZW327769 NJR327755:NJS327769 NTN327755:NTO327769 ODJ327755:ODK327769 ONF327755:ONG327769 OXB327755:OXC327769 PGX327755:PGY327769 PQT327755:PQU327769 QAP327755:QAQ327769 QKL327755:QKM327769 QUH327755:QUI327769 RED327755:REE327769 RNZ327755:ROA327769 RXV327755:RXW327769 SHR327755:SHS327769 SRN327755:SRO327769 TBJ327755:TBK327769 TLF327755:TLG327769 TVB327755:TVC327769 UEX327755:UEY327769 UOT327755:UOU327769 UYP327755:UYQ327769 VIL327755:VIM327769 VSH327755:VSI327769 WCD327755:WCE327769 WLZ327755:WMA327769 WVV327755:WVW327769 N393291:O393305 JJ393291:JK393305 TF393291:TG393305 ADB393291:ADC393305 AMX393291:AMY393305 AWT393291:AWU393305 BGP393291:BGQ393305 BQL393291:BQM393305 CAH393291:CAI393305 CKD393291:CKE393305 CTZ393291:CUA393305 DDV393291:DDW393305 DNR393291:DNS393305 DXN393291:DXO393305 EHJ393291:EHK393305 ERF393291:ERG393305 FBB393291:FBC393305 FKX393291:FKY393305 FUT393291:FUU393305 GEP393291:GEQ393305 GOL393291:GOM393305 GYH393291:GYI393305 HID393291:HIE393305 HRZ393291:HSA393305 IBV393291:IBW393305 ILR393291:ILS393305 IVN393291:IVO393305 JFJ393291:JFK393305 JPF393291:JPG393305 JZB393291:JZC393305 KIX393291:KIY393305 KST393291:KSU393305 LCP393291:LCQ393305 LML393291:LMM393305 LWH393291:LWI393305 MGD393291:MGE393305 MPZ393291:MQA393305 MZV393291:MZW393305 NJR393291:NJS393305 NTN393291:NTO393305 ODJ393291:ODK393305 ONF393291:ONG393305 OXB393291:OXC393305 PGX393291:PGY393305 PQT393291:PQU393305 QAP393291:QAQ393305 QKL393291:QKM393305 QUH393291:QUI393305 RED393291:REE393305 RNZ393291:ROA393305 RXV393291:RXW393305 SHR393291:SHS393305 SRN393291:SRO393305 TBJ393291:TBK393305 TLF393291:TLG393305 TVB393291:TVC393305 UEX393291:UEY393305 UOT393291:UOU393305 UYP393291:UYQ393305 VIL393291:VIM393305 VSH393291:VSI393305 WCD393291:WCE393305 WLZ393291:WMA393305 WVV393291:WVW393305 N458827:O458841 JJ458827:JK458841 TF458827:TG458841 ADB458827:ADC458841 AMX458827:AMY458841 AWT458827:AWU458841 BGP458827:BGQ458841 BQL458827:BQM458841 CAH458827:CAI458841 CKD458827:CKE458841 CTZ458827:CUA458841 DDV458827:DDW458841 DNR458827:DNS458841 DXN458827:DXO458841 EHJ458827:EHK458841 ERF458827:ERG458841 FBB458827:FBC458841 FKX458827:FKY458841 FUT458827:FUU458841 GEP458827:GEQ458841 GOL458827:GOM458841 GYH458827:GYI458841 HID458827:HIE458841 HRZ458827:HSA458841 IBV458827:IBW458841 ILR458827:ILS458841 IVN458827:IVO458841 JFJ458827:JFK458841 JPF458827:JPG458841 JZB458827:JZC458841 KIX458827:KIY458841 KST458827:KSU458841 LCP458827:LCQ458841 LML458827:LMM458841 LWH458827:LWI458841 MGD458827:MGE458841 MPZ458827:MQA458841 MZV458827:MZW458841 NJR458827:NJS458841 NTN458827:NTO458841 ODJ458827:ODK458841 ONF458827:ONG458841 OXB458827:OXC458841 PGX458827:PGY458841 PQT458827:PQU458841 QAP458827:QAQ458841 QKL458827:QKM458841 QUH458827:QUI458841 RED458827:REE458841 RNZ458827:ROA458841 RXV458827:RXW458841 SHR458827:SHS458841 SRN458827:SRO458841 TBJ458827:TBK458841 TLF458827:TLG458841 TVB458827:TVC458841 UEX458827:UEY458841 UOT458827:UOU458841 UYP458827:UYQ458841 VIL458827:VIM458841 VSH458827:VSI458841 WCD458827:WCE458841 WLZ458827:WMA458841 WVV458827:WVW458841 N524363:O524377 JJ524363:JK524377 TF524363:TG524377 ADB524363:ADC524377 AMX524363:AMY524377 AWT524363:AWU524377 BGP524363:BGQ524377 BQL524363:BQM524377 CAH524363:CAI524377 CKD524363:CKE524377 CTZ524363:CUA524377 DDV524363:DDW524377 DNR524363:DNS524377 DXN524363:DXO524377 EHJ524363:EHK524377 ERF524363:ERG524377 FBB524363:FBC524377 FKX524363:FKY524377 FUT524363:FUU524377 GEP524363:GEQ524377 GOL524363:GOM524377 GYH524363:GYI524377 HID524363:HIE524377 HRZ524363:HSA524377 IBV524363:IBW524377 ILR524363:ILS524377 IVN524363:IVO524377 JFJ524363:JFK524377 JPF524363:JPG524377 JZB524363:JZC524377 KIX524363:KIY524377 KST524363:KSU524377 LCP524363:LCQ524377 LML524363:LMM524377 LWH524363:LWI524377 MGD524363:MGE524377 MPZ524363:MQA524377 MZV524363:MZW524377 NJR524363:NJS524377 NTN524363:NTO524377 ODJ524363:ODK524377 ONF524363:ONG524377 OXB524363:OXC524377 PGX524363:PGY524377 PQT524363:PQU524377 QAP524363:QAQ524377 QKL524363:QKM524377 QUH524363:QUI524377 RED524363:REE524377 RNZ524363:ROA524377 RXV524363:RXW524377 SHR524363:SHS524377 SRN524363:SRO524377 TBJ524363:TBK524377 TLF524363:TLG524377 TVB524363:TVC524377 UEX524363:UEY524377 UOT524363:UOU524377 UYP524363:UYQ524377 VIL524363:VIM524377 VSH524363:VSI524377 WCD524363:WCE524377 WLZ524363:WMA524377 WVV524363:WVW524377 N589899:O589913 JJ589899:JK589913 TF589899:TG589913 ADB589899:ADC589913 AMX589899:AMY589913 AWT589899:AWU589913 BGP589899:BGQ589913 BQL589899:BQM589913 CAH589899:CAI589913 CKD589899:CKE589913 CTZ589899:CUA589913 DDV589899:DDW589913 DNR589899:DNS589913 DXN589899:DXO589913 EHJ589899:EHK589913 ERF589899:ERG589913 FBB589899:FBC589913 FKX589899:FKY589913 FUT589899:FUU589913 GEP589899:GEQ589913 GOL589899:GOM589913 GYH589899:GYI589913 HID589899:HIE589913 HRZ589899:HSA589913 IBV589899:IBW589913 ILR589899:ILS589913 IVN589899:IVO589913 JFJ589899:JFK589913 JPF589899:JPG589913 JZB589899:JZC589913 KIX589899:KIY589913 KST589899:KSU589913 LCP589899:LCQ589913 LML589899:LMM589913 LWH589899:LWI589913 MGD589899:MGE589913 MPZ589899:MQA589913 MZV589899:MZW589913 NJR589899:NJS589913 NTN589899:NTO589913 ODJ589899:ODK589913 ONF589899:ONG589913 OXB589899:OXC589913 PGX589899:PGY589913 PQT589899:PQU589913 QAP589899:QAQ589913 QKL589899:QKM589913 QUH589899:QUI589913 RED589899:REE589913 RNZ589899:ROA589913 RXV589899:RXW589913 SHR589899:SHS589913 SRN589899:SRO589913 TBJ589899:TBK589913 TLF589899:TLG589913 TVB589899:TVC589913 UEX589899:UEY589913 UOT589899:UOU589913 UYP589899:UYQ589913 VIL589899:VIM589913 VSH589899:VSI589913 WCD589899:WCE589913 WLZ589899:WMA589913 WVV589899:WVW589913 N655435:O655449 JJ655435:JK655449 TF655435:TG655449 ADB655435:ADC655449 AMX655435:AMY655449 AWT655435:AWU655449 BGP655435:BGQ655449 BQL655435:BQM655449 CAH655435:CAI655449 CKD655435:CKE655449 CTZ655435:CUA655449 DDV655435:DDW655449 DNR655435:DNS655449 DXN655435:DXO655449 EHJ655435:EHK655449 ERF655435:ERG655449 FBB655435:FBC655449 FKX655435:FKY655449 FUT655435:FUU655449 GEP655435:GEQ655449 GOL655435:GOM655449 GYH655435:GYI655449 HID655435:HIE655449 HRZ655435:HSA655449 IBV655435:IBW655449 ILR655435:ILS655449 IVN655435:IVO655449 JFJ655435:JFK655449 JPF655435:JPG655449 JZB655435:JZC655449 KIX655435:KIY655449 KST655435:KSU655449 LCP655435:LCQ655449 LML655435:LMM655449 LWH655435:LWI655449 MGD655435:MGE655449 MPZ655435:MQA655449 MZV655435:MZW655449 NJR655435:NJS655449 NTN655435:NTO655449 ODJ655435:ODK655449 ONF655435:ONG655449 OXB655435:OXC655449 PGX655435:PGY655449 PQT655435:PQU655449 QAP655435:QAQ655449 QKL655435:QKM655449 QUH655435:QUI655449 RED655435:REE655449 RNZ655435:ROA655449 RXV655435:RXW655449 SHR655435:SHS655449 SRN655435:SRO655449 TBJ655435:TBK655449 TLF655435:TLG655449 TVB655435:TVC655449 UEX655435:UEY655449 UOT655435:UOU655449 UYP655435:UYQ655449 VIL655435:VIM655449 VSH655435:VSI655449 WCD655435:WCE655449 WLZ655435:WMA655449 WVV655435:WVW655449 N720971:O720985 JJ720971:JK720985 TF720971:TG720985 ADB720971:ADC720985 AMX720971:AMY720985 AWT720971:AWU720985 BGP720971:BGQ720985 BQL720971:BQM720985 CAH720971:CAI720985 CKD720971:CKE720985 CTZ720971:CUA720985 DDV720971:DDW720985 DNR720971:DNS720985 DXN720971:DXO720985 EHJ720971:EHK720985 ERF720971:ERG720985 FBB720971:FBC720985 FKX720971:FKY720985 FUT720971:FUU720985 GEP720971:GEQ720985 GOL720971:GOM720985 GYH720971:GYI720985 HID720971:HIE720985 HRZ720971:HSA720985 IBV720971:IBW720985 ILR720971:ILS720985 IVN720971:IVO720985 JFJ720971:JFK720985 JPF720971:JPG720985 JZB720971:JZC720985 KIX720971:KIY720985 KST720971:KSU720985 LCP720971:LCQ720985 LML720971:LMM720985 LWH720971:LWI720985 MGD720971:MGE720985 MPZ720971:MQA720985 MZV720971:MZW720985 NJR720971:NJS720985 NTN720971:NTO720985 ODJ720971:ODK720985 ONF720971:ONG720985 OXB720971:OXC720985 PGX720971:PGY720985 PQT720971:PQU720985 QAP720971:QAQ720985 QKL720971:QKM720985 QUH720971:QUI720985 RED720971:REE720985 RNZ720971:ROA720985 RXV720971:RXW720985 SHR720971:SHS720985 SRN720971:SRO720985 TBJ720971:TBK720985 TLF720971:TLG720985 TVB720971:TVC720985 UEX720971:UEY720985 UOT720971:UOU720985 UYP720971:UYQ720985 VIL720971:VIM720985 VSH720971:VSI720985 WCD720971:WCE720985 WLZ720971:WMA720985 WVV720971:WVW720985 N786507:O786521 JJ786507:JK786521 TF786507:TG786521 ADB786507:ADC786521 AMX786507:AMY786521 AWT786507:AWU786521 BGP786507:BGQ786521 BQL786507:BQM786521 CAH786507:CAI786521 CKD786507:CKE786521 CTZ786507:CUA786521 DDV786507:DDW786521 DNR786507:DNS786521 DXN786507:DXO786521 EHJ786507:EHK786521 ERF786507:ERG786521 FBB786507:FBC786521 FKX786507:FKY786521 FUT786507:FUU786521 GEP786507:GEQ786521 GOL786507:GOM786521 GYH786507:GYI786521 HID786507:HIE786521 HRZ786507:HSA786521 IBV786507:IBW786521 ILR786507:ILS786521 IVN786507:IVO786521 JFJ786507:JFK786521 JPF786507:JPG786521 JZB786507:JZC786521 KIX786507:KIY786521 KST786507:KSU786521 LCP786507:LCQ786521 LML786507:LMM786521 LWH786507:LWI786521 MGD786507:MGE786521 MPZ786507:MQA786521 MZV786507:MZW786521 NJR786507:NJS786521 NTN786507:NTO786521 ODJ786507:ODK786521 ONF786507:ONG786521 OXB786507:OXC786521 PGX786507:PGY786521 PQT786507:PQU786521 QAP786507:QAQ786521 QKL786507:QKM786521 QUH786507:QUI786521 RED786507:REE786521 RNZ786507:ROA786521 RXV786507:RXW786521 SHR786507:SHS786521 SRN786507:SRO786521 TBJ786507:TBK786521 TLF786507:TLG786521 TVB786507:TVC786521 UEX786507:UEY786521 UOT786507:UOU786521 UYP786507:UYQ786521 VIL786507:VIM786521 VSH786507:VSI786521 WCD786507:WCE786521 WLZ786507:WMA786521 WVV786507:WVW786521 N852043:O852057 JJ852043:JK852057 TF852043:TG852057 ADB852043:ADC852057 AMX852043:AMY852057 AWT852043:AWU852057 BGP852043:BGQ852057 BQL852043:BQM852057 CAH852043:CAI852057 CKD852043:CKE852057 CTZ852043:CUA852057 DDV852043:DDW852057 DNR852043:DNS852057 DXN852043:DXO852057 EHJ852043:EHK852057 ERF852043:ERG852057 FBB852043:FBC852057 FKX852043:FKY852057 FUT852043:FUU852057 GEP852043:GEQ852057 GOL852043:GOM852057 GYH852043:GYI852057 HID852043:HIE852057 HRZ852043:HSA852057 IBV852043:IBW852057 ILR852043:ILS852057 IVN852043:IVO852057 JFJ852043:JFK852057 JPF852043:JPG852057 JZB852043:JZC852057 KIX852043:KIY852057 KST852043:KSU852057 LCP852043:LCQ852057 LML852043:LMM852057 LWH852043:LWI852057 MGD852043:MGE852057 MPZ852043:MQA852057 MZV852043:MZW852057 NJR852043:NJS852057 NTN852043:NTO852057 ODJ852043:ODK852057 ONF852043:ONG852057 OXB852043:OXC852057 PGX852043:PGY852057 PQT852043:PQU852057 QAP852043:QAQ852057 QKL852043:QKM852057 QUH852043:QUI852057 RED852043:REE852057 RNZ852043:ROA852057 RXV852043:RXW852057 SHR852043:SHS852057 SRN852043:SRO852057 TBJ852043:TBK852057 TLF852043:TLG852057 TVB852043:TVC852057 UEX852043:UEY852057 UOT852043:UOU852057 UYP852043:UYQ852057 VIL852043:VIM852057 VSH852043:VSI852057 WCD852043:WCE852057 WLZ852043:WMA852057 WVV852043:WVW852057 N917579:O917593 JJ917579:JK917593 TF917579:TG917593 ADB917579:ADC917593 AMX917579:AMY917593 AWT917579:AWU917593 BGP917579:BGQ917593 BQL917579:BQM917593 CAH917579:CAI917593 CKD917579:CKE917593 CTZ917579:CUA917593 DDV917579:DDW917593 DNR917579:DNS917593 DXN917579:DXO917593 EHJ917579:EHK917593 ERF917579:ERG917593 FBB917579:FBC917593 FKX917579:FKY917593 FUT917579:FUU917593 GEP917579:GEQ917593 GOL917579:GOM917593 GYH917579:GYI917593 HID917579:HIE917593 HRZ917579:HSA917593 IBV917579:IBW917593 ILR917579:ILS917593 IVN917579:IVO917593 JFJ917579:JFK917593 JPF917579:JPG917593 JZB917579:JZC917593 KIX917579:KIY917593 KST917579:KSU917593 LCP917579:LCQ917593 LML917579:LMM917593 LWH917579:LWI917593 MGD917579:MGE917593 MPZ917579:MQA917593 MZV917579:MZW917593 NJR917579:NJS917593 NTN917579:NTO917593 ODJ917579:ODK917593 ONF917579:ONG917593 OXB917579:OXC917593 PGX917579:PGY917593 PQT917579:PQU917593 QAP917579:QAQ917593 QKL917579:QKM917593 QUH917579:QUI917593 RED917579:REE917593 RNZ917579:ROA917593 RXV917579:RXW917593 SHR917579:SHS917593 SRN917579:SRO917593 TBJ917579:TBK917593 TLF917579:TLG917593 TVB917579:TVC917593 UEX917579:UEY917593 UOT917579:UOU917593 UYP917579:UYQ917593 VIL917579:VIM917593 VSH917579:VSI917593 WCD917579:WCE917593 WLZ917579:WMA917593 WVV917579:WVW917593 N983115:O983129 JJ983115:JK983129 TF983115:TG983129 ADB983115:ADC983129 AMX983115:AMY983129 AWT983115:AWU983129 BGP983115:BGQ983129 BQL983115:BQM983129 CAH983115:CAI983129 CKD983115:CKE983129 CTZ983115:CUA983129 DDV983115:DDW983129 DNR983115:DNS983129 DXN983115:DXO983129 EHJ983115:EHK983129 ERF983115:ERG983129 FBB983115:FBC983129 FKX983115:FKY983129 FUT983115:FUU983129 GEP983115:GEQ983129 GOL983115:GOM983129 GYH983115:GYI983129 HID983115:HIE983129 HRZ983115:HSA983129 IBV983115:IBW983129 ILR983115:ILS983129 IVN983115:IVO983129 JFJ983115:JFK983129 JPF983115:JPG983129 JZB983115:JZC983129 KIX983115:KIY983129 KST983115:KSU983129 LCP983115:LCQ983129 LML983115:LMM983129 LWH983115:LWI983129 MGD983115:MGE983129 MPZ983115:MQA983129 MZV983115:MZW983129 NJR983115:NJS983129 NTN983115:NTO983129 ODJ983115:ODK983129 ONF983115:ONG983129 OXB983115:OXC983129 PGX983115:PGY983129 PQT983115:PQU983129 QAP983115:QAQ983129 QKL983115:QKM983129 QUH983115:QUI983129 RED983115:REE983129 RNZ983115:ROA983129 RXV983115:RXW983129 SHR983115:SHS983129 SRN983115:SRO983129 TBJ983115:TBK983129 TLF983115:TLG983129 TVB983115:TVC983129 UEX983115:UEY983129 UOT983115:UOU983129 UYP983115:UYQ983129 VIL983115:VIM983129 VSH983115:VSI983129 WCD983115:WCE983129 WLZ983115:WMA983129 WVV983115:WVW983129 M105:M107 JI105:JI107 TE105:TE107 ADA105:ADA107 AMW105:AMW107 AWS105:AWS107 BGO105:BGO107 BQK105:BQK107 CAG105:CAG107 CKC105:CKC107 CTY105:CTY107 DDU105:DDU107 DNQ105:DNQ107 DXM105:DXM107 EHI105:EHI107 ERE105:ERE107 FBA105:FBA107 FKW105:FKW107 FUS105:FUS107 GEO105:GEO107 GOK105:GOK107 GYG105:GYG107 HIC105:HIC107 HRY105:HRY107 IBU105:IBU107 ILQ105:ILQ107 IVM105:IVM107 JFI105:JFI107 JPE105:JPE107 JZA105:JZA107 KIW105:KIW107 KSS105:KSS107 LCO105:LCO107 LMK105:LMK107 LWG105:LWG107 MGC105:MGC107 MPY105:MPY107 MZU105:MZU107 NJQ105:NJQ107 NTM105:NTM107 ODI105:ODI107 ONE105:ONE107 OXA105:OXA107 PGW105:PGW107 PQS105:PQS107 QAO105:QAO107 QKK105:QKK107 QUG105:QUG107 REC105:REC107 RNY105:RNY107 RXU105:RXU107 SHQ105:SHQ107 SRM105:SRM107 TBI105:TBI107 TLE105:TLE107 TVA105:TVA107 UEW105:UEW107 UOS105:UOS107 UYO105:UYO107 VIK105:VIK107 VSG105:VSG107 WCC105:WCC107 WLY105:WLY107 WVU105:WVU107 M65641:M65643 JI65641:JI65643 TE65641:TE65643 ADA65641:ADA65643 AMW65641:AMW65643 AWS65641:AWS65643 BGO65641:BGO65643 BQK65641:BQK65643 CAG65641:CAG65643 CKC65641:CKC65643 CTY65641:CTY65643 DDU65641:DDU65643 DNQ65641:DNQ65643 DXM65641:DXM65643 EHI65641:EHI65643 ERE65641:ERE65643 FBA65641:FBA65643 FKW65641:FKW65643 FUS65641:FUS65643 GEO65641:GEO65643 GOK65641:GOK65643 GYG65641:GYG65643 HIC65641:HIC65643 HRY65641:HRY65643 IBU65641:IBU65643 ILQ65641:ILQ65643 IVM65641:IVM65643 JFI65641:JFI65643 JPE65641:JPE65643 JZA65641:JZA65643 KIW65641:KIW65643 KSS65641:KSS65643 LCO65641:LCO65643 LMK65641:LMK65643 LWG65641:LWG65643 MGC65641:MGC65643 MPY65641:MPY65643 MZU65641:MZU65643 NJQ65641:NJQ65643 NTM65641:NTM65643 ODI65641:ODI65643 ONE65641:ONE65643 OXA65641:OXA65643 PGW65641:PGW65643 PQS65641:PQS65643 QAO65641:QAO65643 QKK65641:QKK65643 QUG65641:QUG65643 REC65641:REC65643 RNY65641:RNY65643 RXU65641:RXU65643 SHQ65641:SHQ65643 SRM65641:SRM65643 TBI65641:TBI65643 TLE65641:TLE65643 TVA65641:TVA65643 UEW65641:UEW65643 UOS65641:UOS65643 UYO65641:UYO65643 VIK65641:VIK65643 VSG65641:VSG65643 WCC65641:WCC65643 WLY65641:WLY65643 WVU65641:WVU65643 M131177:M131179 JI131177:JI131179 TE131177:TE131179 ADA131177:ADA131179 AMW131177:AMW131179 AWS131177:AWS131179 BGO131177:BGO131179 BQK131177:BQK131179 CAG131177:CAG131179 CKC131177:CKC131179 CTY131177:CTY131179 DDU131177:DDU131179 DNQ131177:DNQ131179 DXM131177:DXM131179 EHI131177:EHI131179 ERE131177:ERE131179 FBA131177:FBA131179 FKW131177:FKW131179 FUS131177:FUS131179 GEO131177:GEO131179 GOK131177:GOK131179 GYG131177:GYG131179 HIC131177:HIC131179 HRY131177:HRY131179 IBU131177:IBU131179 ILQ131177:ILQ131179 IVM131177:IVM131179 JFI131177:JFI131179 JPE131177:JPE131179 JZA131177:JZA131179 KIW131177:KIW131179 KSS131177:KSS131179 LCO131177:LCO131179 LMK131177:LMK131179 LWG131177:LWG131179 MGC131177:MGC131179 MPY131177:MPY131179 MZU131177:MZU131179 NJQ131177:NJQ131179 NTM131177:NTM131179 ODI131177:ODI131179 ONE131177:ONE131179 OXA131177:OXA131179 PGW131177:PGW131179 PQS131177:PQS131179 QAO131177:QAO131179 QKK131177:QKK131179 QUG131177:QUG131179 REC131177:REC131179 RNY131177:RNY131179 RXU131177:RXU131179 SHQ131177:SHQ131179 SRM131177:SRM131179 TBI131177:TBI131179 TLE131177:TLE131179 TVA131177:TVA131179 UEW131177:UEW131179 UOS131177:UOS131179 UYO131177:UYO131179 VIK131177:VIK131179 VSG131177:VSG131179 WCC131177:WCC131179 WLY131177:WLY131179 WVU131177:WVU131179 M196713:M196715 JI196713:JI196715 TE196713:TE196715 ADA196713:ADA196715 AMW196713:AMW196715 AWS196713:AWS196715 BGO196713:BGO196715 BQK196713:BQK196715 CAG196713:CAG196715 CKC196713:CKC196715 CTY196713:CTY196715 DDU196713:DDU196715 DNQ196713:DNQ196715 DXM196713:DXM196715 EHI196713:EHI196715 ERE196713:ERE196715 FBA196713:FBA196715 FKW196713:FKW196715 FUS196713:FUS196715 GEO196713:GEO196715 GOK196713:GOK196715 GYG196713:GYG196715 HIC196713:HIC196715 HRY196713:HRY196715 IBU196713:IBU196715 ILQ196713:ILQ196715 IVM196713:IVM196715 JFI196713:JFI196715 JPE196713:JPE196715 JZA196713:JZA196715 KIW196713:KIW196715 KSS196713:KSS196715 LCO196713:LCO196715 LMK196713:LMK196715 LWG196713:LWG196715 MGC196713:MGC196715 MPY196713:MPY196715 MZU196713:MZU196715 NJQ196713:NJQ196715 NTM196713:NTM196715 ODI196713:ODI196715 ONE196713:ONE196715 OXA196713:OXA196715 PGW196713:PGW196715 PQS196713:PQS196715 QAO196713:QAO196715 QKK196713:QKK196715 QUG196713:QUG196715 REC196713:REC196715 RNY196713:RNY196715 RXU196713:RXU196715 SHQ196713:SHQ196715 SRM196713:SRM196715 TBI196713:TBI196715 TLE196713:TLE196715 TVA196713:TVA196715 UEW196713:UEW196715 UOS196713:UOS196715 UYO196713:UYO196715 VIK196713:VIK196715 VSG196713:VSG196715 WCC196713:WCC196715 WLY196713:WLY196715 WVU196713:WVU196715 M262249:M262251 JI262249:JI262251 TE262249:TE262251 ADA262249:ADA262251 AMW262249:AMW262251 AWS262249:AWS262251 BGO262249:BGO262251 BQK262249:BQK262251 CAG262249:CAG262251 CKC262249:CKC262251 CTY262249:CTY262251 DDU262249:DDU262251 DNQ262249:DNQ262251 DXM262249:DXM262251 EHI262249:EHI262251 ERE262249:ERE262251 FBA262249:FBA262251 FKW262249:FKW262251 FUS262249:FUS262251 GEO262249:GEO262251 GOK262249:GOK262251 GYG262249:GYG262251 HIC262249:HIC262251 HRY262249:HRY262251 IBU262249:IBU262251 ILQ262249:ILQ262251 IVM262249:IVM262251 JFI262249:JFI262251 JPE262249:JPE262251 JZA262249:JZA262251 KIW262249:KIW262251 KSS262249:KSS262251 LCO262249:LCO262251 LMK262249:LMK262251 LWG262249:LWG262251 MGC262249:MGC262251 MPY262249:MPY262251 MZU262249:MZU262251 NJQ262249:NJQ262251 NTM262249:NTM262251 ODI262249:ODI262251 ONE262249:ONE262251 OXA262249:OXA262251 PGW262249:PGW262251 PQS262249:PQS262251 QAO262249:QAO262251 QKK262249:QKK262251 QUG262249:QUG262251 REC262249:REC262251 RNY262249:RNY262251 RXU262249:RXU262251 SHQ262249:SHQ262251 SRM262249:SRM262251 TBI262249:TBI262251 TLE262249:TLE262251 TVA262249:TVA262251 UEW262249:UEW262251 UOS262249:UOS262251 UYO262249:UYO262251 VIK262249:VIK262251 VSG262249:VSG262251 WCC262249:WCC262251 WLY262249:WLY262251 WVU262249:WVU262251 M327785:M327787 JI327785:JI327787 TE327785:TE327787 ADA327785:ADA327787 AMW327785:AMW327787 AWS327785:AWS327787 BGO327785:BGO327787 BQK327785:BQK327787 CAG327785:CAG327787 CKC327785:CKC327787 CTY327785:CTY327787 DDU327785:DDU327787 DNQ327785:DNQ327787 DXM327785:DXM327787 EHI327785:EHI327787 ERE327785:ERE327787 FBA327785:FBA327787 FKW327785:FKW327787 FUS327785:FUS327787 GEO327785:GEO327787 GOK327785:GOK327787 GYG327785:GYG327787 HIC327785:HIC327787 HRY327785:HRY327787 IBU327785:IBU327787 ILQ327785:ILQ327787 IVM327785:IVM327787 JFI327785:JFI327787 JPE327785:JPE327787 JZA327785:JZA327787 KIW327785:KIW327787 KSS327785:KSS327787 LCO327785:LCO327787 LMK327785:LMK327787 LWG327785:LWG327787 MGC327785:MGC327787 MPY327785:MPY327787 MZU327785:MZU327787 NJQ327785:NJQ327787 NTM327785:NTM327787 ODI327785:ODI327787 ONE327785:ONE327787 OXA327785:OXA327787 PGW327785:PGW327787 PQS327785:PQS327787 QAO327785:QAO327787 QKK327785:QKK327787 QUG327785:QUG327787 REC327785:REC327787 RNY327785:RNY327787 RXU327785:RXU327787 SHQ327785:SHQ327787 SRM327785:SRM327787 TBI327785:TBI327787 TLE327785:TLE327787 TVA327785:TVA327787 UEW327785:UEW327787 UOS327785:UOS327787 UYO327785:UYO327787 VIK327785:VIK327787 VSG327785:VSG327787 WCC327785:WCC327787 WLY327785:WLY327787 WVU327785:WVU327787 M393321:M393323 JI393321:JI393323 TE393321:TE393323 ADA393321:ADA393323 AMW393321:AMW393323 AWS393321:AWS393323 BGO393321:BGO393323 BQK393321:BQK393323 CAG393321:CAG393323 CKC393321:CKC393323 CTY393321:CTY393323 DDU393321:DDU393323 DNQ393321:DNQ393323 DXM393321:DXM393323 EHI393321:EHI393323 ERE393321:ERE393323 FBA393321:FBA393323 FKW393321:FKW393323 FUS393321:FUS393323 GEO393321:GEO393323 GOK393321:GOK393323 GYG393321:GYG393323 HIC393321:HIC393323 HRY393321:HRY393323 IBU393321:IBU393323 ILQ393321:ILQ393323 IVM393321:IVM393323 JFI393321:JFI393323 JPE393321:JPE393323 JZA393321:JZA393323 KIW393321:KIW393323 KSS393321:KSS393323 LCO393321:LCO393323 LMK393321:LMK393323 LWG393321:LWG393323 MGC393321:MGC393323 MPY393321:MPY393323 MZU393321:MZU393323 NJQ393321:NJQ393323 NTM393321:NTM393323 ODI393321:ODI393323 ONE393321:ONE393323 OXA393321:OXA393323 PGW393321:PGW393323 PQS393321:PQS393323 QAO393321:QAO393323 QKK393321:QKK393323 QUG393321:QUG393323 REC393321:REC393323 RNY393321:RNY393323 RXU393321:RXU393323 SHQ393321:SHQ393323 SRM393321:SRM393323 TBI393321:TBI393323 TLE393321:TLE393323 TVA393321:TVA393323 UEW393321:UEW393323 UOS393321:UOS393323 UYO393321:UYO393323 VIK393321:VIK393323 VSG393321:VSG393323 WCC393321:WCC393323 WLY393321:WLY393323 WVU393321:WVU393323 M458857:M458859 JI458857:JI458859 TE458857:TE458859 ADA458857:ADA458859 AMW458857:AMW458859 AWS458857:AWS458859 BGO458857:BGO458859 BQK458857:BQK458859 CAG458857:CAG458859 CKC458857:CKC458859 CTY458857:CTY458859 DDU458857:DDU458859 DNQ458857:DNQ458859 DXM458857:DXM458859 EHI458857:EHI458859 ERE458857:ERE458859 FBA458857:FBA458859 FKW458857:FKW458859 FUS458857:FUS458859 GEO458857:GEO458859 GOK458857:GOK458859 GYG458857:GYG458859 HIC458857:HIC458859 HRY458857:HRY458859 IBU458857:IBU458859 ILQ458857:ILQ458859 IVM458857:IVM458859 JFI458857:JFI458859 JPE458857:JPE458859 JZA458857:JZA458859 KIW458857:KIW458859 KSS458857:KSS458859 LCO458857:LCO458859 LMK458857:LMK458859 LWG458857:LWG458859 MGC458857:MGC458859 MPY458857:MPY458859 MZU458857:MZU458859 NJQ458857:NJQ458859 NTM458857:NTM458859 ODI458857:ODI458859 ONE458857:ONE458859 OXA458857:OXA458859 PGW458857:PGW458859 PQS458857:PQS458859 QAO458857:QAO458859 QKK458857:QKK458859 QUG458857:QUG458859 REC458857:REC458859 RNY458857:RNY458859 RXU458857:RXU458859 SHQ458857:SHQ458859 SRM458857:SRM458859 TBI458857:TBI458859 TLE458857:TLE458859 TVA458857:TVA458859 UEW458857:UEW458859 UOS458857:UOS458859 UYO458857:UYO458859 VIK458857:VIK458859 VSG458857:VSG458859 WCC458857:WCC458859 WLY458857:WLY458859 WVU458857:WVU458859 M524393:M524395 JI524393:JI524395 TE524393:TE524395 ADA524393:ADA524395 AMW524393:AMW524395 AWS524393:AWS524395 BGO524393:BGO524395 BQK524393:BQK524395 CAG524393:CAG524395 CKC524393:CKC524395 CTY524393:CTY524395 DDU524393:DDU524395 DNQ524393:DNQ524395 DXM524393:DXM524395 EHI524393:EHI524395 ERE524393:ERE524395 FBA524393:FBA524395 FKW524393:FKW524395 FUS524393:FUS524395 GEO524393:GEO524395 GOK524393:GOK524395 GYG524393:GYG524395 HIC524393:HIC524395 HRY524393:HRY524395 IBU524393:IBU524395 ILQ524393:ILQ524395 IVM524393:IVM524395 JFI524393:JFI524395 JPE524393:JPE524395 JZA524393:JZA524395 KIW524393:KIW524395 KSS524393:KSS524395 LCO524393:LCO524395 LMK524393:LMK524395 LWG524393:LWG524395 MGC524393:MGC524395 MPY524393:MPY524395 MZU524393:MZU524395 NJQ524393:NJQ524395 NTM524393:NTM524395 ODI524393:ODI524395 ONE524393:ONE524395 OXA524393:OXA524395 PGW524393:PGW524395 PQS524393:PQS524395 QAO524393:QAO524395 QKK524393:QKK524395 QUG524393:QUG524395 REC524393:REC524395 RNY524393:RNY524395 RXU524393:RXU524395 SHQ524393:SHQ524395 SRM524393:SRM524395 TBI524393:TBI524395 TLE524393:TLE524395 TVA524393:TVA524395 UEW524393:UEW524395 UOS524393:UOS524395 UYO524393:UYO524395 VIK524393:VIK524395 VSG524393:VSG524395 WCC524393:WCC524395 WLY524393:WLY524395 WVU524393:WVU524395 M589929:M589931 JI589929:JI589931 TE589929:TE589931 ADA589929:ADA589931 AMW589929:AMW589931 AWS589929:AWS589931 BGO589929:BGO589931 BQK589929:BQK589931 CAG589929:CAG589931 CKC589929:CKC589931 CTY589929:CTY589931 DDU589929:DDU589931 DNQ589929:DNQ589931 DXM589929:DXM589931 EHI589929:EHI589931 ERE589929:ERE589931 FBA589929:FBA589931 FKW589929:FKW589931 FUS589929:FUS589931 GEO589929:GEO589931 GOK589929:GOK589931 GYG589929:GYG589931 HIC589929:HIC589931 HRY589929:HRY589931 IBU589929:IBU589931 ILQ589929:ILQ589931 IVM589929:IVM589931 JFI589929:JFI589931 JPE589929:JPE589931 JZA589929:JZA589931 KIW589929:KIW589931 KSS589929:KSS589931 LCO589929:LCO589931 LMK589929:LMK589931 LWG589929:LWG589931 MGC589929:MGC589931 MPY589929:MPY589931 MZU589929:MZU589931 NJQ589929:NJQ589931 NTM589929:NTM589931 ODI589929:ODI589931 ONE589929:ONE589931 OXA589929:OXA589931 PGW589929:PGW589931 PQS589929:PQS589931 QAO589929:QAO589931 QKK589929:QKK589931 QUG589929:QUG589931 REC589929:REC589931 RNY589929:RNY589931 RXU589929:RXU589931 SHQ589929:SHQ589931 SRM589929:SRM589931 TBI589929:TBI589931 TLE589929:TLE589931 TVA589929:TVA589931 UEW589929:UEW589931 UOS589929:UOS589931 UYO589929:UYO589931 VIK589929:VIK589931 VSG589929:VSG589931 WCC589929:WCC589931 WLY589929:WLY589931 WVU589929:WVU589931 M655465:M655467 JI655465:JI655467 TE655465:TE655467 ADA655465:ADA655467 AMW655465:AMW655467 AWS655465:AWS655467 BGO655465:BGO655467 BQK655465:BQK655467 CAG655465:CAG655467 CKC655465:CKC655467 CTY655465:CTY655467 DDU655465:DDU655467 DNQ655465:DNQ655467 DXM655465:DXM655467 EHI655465:EHI655467 ERE655465:ERE655467 FBA655465:FBA655467 FKW655465:FKW655467 FUS655465:FUS655467 GEO655465:GEO655467 GOK655465:GOK655467 GYG655465:GYG655467 HIC655465:HIC655467 HRY655465:HRY655467 IBU655465:IBU655467 ILQ655465:ILQ655467 IVM655465:IVM655467 JFI655465:JFI655467 JPE655465:JPE655467 JZA655465:JZA655467 KIW655465:KIW655467 KSS655465:KSS655467 LCO655465:LCO655467 LMK655465:LMK655467 LWG655465:LWG655467 MGC655465:MGC655467 MPY655465:MPY655467 MZU655465:MZU655467 NJQ655465:NJQ655467 NTM655465:NTM655467 ODI655465:ODI655467 ONE655465:ONE655467 OXA655465:OXA655467 PGW655465:PGW655467 PQS655465:PQS655467 QAO655465:QAO655467 QKK655465:QKK655467 QUG655465:QUG655467 REC655465:REC655467 RNY655465:RNY655467 RXU655465:RXU655467 SHQ655465:SHQ655467 SRM655465:SRM655467 TBI655465:TBI655467 TLE655465:TLE655467 TVA655465:TVA655467 UEW655465:UEW655467 UOS655465:UOS655467 UYO655465:UYO655467 VIK655465:VIK655467 VSG655465:VSG655467 WCC655465:WCC655467 WLY655465:WLY655467 WVU655465:WVU655467 M721001:M721003 JI721001:JI721003 TE721001:TE721003 ADA721001:ADA721003 AMW721001:AMW721003 AWS721001:AWS721003 BGO721001:BGO721003 BQK721001:BQK721003 CAG721001:CAG721003 CKC721001:CKC721003 CTY721001:CTY721003 DDU721001:DDU721003 DNQ721001:DNQ721003 DXM721001:DXM721003 EHI721001:EHI721003 ERE721001:ERE721003 FBA721001:FBA721003 FKW721001:FKW721003 FUS721001:FUS721003 GEO721001:GEO721003 GOK721001:GOK721003 GYG721001:GYG721003 HIC721001:HIC721003 HRY721001:HRY721003 IBU721001:IBU721003 ILQ721001:ILQ721003 IVM721001:IVM721003 JFI721001:JFI721003 JPE721001:JPE721003 JZA721001:JZA721003 KIW721001:KIW721003 KSS721001:KSS721003 LCO721001:LCO721003 LMK721001:LMK721003 LWG721001:LWG721003 MGC721001:MGC721003 MPY721001:MPY721003 MZU721001:MZU721003 NJQ721001:NJQ721003 NTM721001:NTM721003 ODI721001:ODI721003 ONE721001:ONE721003 OXA721001:OXA721003 PGW721001:PGW721003 PQS721001:PQS721003 QAO721001:QAO721003 QKK721001:QKK721003 QUG721001:QUG721003 REC721001:REC721003 RNY721001:RNY721003 RXU721001:RXU721003 SHQ721001:SHQ721003 SRM721001:SRM721003 TBI721001:TBI721003 TLE721001:TLE721003 TVA721001:TVA721003 UEW721001:UEW721003 UOS721001:UOS721003 UYO721001:UYO721003 VIK721001:VIK721003 VSG721001:VSG721003 WCC721001:WCC721003 WLY721001:WLY721003 WVU721001:WVU721003 M786537:M786539 JI786537:JI786539 TE786537:TE786539 ADA786537:ADA786539 AMW786537:AMW786539 AWS786537:AWS786539 BGO786537:BGO786539 BQK786537:BQK786539 CAG786537:CAG786539 CKC786537:CKC786539 CTY786537:CTY786539 DDU786537:DDU786539 DNQ786537:DNQ786539 DXM786537:DXM786539 EHI786537:EHI786539 ERE786537:ERE786539 FBA786537:FBA786539 FKW786537:FKW786539 FUS786537:FUS786539 GEO786537:GEO786539 GOK786537:GOK786539 GYG786537:GYG786539 HIC786537:HIC786539 HRY786537:HRY786539 IBU786537:IBU786539 ILQ786537:ILQ786539 IVM786537:IVM786539 JFI786537:JFI786539 JPE786537:JPE786539 JZA786537:JZA786539 KIW786537:KIW786539 KSS786537:KSS786539 LCO786537:LCO786539 LMK786537:LMK786539 LWG786537:LWG786539 MGC786537:MGC786539 MPY786537:MPY786539 MZU786537:MZU786539 NJQ786537:NJQ786539 NTM786537:NTM786539 ODI786537:ODI786539 ONE786537:ONE786539 OXA786537:OXA786539 PGW786537:PGW786539 PQS786537:PQS786539 QAO786537:QAO786539 QKK786537:QKK786539 QUG786537:QUG786539 REC786537:REC786539 RNY786537:RNY786539 RXU786537:RXU786539 SHQ786537:SHQ786539 SRM786537:SRM786539 TBI786537:TBI786539 TLE786537:TLE786539 TVA786537:TVA786539 UEW786537:UEW786539 UOS786537:UOS786539 UYO786537:UYO786539 VIK786537:VIK786539 VSG786537:VSG786539 WCC786537:WCC786539 WLY786537:WLY786539 WVU786537:WVU786539 M852073:M852075 JI852073:JI852075 TE852073:TE852075 ADA852073:ADA852075 AMW852073:AMW852075 AWS852073:AWS852075 BGO852073:BGO852075 BQK852073:BQK852075 CAG852073:CAG852075 CKC852073:CKC852075 CTY852073:CTY852075 DDU852073:DDU852075 DNQ852073:DNQ852075 DXM852073:DXM852075 EHI852073:EHI852075 ERE852073:ERE852075 FBA852073:FBA852075 FKW852073:FKW852075 FUS852073:FUS852075 GEO852073:GEO852075 GOK852073:GOK852075 GYG852073:GYG852075 HIC852073:HIC852075 HRY852073:HRY852075 IBU852073:IBU852075 ILQ852073:ILQ852075 IVM852073:IVM852075 JFI852073:JFI852075 JPE852073:JPE852075 JZA852073:JZA852075 KIW852073:KIW852075 KSS852073:KSS852075 LCO852073:LCO852075 LMK852073:LMK852075 LWG852073:LWG852075 MGC852073:MGC852075 MPY852073:MPY852075 MZU852073:MZU852075 NJQ852073:NJQ852075 NTM852073:NTM852075 ODI852073:ODI852075 ONE852073:ONE852075 OXA852073:OXA852075 PGW852073:PGW852075 PQS852073:PQS852075 QAO852073:QAO852075 QKK852073:QKK852075 QUG852073:QUG852075 REC852073:REC852075 RNY852073:RNY852075 RXU852073:RXU852075 SHQ852073:SHQ852075 SRM852073:SRM852075 TBI852073:TBI852075 TLE852073:TLE852075 TVA852073:TVA852075 UEW852073:UEW852075 UOS852073:UOS852075 UYO852073:UYO852075 VIK852073:VIK852075 VSG852073:VSG852075 WCC852073:WCC852075 WLY852073:WLY852075 WVU852073:WVU852075 M917609:M917611 JI917609:JI917611 TE917609:TE917611 ADA917609:ADA917611 AMW917609:AMW917611 AWS917609:AWS917611 BGO917609:BGO917611 BQK917609:BQK917611 CAG917609:CAG917611 CKC917609:CKC917611 CTY917609:CTY917611 DDU917609:DDU917611 DNQ917609:DNQ917611 DXM917609:DXM917611 EHI917609:EHI917611 ERE917609:ERE917611 FBA917609:FBA917611 FKW917609:FKW917611 FUS917609:FUS917611 GEO917609:GEO917611 GOK917609:GOK917611 GYG917609:GYG917611 HIC917609:HIC917611 HRY917609:HRY917611 IBU917609:IBU917611 ILQ917609:ILQ917611 IVM917609:IVM917611 JFI917609:JFI917611 JPE917609:JPE917611 JZA917609:JZA917611 KIW917609:KIW917611 KSS917609:KSS917611 LCO917609:LCO917611 LMK917609:LMK917611 LWG917609:LWG917611 MGC917609:MGC917611 MPY917609:MPY917611 MZU917609:MZU917611 NJQ917609:NJQ917611 NTM917609:NTM917611 ODI917609:ODI917611 ONE917609:ONE917611 OXA917609:OXA917611 PGW917609:PGW917611 PQS917609:PQS917611 QAO917609:QAO917611 QKK917609:QKK917611 QUG917609:QUG917611 REC917609:REC917611 RNY917609:RNY917611 RXU917609:RXU917611 SHQ917609:SHQ917611 SRM917609:SRM917611 TBI917609:TBI917611 TLE917609:TLE917611 TVA917609:TVA917611 UEW917609:UEW917611 UOS917609:UOS917611 UYO917609:UYO917611 VIK917609:VIK917611 VSG917609:VSG917611 WCC917609:WCC917611 WLY917609:WLY917611 WVU917609:WVU917611 M983145:M983147 JI983145:JI983147 TE983145:TE983147 ADA983145:ADA983147 AMW983145:AMW983147 AWS983145:AWS983147 BGO983145:BGO983147 BQK983145:BQK983147 CAG983145:CAG983147 CKC983145:CKC983147 CTY983145:CTY983147 DDU983145:DDU983147 DNQ983145:DNQ983147 DXM983145:DXM983147 EHI983145:EHI983147 ERE983145:ERE983147 FBA983145:FBA983147 FKW983145:FKW983147 FUS983145:FUS983147 GEO983145:GEO983147 GOK983145:GOK983147 GYG983145:GYG983147 HIC983145:HIC983147 HRY983145:HRY983147 IBU983145:IBU983147 ILQ983145:ILQ983147 IVM983145:IVM983147 JFI983145:JFI983147 JPE983145:JPE983147 JZA983145:JZA983147 KIW983145:KIW983147 KSS983145:KSS983147 LCO983145:LCO983147 LMK983145:LMK983147 LWG983145:LWG983147 MGC983145:MGC983147 MPY983145:MPY983147 MZU983145:MZU983147 NJQ983145:NJQ983147 NTM983145:NTM983147 ODI983145:ODI983147 ONE983145:ONE983147 OXA983145:OXA983147 PGW983145:PGW983147 PQS983145:PQS983147 QAO983145:QAO983147 QKK983145:QKK983147 QUG983145:QUG983147 REC983145:REC983147 RNY983145:RNY983147 RXU983145:RXU983147 SHQ983145:SHQ983147 SRM983145:SRM983147 TBI983145:TBI983147 TLE983145:TLE983147 TVA983145:TVA983147 UEW983145:UEW983147 UOS983145:UOS983147 UYO983145:UYO983147 VIK983145:VIK983147 VSG983145:VSG983147 WCC983145:WCC983147 WLY983145:WLY983147 WVU983145:WVU983147 L28:M28 JH28:JI28 TD28:TE28 ACZ28:ADA28 AMV28:AMW28 AWR28:AWS28 BGN28:BGO28 BQJ28:BQK28 CAF28:CAG28 CKB28:CKC28 CTX28:CTY28 DDT28:DDU28 DNP28:DNQ28 DXL28:DXM28 EHH28:EHI28 ERD28:ERE28 FAZ28:FBA28 FKV28:FKW28 FUR28:FUS28 GEN28:GEO28 GOJ28:GOK28 GYF28:GYG28 HIB28:HIC28 HRX28:HRY28 IBT28:IBU28 ILP28:ILQ28 IVL28:IVM28 JFH28:JFI28 JPD28:JPE28 JYZ28:JZA28 KIV28:KIW28 KSR28:KSS28 LCN28:LCO28 LMJ28:LMK28 LWF28:LWG28 MGB28:MGC28 MPX28:MPY28 MZT28:MZU28 NJP28:NJQ28 NTL28:NTM28 ODH28:ODI28 OND28:ONE28 OWZ28:OXA28 PGV28:PGW28 PQR28:PQS28 QAN28:QAO28 QKJ28:QKK28 QUF28:QUG28 REB28:REC28 RNX28:RNY28 RXT28:RXU28 SHP28:SHQ28 SRL28:SRM28 TBH28:TBI28 TLD28:TLE28 TUZ28:TVA28 UEV28:UEW28 UOR28:UOS28 UYN28:UYO28 VIJ28:VIK28 VSF28:VSG28 WCB28:WCC28 WLX28:WLY28 WVT28:WVU28 L65564:M65564 JH65564:JI65564 TD65564:TE65564 ACZ65564:ADA65564 AMV65564:AMW65564 AWR65564:AWS65564 BGN65564:BGO65564 BQJ65564:BQK65564 CAF65564:CAG65564 CKB65564:CKC65564 CTX65564:CTY65564 DDT65564:DDU65564 DNP65564:DNQ65564 DXL65564:DXM65564 EHH65564:EHI65564 ERD65564:ERE65564 FAZ65564:FBA65564 FKV65564:FKW65564 FUR65564:FUS65564 GEN65564:GEO65564 GOJ65564:GOK65564 GYF65564:GYG65564 HIB65564:HIC65564 HRX65564:HRY65564 IBT65564:IBU65564 ILP65564:ILQ65564 IVL65564:IVM65564 JFH65564:JFI65564 JPD65564:JPE65564 JYZ65564:JZA65564 KIV65564:KIW65564 KSR65564:KSS65564 LCN65564:LCO65564 LMJ65564:LMK65564 LWF65564:LWG65564 MGB65564:MGC65564 MPX65564:MPY65564 MZT65564:MZU65564 NJP65564:NJQ65564 NTL65564:NTM65564 ODH65564:ODI65564 OND65564:ONE65564 OWZ65564:OXA65564 PGV65564:PGW65564 PQR65564:PQS65564 QAN65564:QAO65564 QKJ65564:QKK65564 QUF65564:QUG65564 REB65564:REC65564 RNX65564:RNY65564 RXT65564:RXU65564 SHP65564:SHQ65564 SRL65564:SRM65564 TBH65564:TBI65564 TLD65564:TLE65564 TUZ65564:TVA65564 UEV65564:UEW65564 UOR65564:UOS65564 UYN65564:UYO65564 VIJ65564:VIK65564 VSF65564:VSG65564 WCB65564:WCC65564 WLX65564:WLY65564 WVT65564:WVU65564 L131100:M131100 JH131100:JI131100 TD131100:TE131100 ACZ131100:ADA131100 AMV131100:AMW131100 AWR131100:AWS131100 BGN131100:BGO131100 BQJ131100:BQK131100 CAF131100:CAG131100 CKB131100:CKC131100 CTX131100:CTY131100 DDT131100:DDU131100 DNP131100:DNQ131100 DXL131100:DXM131100 EHH131100:EHI131100 ERD131100:ERE131100 FAZ131100:FBA131100 FKV131100:FKW131100 FUR131100:FUS131100 GEN131100:GEO131100 GOJ131100:GOK131100 GYF131100:GYG131100 HIB131100:HIC131100 HRX131100:HRY131100 IBT131100:IBU131100 ILP131100:ILQ131100 IVL131100:IVM131100 JFH131100:JFI131100 JPD131100:JPE131100 JYZ131100:JZA131100 KIV131100:KIW131100 KSR131100:KSS131100 LCN131100:LCO131100 LMJ131100:LMK131100 LWF131100:LWG131100 MGB131100:MGC131100 MPX131100:MPY131100 MZT131100:MZU131100 NJP131100:NJQ131100 NTL131100:NTM131100 ODH131100:ODI131100 OND131100:ONE131100 OWZ131100:OXA131100 PGV131100:PGW131100 PQR131100:PQS131100 QAN131100:QAO131100 QKJ131100:QKK131100 QUF131100:QUG131100 REB131100:REC131100 RNX131100:RNY131100 RXT131100:RXU131100 SHP131100:SHQ131100 SRL131100:SRM131100 TBH131100:TBI131100 TLD131100:TLE131100 TUZ131100:TVA131100 UEV131100:UEW131100 UOR131100:UOS131100 UYN131100:UYO131100 VIJ131100:VIK131100 VSF131100:VSG131100 WCB131100:WCC131100 WLX131100:WLY131100 WVT131100:WVU131100 L196636:M196636 JH196636:JI196636 TD196636:TE196636 ACZ196636:ADA196636 AMV196636:AMW196636 AWR196636:AWS196636 BGN196636:BGO196636 BQJ196636:BQK196636 CAF196636:CAG196636 CKB196636:CKC196636 CTX196636:CTY196636 DDT196636:DDU196636 DNP196636:DNQ196636 DXL196636:DXM196636 EHH196636:EHI196636 ERD196636:ERE196636 FAZ196636:FBA196636 FKV196636:FKW196636 FUR196636:FUS196636 GEN196636:GEO196636 GOJ196636:GOK196636 GYF196636:GYG196636 HIB196636:HIC196636 HRX196636:HRY196636 IBT196636:IBU196636 ILP196636:ILQ196636 IVL196636:IVM196636 JFH196636:JFI196636 JPD196636:JPE196636 JYZ196636:JZA196636 KIV196636:KIW196636 KSR196636:KSS196636 LCN196636:LCO196636 LMJ196636:LMK196636 LWF196636:LWG196636 MGB196636:MGC196636 MPX196636:MPY196636 MZT196636:MZU196636 NJP196636:NJQ196636 NTL196636:NTM196636 ODH196636:ODI196636 OND196636:ONE196636 OWZ196636:OXA196636 PGV196636:PGW196636 PQR196636:PQS196636 QAN196636:QAO196636 QKJ196636:QKK196636 QUF196636:QUG196636 REB196636:REC196636 RNX196636:RNY196636 RXT196636:RXU196636 SHP196636:SHQ196636 SRL196636:SRM196636 TBH196636:TBI196636 TLD196636:TLE196636 TUZ196636:TVA196636 UEV196636:UEW196636 UOR196636:UOS196636 UYN196636:UYO196636 VIJ196636:VIK196636 VSF196636:VSG196636 WCB196636:WCC196636 WLX196636:WLY196636 WVT196636:WVU196636 L262172:M262172 JH262172:JI262172 TD262172:TE262172 ACZ262172:ADA262172 AMV262172:AMW262172 AWR262172:AWS262172 BGN262172:BGO262172 BQJ262172:BQK262172 CAF262172:CAG262172 CKB262172:CKC262172 CTX262172:CTY262172 DDT262172:DDU262172 DNP262172:DNQ262172 DXL262172:DXM262172 EHH262172:EHI262172 ERD262172:ERE262172 FAZ262172:FBA262172 FKV262172:FKW262172 FUR262172:FUS262172 GEN262172:GEO262172 GOJ262172:GOK262172 GYF262172:GYG262172 HIB262172:HIC262172 HRX262172:HRY262172 IBT262172:IBU262172 ILP262172:ILQ262172 IVL262172:IVM262172 JFH262172:JFI262172 JPD262172:JPE262172 JYZ262172:JZA262172 KIV262172:KIW262172 KSR262172:KSS262172 LCN262172:LCO262172 LMJ262172:LMK262172 LWF262172:LWG262172 MGB262172:MGC262172 MPX262172:MPY262172 MZT262172:MZU262172 NJP262172:NJQ262172 NTL262172:NTM262172 ODH262172:ODI262172 OND262172:ONE262172 OWZ262172:OXA262172 PGV262172:PGW262172 PQR262172:PQS262172 QAN262172:QAO262172 QKJ262172:QKK262172 QUF262172:QUG262172 REB262172:REC262172 RNX262172:RNY262172 RXT262172:RXU262172 SHP262172:SHQ262172 SRL262172:SRM262172 TBH262172:TBI262172 TLD262172:TLE262172 TUZ262172:TVA262172 UEV262172:UEW262172 UOR262172:UOS262172 UYN262172:UYO262172 VIJ262172:VIK262172 VSF262172:VSG262172 WCB262172:WCC262172 WLX262172:WLY262172 WVT262172:WVU262172 L327708:M327708 JH327708:JI327708 TD327708:TE327708 ACZ327708:ADA327708 AMV327708:AMW327708 AWR327708:AWS327708 BGN327708:BGO327708 BQJ327708:BQK327708 CAF327708:CAG327708 CKB327708:CKC327708 CTX327708:CTY327708 DDT327708:DDU327708 DNP327708:DNQ327708 DXL327708:DXM327708 EHH327708:EHI327708 ERD327708:ERE327708 FAZ327708:FBA327708 FKV327708:FKW327708 FUR327708:FUS327708 GEN327708:GEO327708 GOJ327708:GOK327708 GYF327708:GYG327708 HIB327708:HIC327708 HRX327708:HRY327708 IBT327708:IBU327708 ILP327708:ILQ327708 IVL327708:IVM327708 JFH327708:JFI327708 JPD327708:JPE327708 JYZ327708:JZA327708 KIV327708:KIW327708 KSR327708:KSS327708 LCN327708:LCO327708 LMJ327708:LMK327708 LWF327708:LWG327708 MGB327708:MGC327708 MPX327708:MPY327708 MZT327708:MZU327708 NJP327708:NJQ327708 NTL327708:NTM327708 ODH327708:ODI327708 OND327708:ONE327708 OWZ327708:OXA327708 PGV327708:PGW327708 PQR327708:PQS327708 QAN327708:QAO327708 QKJ327708:QKK327708 QUF327708:QUG327708 REB327708:REC327708 RNX327708:RNY327708 RXT327708:RXU327708 SHP327708:SHQ327708 SRL327708:SRM327708 TBH327708:TBI327708 TLD327708:TLE327708 TUZ327708:TVA327708 UEV327708:UEW327708 UOR327708:UOS327708 UYN327708:UYO327708 VIJ327708:VIK327708 VSF327708:VSG327708 WCB327708:WCC327708 WLX327708:WLY327708 WVT327708:WVU327708 L393244:M393244 JH393244:JI393244 TD393244:TE393244 ACZ393244:ADA393244 AMV393244:AMW393244 AWR393244:AWS393244 BGN393244:BGO393244 BQJ393244:BQK393244 CAF393244:CAG393244 CKB393244:CKC393244 CTX393244:CTY393244 DDT393244:DDU393244 DNP393244:DNQ393244 DXL393244:DXM393244 EHH393244:EHI393244 ERD393244:ERE393244 FAZ393244:FBA393244 FKV393244:FKW393244 FUR393244:FUS393244 GEN393244:GEO393244 GOJ393244:GOK393244 GYF393244:GYG393244 HIB393244:HIC393244 HRX393244:HRY393244 IBT393244:IBU393244 ILP393244:ILQ393244 IVL393244:IVM393244 JFH393244:JFI393244 JPD393244:JPE393244 JYZ393244:JZA393244 KIV393244:KIW393244 KSR393244:KSS393244 LCN393244:LCO393244 LMJ393244:LMK393244 LWF393244:LWG393244 MGB393244:MGC393244 MPX393244:MPY393244 MZT393244:MZU393244 NJP393244:NJQ393244 NTL393244:NTM393244 ODH393244:ODI393244 OND393244:ONE393244 OWZ393244:OXA393244 PGV393244:PGW393244 PQR393244:PQS393244 QAN393244:QAO393244 QKJ393244:QKK393244 QUF393244:QUG393244 REB393244:REC393244 RNX393244:RNY393244 RXT393244:RXU393244 SHP393244:SHQ393244 SRL393244:SRM393244 TBH393244:TBI393244 TLD393244:TLE393244 TUZ393244:TVA393244 UEV393244:UEW393244 UOR393244:UOS393244 UYN393244:UYO393244 VIJ393244:VIK393244 VSF393244:VSG393244 WCB393244:WCC393244 WLX393244:WLY393244 WVT393244:WVU393244 L458780:M458780 JH458780:JI458780 TD458780:TE458780 ACZ458780:ADA458780 AMV458780:AMW458780 AWR458780:AWS458780 BGN458780:BGO458780 BQJ458780:BQK458780 CAF458780:CAG458780 CKB458780:CKC458780 CTX458780:CTY458780 DDT458780:DDU458780 DNP458780:DNQ458780 DXL458780:DXM458780 EHH458780:EHI458780 ERD458780:ERE458780 FAZ458780:FBA458780 FKV458780:FKW458780 FUR458780:FUS458780 GEN458780:GEO458780 GOJ458780:GOK458780 GYF458780:GYG458780 HIB458780:HIC458780 HRX458780:HRY458780 IBT458780:IBU458780 ILP458780:ILQ458780 IVL458780:IVM458780 JFH458780:JFI458780 JPD458780:JPE458780 JYZ458780:JZA458780 KIV458780:KIW458780 KSR458780:KSS458780 LCN458780:LCO458780 LMJ458780:LMK458780 LWF458780:LWG458780 MGB458780:MGC458780 MPX458780:MPY458780 MZT458780:MZU458780 NJP458780:NJQ458780 NTL458780:NTM458780 ODH458780:ODI458780 OND458780:ONE458780 OWZ458780:OXA458780 PGV458780:PGW458780 PQR458780:PQS458780 QAN458780:QAO458780 QKJ458780:QKK458780 QUF458780:QUG458780 REB458780:REC458780 RNX458780:RNY458780 RXT458780:RXU458780 SHP458780:SHQ458780 SRL458780:SRM458780 TBH458780:TBI458780 TLD458780:TLE458780 TUZ458780:TVA458780 UEV458780:UEW458780 UOR458780:UOS458780 UYN458780:UYO458780 VIJ458780:VIK458780 VSF458780:VSG458780 WCB458780:WCC458780 WLX458780:WLY458780 WVT458780:WVU458780 L524316:M524316 JH524316:JI524316 TD524316:TE524316 ACZ524316:ADA524316 AMV524316:AMW524316 AWR524316:AWS524316 BGN524316:BGO524316 BQJ524316:BQK524316 CAF524316:CAG524316 CKB524316:CKC524316 CTX524316:CTY524316 DDT524316:DDU524316 DNP524316:DNQ524316 DXL524316:DXM524316 EHH524316:EHI524316 ERD524316:ERE524316 FAZ524316:FBA524316 FKV524316:FKW524316 FUR524316:FUS524316 GEN524316:GEO524316 GOJ524316:GOK524316 GYF524316:GYG524316 HIB524316:HIC524316 HRX524316:HRY524316 IBT524316:IBU524316 ILP524316:ILQ524316 IVL524316:IVM524316 JFH524316:JFI524316 JPD524316:JPE524316 JYZ524316:JZA524316 KIV524316:KIW524316 KSR524316:KSS524316 LCN524316:LCO524316 LMJ524316:LMK524316 LWF524316:LWG524316 MGB524316:MGC524316 MPX524316:MPY524316 MZT524316:MZU524316 NJP524316:NJQ524316 NTL524316:NTM524316 ODH524316:ODI524316 OND524316:ONE524316 OWZ524316:OXA524316 PGV524316:PGW524316 PQR524316:PQS524316 QAN524316:QAO524316 QKJ524316:QKK524316 QUF524316:QUG524316 REB524316:REC524316 RNX524316:RNY524316 RXT524316:RXU524316 SHP524316:SHQ524316 SRL524316:SRM524316 TBH524316:TBI524316 TLD524316:TLE524316 TUZ524316:TVA524316 UEV524316:UEW524316 UOR524316:UOS524316 UYN524316:UYO524316 VIJ524316:VIK524316 VSF524316:VSG524316 WCB524316:WCC524316 WLX524316:WLY524316 WVT524316:WVU524316 L589852:M589852 JH589852:JI589852 TD589852:TE589852 ACZ589852:ADA589852 AMV589852:AMW589852 AWR589852:AWS589852 BGN589852:BGO589852 BQJ589852:BQK589852 CAF589852:CAG589852 CKB589852:CKC589852 CTX589852:CTY589852 DDT589852:DDU589852 DNP589852:DNQ589852 DXL589852:DXM589852 EHH589852:EHI589852 ERD589852:ERE589852 FAZ589852:FBA589852 FKV589852:FKW589852 FUR589852:FUS589852 GEN589852:GEO589852 GOJ589852:GOK589852 GYF589852:GYG589852 HIB589852:HIC589852 HRX589852:HRY589852 IBT589852:IBU589852 ILP589852:ILQ589852 IVL589852:IVM589852 JFH589852:JFI589852 JPD589852:JPE589852 JYZ589852:JZA589852 KIV589852:KIW589852 KSR589852:KSS589852 LCN589852:LCO589852 LMJ589852:LMK589852 LWF589852:LWG589852 MGB589852:MGC589852 MPX589852:MPY589852 MZT589852:MZU589852 NJP589852:NJQ589852 NTL589852:NTM589852 ODH589852:ODI589852 OND589852:ONE589852 OWZ589852:OXA589852 PGV589852:PGW589852 PQR589852:PQS589852 QAN589852:QAO589852 QKJ589852:QKK589852 QUF589852:QUG589852 REB589852:REC589852 RNX589852:RNY589852 RXT589852:RXU589852 SHP589852:SHQ589852 SRL589852:SRM589852 TBH589852:TBI589852 TLD589852:TLE589852 TUZ589852:TVA589852 UEV589852:UEW589852 UOR589852:UOS589852 UYN589852:UYO589852 VIJ589852:VIK589852 VSF589852:VSG589852 WCB589852:WCC589852 WLX589852:WLY589852 WVT589852:WVU589852 L655388:M655388 JH655388:JI655388 TD655388:TE655388 ACZ655388:ADA655388 AMV655388:AMW655388 AWR655388:AWS655388 BGN655388:BGO655388 BQJ655388:BQK655388 CAF655388:CAG655388 CKB655388:CKC655388 CTX655388:CTY655388 DDT655388:DDU655388 DNP655388:DNQ655388 DXL655388:DXM655388 EHH655388:EHI655388 ERD655388:ERE655388 FAZ655388:FBA655388 FKV655388:FKW655388 FUR655388:FUS655388 GEN655388:GEO655388 GOJ655388:GOK655388 GYF655388:GYG655388 HIB655388:HIC655388 HRX655388:HRY655388 IBT655388:IBU655388 ILP655388:ILQ655388 IVL655388:IVM655388 JFH655388:JFI655388 JPD655388:JPE655388 JYZ655388:JZA655388 KIV655388:KIW655388 KSR655388:KSS655388 LCN655388:LCO655388 LMJ655388:LMK655388 LWF655388:LWG655388 MGB655388:MGC655388 MPX655388:MPY655388 MZT655388:MZU655388 NJP655388:NJQ655388 NTL655388:NTM655388 ODH655388:ODI655388 OND655388:ONE655388 OWZ655388:OXA655388 PGV655388:PGW655388 PQR655388:PQS655388 QAN655388:QAO655388 QKJ655388:QKK655388 QUF655388:QUG655388 REB655388:REC655388 RNX655388:RNY655388 RXT655388:RXU655388 SHP655388:SHQ655388 SRL655388:SRM655388 TBH655388:TBI655388 TLD655388:TLE655388 TUZ655388:TVA655388 UEV655388:UEW655388 UOR655388:UOS655388 UYN655388:UYO655388 VIJ655388:VIK655388 VSF655388:VSG655388 WCB655388:WCC655388 WLX655388:WLY655388 WVT655388:WVU655388 L720924:M720924 JH720924:JI720924 TD720924:TE720924 ACZ720924:ADA720924 AMV720924:AMW720924 AWR720924:AWS720924 BGN720924:BGO720924 BQJ720924:BQK720924 CAF720924:CAG720924 CKB720924:CKC720924 CTX720924:CTY720924 DDT720924:DDU720924 DNP720924:DNQ720924 DXL720924:DXM720924 EHH720924:EHI720924 ERD720924:ERE720924 FAZ720924:FBA720924 FKV720924:FKW720924 FUR720924:FUS720924 GEN720924:GEO720924 GOJ720924:GOK720924 GYF720924:GYG720924 HIB720924:HIC720924 HRX720924:HRY720924 IBT720924:IBU720924 ILP720924:ILQ720924 IVL720924:IVM720924 JFH720924:JFI720924 JPD720924:JPE720924 JYZ720924:JZA720924 KIV720924:KIW720924 KSR720924:KSS720924 LCN720924:LCO720924 LMJ720924:LMK720924 LWF720924:LWG720924 MGB720924:MGC720924 MPX720924:MPY720924 MZT720924:MZU720924 NJP720924:NJQ720924 NTL720924:NTM720924 ODH720924:ODI720924 OND720924:ONE720924 OWZ720924:OXA720924 PGV720924:PGW720924 PQR720924:PQS720924 QAN720924:QAO720924 QKJ720924:QKK720924 QUF720924:QUG720924 REB720924:REC720924 RNX720924:RNY720924 RXT720924:RXU720924 SHP720924:SHQ720924 SRL720924:SRM720924 TBH720924:TBI720924 TLD720924:TLE720924 TUZ720924:TVA720924 UEV720924:UEW720924 UOR720924:UOS720924 UYN720924:UYO720924 VIJ720924:VIK720924 VSF720924:VSG720924 WCB720924:WCC720924 WLX720924:WLY720924 WVT720924:WVU720924 L786460:M786460 JH786460:JI786460 TD786460:TE786460 ACZ786460:ADA786460 AMV786460:AMW786460 AWR786460:AWS786460 BGN786460:BGO786460 BQJ786460:BQK786460 CAF786460:CAG786460 CKB786460:CKC786460 CTX786460:CTY786460 DDT786460:DDU786460 DNP786460:DNQ786460 DXL786460:DXM786460 EHH786460:EHI786460 ERD786460:ERE786460 FAZ786460:FBA786460 FKV786460:FKW786460 FUR786460:FUS786460 GEN786460:GEO786460 GOJ786460:GOK786460 GYF786460:GYG786460 HIB786460:HIC786460 HRX786460:HRY786460 IBT786460:IBU786460 ILP786460:ILQ786460 IVL786460:IVM786460 JFH786460:JFI786460 JPD786460:JPE786460 JYZ786460:JZA786460 KIV786460:KIW786460 KSR786460:KSS786460 LCN786460:LCO786460 LMJ786460:LMK786460 LWF786460:LWG786460 MGB786460:MGC786460 MPX786460:MPY786460 MZT786460:MZU786460 NJP786460:NJQ786460 NTL786460:NTM786460 ODH786460:ODI786460 OND786460:ONE786460 OWZ786460:OXA786460 PGV786460:PGW786460 PQR786460:PQS786460 QAN786460:QAO786460 QKJ786460:QKK786460 QUF786460:QUG786460 REB786460:REC786460 RNX786460:RNY786460 RXT786460:RXU786460 SHP786460:SHQ786460 SRL786460:SRM786460 TBH786460:TBI786460 TLD786460:TLE786460 TUZ786460:TVA786460 UEV786460:UEW786460 UOR786460:UOS786460 UYN786460:UYO786460 VIJ786460:VIK786460 VSF786460:VSG786460 WCB786460:WCC786460 WLX786460:WLY786460 WVT786460:WVU786460 L851996:M851996 JH851996:JI851996 TD851996:TE851996 ACZ851996:ADA851996 AMV851996:AMW851996 AWR851996:AWS851996 BGN851996:BGO851996 BQJ851996:BQK851996 CAF851996:CAG851996 CKB851996:CKC851996 CTX851996:CTY851996 DDT851996:DDU851996 DNP851996:DNQ851996 DXL851996:DXM851996 EHH851996:EHI851996 ERD851996:ERE851996 FAZ851996:FBA851996 FKV851996:FKW851996 FUR851996:FUS851996 GEN851996:GEO851996 GOJ851996:GOK851996 GYF851996:GYG851996 HIB851996:HIC851996 HRX851996:HRY851996 IBT851996:IBU851996 ILP851996:ILQ851996 IVL851996:IVM851996 JFH851996:JFI851996 JPD851996:JPE851996 JYZ851996:JZA851996 KIV851996:KIW851996 KSR851996:KSS851996 LCN851996:LCO851996 LMJ851996:LMK851996 LWF851996:LWG851996 MGB851996:MGC851996 MPX851996:MPY851996 MZT851996:MZU851996 NJP851996:NJQ851996 NTL851996:NTM851996 ODH851996:ODI851996 OND851996:ONE851996 OWZ851996:OXA851996 PGV851996:PGW851996 PQR851996:PQS851996 QAN851996:QAO851996 QKJ851996:QKK851996 QUF851996:QUG851996 REB851996:REC851996 RNX851996:RNY851996 RXT851996:RXU851996 SHP851996:SHQ851996 SRL851996:SRM851996 TBH851996:TBI851996 TLD851996:TLE851996 TUZ851996:TVA851996 UEV851996:UEW851996 UOR851996:UOS851996 UYN851996:UYO851996 VIJ851996:VIK851996 VSF851996:VSG851996 WCB851996:WCC851996 WLX851996:WLY851996 WVT851996:WVU851996 L917532:M917532 JH917532:JI917532 TD917532:TE917532 ACZ917532:ADA917532 AMV917532:AMW917532 AWR917532:AWS917532 BGN917532:BGO917532 BQJ917532:BQK917532 CAF917532:CAG917532 CKB917532:CKC917532 CTX917532:CTY917532 DDT917532:DDU917532 DNP917532:DNQ917532 DXL917532:DXM917532 EHH917532:EHI917532 ERD917532:ERE917532 FAZ917532:FBA917532 FKV917532:FKW917532 FUR917532:FUS917532 GEN917532:GEO917532 GOJ917532:GOK917532 GYF917532:GYG917532 HIB917532:HIC917532 HRX917532:HRY917532 IBT917532:IBU917532 ILP917532:ILQ917532 IVL917532:IVM917532 JFH917532:JFI917532 JPD917532:JPE917532 JYZ917532:JZA917532 KIV917532:KIW917532 KSR917532:KSS917532 LCN917532:LCO917532 LMJ917532:LMK917532 LWF917532:LWG917532 MGB917532:MGC917532 MPX917532:MPY917532 MZT917532:MZU917532 NJP917532:NJQ917532 NTL917532:NTM917532 ODH917532:ODI917532 OND917532:ONE917532 OWZ917532:OXA917532 PGV917532:PGW917532 PQR917532:PQS917532 QAN917532:QAO917532 QKJ917532:QKK917532 QUF917532:QUG917532 REB917532:REC917532 RNX917532:RNY917532 RXT917532:RXU917532 SHP917532:SHQ917532 SRL917532:SRM917532 TBH917532:TBI917532 TLD917532:TLE917532 TUZ917532:TVA917532 UEV917532:UEW917532 UOR917532:UOS917532 UYN917532:UYO917532 VIJ917532:VIK917532 VSF917532:VSG917532 WCB917532:WCC917532 WLX917532:WLY917532 WVT917532:WVU917532 L983068:M983068 JH983068:JI983068 TD983068:TE983068 ACZ983068:ADA983068 AMV983068:AMW983068 AWR983068:AWS983068 BGN983068:BGO983068 BQJ983068:BQK983068 CAF983068:CAG983068 CKB983068:CKC983068 CTX983068:CTY983068 DDT983068:DDU983068 DNP983068:DNQ983068 DXL983068:DXM983068 EHH983068:EHI983068 ERD983068:ERE983068 FAZ983068:FBA983068 FKV983068:FKW983068 FUR983068:FUS983068 GEN983068:GEO983068 GOJ983068:GOK983068 GYF983068:GYG983068 HIB983068:HIC983068 HRX983068:HRY983068 IBT983068:IBU983068 ILP983068:ILQ983068 IVL983068:IVM983068 JFH983068:JFI983068 JPD983068:JPE983068 JYZ983068:JZA983068 KIV983068:KIW983068 KSR983068:KSS983068 LCN983068:LCO983068 LMJ983068:LMK983068 LWF983068:LWG983068 MGB983068:MGC983068 MPX983068:MPY983068 MZT983068:MZU983068 NJP983068:NJQ983068 NTL983068:NTM983068 ODH983068:ODI983068 OND983068:ONE983068 OWZ983068:OXA983068 PGV983068:PGW983068 PQR983068:PQS983068 QAN983068:QAO983068 QKJ983068:QKK983068 QUF983068:QUG983068 REB983068:REC983068 RNX983068:RNY983068 RXT983068:RXU983068 SHP983068:SHQ983068 SRL983068:SRM983068 TBH983068:TBI983068 TLD983068:TLE983068 TUZ983068:TVA983068 UEV983068:UEW983068 UOR983068:UOS983068 UYN983068:UYO983068 VIJ983068:VIK983068 VSF983068:VSG983068 WCB983068:WCC983068 WLX983068:WLY983068 WVT983068:WVU983068 N47:O61 JJ47:JK61 TF47:TG61 ADB47:ADC61 AMX47:AMY61 AWT47:AWU61 BGP47:BGQ61 BQL47:BQM61 CAH47:CAI61 CKD47:CKE61 CTZ47:CUA61 DDV47:DDW61 DNR47:DNS61 DXN47:DXO61 EHJ47:EHK61 ERF47:ERG61 FBB47:FBC61 FKX47:FKY61 FUT47:FUU61 GEP47:GEQ61 GOL47:GOM61 GYH47:GYI61 HID47:HIE61 HRZ47:HSA61 IBV47:IBW61 ILR47:ILS61 IVN47:IVO61 JFJ47:JFK61 JPF47:JPG61 JZB47:JZC61 KIX47:KIY61 KST47:KSU61 LCP47:LCQ61 LML47:LMM61 LWH47:LWI61 MGD47:MGE61 MPZ47:MQA61 MZV47:MZW61 NJR47:NJS61 NTN47:NTO61 ODJ47:ODK61 ONF47:ONG61 OXB47:OXC61 PGX47:PGY61 PQT47:PQU61 QAP47:QAQ61 QKL47:QKM61 QUH47:QUI61 RED47:REE61 RNZ47:ROA61 RXV47:RXW61 SHR47:SHS61 SRN47:SRO61 TBJ47:TBK61 TLF47:TLG61 TVB47:TVC61 UEX47:UEY61 UOT47:UOU61 UYP47:UYQ61 VIL47:VIM61 VSH47:VSI61 WCD47:WCE61 WLZ47:WMA61 WVV47:WVW61 N65583:O65597 JJ65583:JK65597 TF65583:TG65597 ADB65583:ADC65597 AMX65583:AMY65597 AWT65583:AWU65597 BGP65583:BGQ65597 BQL65583:BQM65597 CAH65583:CAI65597 CKD65583:CKE65597 CTZ65583:CUA65597 DDV65583:DDW65597 DNR65583:DNS65597 DXN65583:DXO65597 EHJ65583:EHK65597 ERF65583:ERG65597 FBB65583:FBC65597 FKX65583:FKY65597 FUT65583:FUU65597 GEP65583:GEQ65597 GOL65583:GOM65597 GYH65583:GYI65597 HID65583:HIE65597 HRZ65583:HSA65597 IBV65583:IBW65597 ILR65583:ILS65597 IVN65583:IVO65597 JFJ65583:JFK65597 JPF65583:JPG65597 JZB65583:JZC65597 KIX65583:KIY65597 KST65583:KSU65597 LCP65583:LCQ65597 LML65583:LMM65597 LWH65583:LWI65597 MGD65583:MGE65597 MPZ65583:MQA65597 MZV65583:MZW65597 NJR65583:NJS65597 NTN65583:NTO65597 ODJ65583:ODK65597 ONF65583:ONG65597 OXB65583:OXC65597 PGX65583:PGY65597 PQT65583:PQU65597 QAP65583:QAQ65597 QKL65583:QKM65597 QUH65583:QUI65597 RED65583:REE65597 RNZ65583:ROA65597 RXV65583:RXW65597 SHR65583:SHS65597 SRN65583:SRO65597 TBJ65583:TBK65597 TLF65583:TLG65597 TVB65583:TVC65597 UEX65583:UEY65597 UOT65583:UOU65597 UYP65583:UYQ65597 VIL65583:VIM65597 VSH65583:VSI65597 WCD65583:WCE65597 WLZ65583:WMA65597 WVV65583:WVW65597 N131119:O131133 JJ131119:JK131133 TF131119:TG131133 ADB131119:ADC131133 AMX131119:AMY131133 AWT131119:AWU131133 BGP131119:BGQ131133 BQL131119:BQM131133 CAH131119:CAI131133 CKD131119:CKE131133 CTZ131119:CUA131133 DDV131119:DDW131133 DNR131119:DNS131133 DXN131119:DXO131133 EHJ131119:EHK131133 ERF131119:ERG131133 FBB131119:FBC131133 FKX131119:FKY131133 FUT131119:FUU131133 GEP131119:GEQ131133 GOL131119:GOM131133 GYH131119:GYI131133 HID131119:HIE131133 HRZ131119:HSA131133 IBV131119:IBW131133 ILR131119:ILS131133 IVN131119:IVO131133 JFJ131119:JFK131133 JPF131119:JPG131133 JZB131119:JZC131133 KIX131119:KIY131133 KST131119:KSU131133 LCP131119:LCQ131133 LML131119:LMM131133 LWH131119:LWI131133 MGD131119:MGE131133 MPZ131119:MQA131133 MZV131119:MZW131133 NJR131119:NJS131133 NTN131119:NTO131133 ODJ131119:ODK131133 ONF131119:ONG131133 OXB131119:OXC131133 PGX131119:PGY131133 PQT131119:PQU131133 QAP131119:QAQ131133 QKL131119:QKM131133 QUH131119:QUI131133 RED131119:REE131133 RNZ131119:ROA131133 RXV131119:RXW131133 SHR131119:SHS131133 SRN131119:SRO131133 TBJ131119:TBK131133 TLF131119:TLG131133 TVB131119:TVC131133 UEX131119:UEY131133 UOT131119:UOU131133 UYP131119:UYQ131133 VIL131119:VIM131133 VSH131119:VSI131133 WCD131119:WCE131133 WLZ131119:WMA131133 WVV131119:WVW131133 N196655:O196669 JJ196655:JK196669 TF196655:TG196669 ADB196655:ADC196669 AMX196655:AMY196669 AWT196655:AWU196669 BGP196655:BGQ196669 BQL196655:BQM196669 CAH196655:CAI196669 CKD196655:CKE196669 CTZ196655:CUA196669 DDV196655:DDW196669 DNR196655:DNS196669 DXN196655:DXO196669 EHJ196655:EHK196669 ERF196655:ERG196669 FBB196655:FBC196669 FKX196655:FKY196669 FUT196655:FUU196669 GEP196655:GEQ196669 GOL196655:GOM196669 GYH196655:GYI196669 HID196655:HIE196669 HRZ196655:HSA196669 IBV196655:IBW196669 ILR196655:ILS196669 IVN196655:IVO196669 JFJ196655:JFK196669 JPF196655:JPG196669 JZB196655:JZC196669 KIX196655:KIY196669 KST196655:KSU196669 LCP196655:LCQ196669 LML196655:LMM196669 LWH196655:LWI196669 MGD196655:MGE196669 MPZ196655:MQA196669 MZV196655:MZW196669 NJR196655:NJS196669 NTN196655:NTO196669 ODJ196655:ODK196669 ONF196655:ONG196669 OXB196655:OXC196669 PGX196655:PGY196669 PQT196655:PQU196669 QAP196655:QAQ196669 QKL196655:QKM196669 QUH196655:QUI196669 RED196655:REE196669 RNZ196655:ROA196669 RXV196655:RXW196669 SHR196655:SHS196669 SRN196655:SRO196669 TBJ196655:TBK196669 TLF196655:TLG196669 TVB196655:TVC196669 UEX196655:UEY196669 UOT196655:UOU196669 UYP196655:UYQ196669 VIL196655:VIM196669 VSH196655:VSI196669 WCD196655:WCE196669 WLZ196655:WMA196669 WVV196655:WVW196669 N262191:O262205 JJ262191:JK262205 TF262191:TG262205 ADB262191:ADC262205 AMX262191:AMY262205 AWT262191:AWU262205 BGP262191:BGQ262205 BQL262191:BQM262205 CAH262191:CAI262205 CKD262191:CKE262205 CTZ262191:CUA262205 DDV262191:DDW262205 DNR262191:DNS262205 DXN262191:DXO262205 EHJ262191:EHK262205 ERF262191:ERG262205 FBB262191:FBC262205 FKX262191:FKY262205 FUT262191:FUU262205 GEP262191:GEQ262205 GOL262191:GOM262205 GYH262191:GYI262205 HID262191:HIE262205 HRZ262191:HSA262205 IBV262191:IBW262205 ILR262191:ILS262205 IVN262191:IVO262205 JFJ262191:JFK262205 JPF262191:JPG262205 JZB262191:JZC262205 KIX262191:KIY262205 KST262191:KSU262205 LCP262191:LCQ262205 LML262191:LMM262205 LWH262191:LWI262205 MGD262191:MGE262205 MPZ262191:MQA262205 MZV262191:MZW262205 NJR262191:NJS262205 NTN262191:NTO262205 ODJ262191:ODK262205 ONF262191:ONG262205 OXB262191:OXC262205 PGX262191:PGY262205 PQT262191:PQU262205 QAP262191:QAQ262205 QKL262191:QKM262205 QUH262191:QUI262205 RED262191:REE262205 RNZ262191:ROA262205 RXV262191:RXW262205 SHR262191:SHS262205 SRN262191:SRO262205 TBJ262191:TBK262205 TLF262191:TLG262205 TVB262191:TVC262205 UEX262191:UEY262205 UOT262191:UOU262205 UYP262191:UYQ262205 VIL262191:VIM262205 VSH262191:VSI262205 WCD262191:WCE262205 WLZ262191:WMA262205 WVV262191:WVW262205 N327727:O327741 JJ327727:JK327741 TF327727:TG327741 ADB327727:ADC327741 AMX327727:AMY327741 AWT327727:AWU327741 BGP327727:BGQ327741 BQL327727:BQM327741 CAH327727:CAI327741 CKD327727:CKE327741 CTZ327727:CUA327741 DDV327727:DDW327741 DNR327727:DNS327741 DXN327727:DXO327741 EHJ327727:EHK327741 ERF327727:ERG327741 FBB327727:FBC327741 FKX327727:FKY327741 FUT327727:FUU327741 GEP327727:GEQ327741 GOL327727:GOM327741 GYH327727:GYI327741 HID327727:HIE327741 HRZ327727:HSA327741 IBV327727:IBW327741 ILR327727:ILS327741 IVN327727:IVO327741 JFJ327727:JFK327741 JPF327727:JPG327741 JZB327727:JZC327741 KIX327727:KIY327741 KST327727:KSU327741 LCP327727:LCQ327741 LML327727:LMM327741 LWH327727:LWI327741 MGD327727:MGE327741 MPZ327727:MQA327741 MZV327727:MZW327741 NJR327727:NJS327741 NTN327727:NTO327741 ODJ327727:ODK327741 ONF327727:ONG327741 OXB327727:OXC327741 PGX327727:PGY327741 PQT327727:PQU327741 QAP327727:QAQ327741 QKL327727:QKM327741 QUH327727:QUI327741 RED327727:REE327741 RNZ327727:ROA327741 RXV327727:RXW327741 SHR327727:SHS327741 SRN327727:SRO327741 TBJ327727:TBK327741 TLF327727:TLG327741 TVB327727:TVC327741 UEX327727:UEY327741 UOT327727:UOU327741 UYP327727:UYQ327741 VIL327727:VIM327741 VSH327727:VSI327741 WCD327727:WCE327741 WLZ327727:WMA327741 WVV327727:WVW327741 N393263:O393277 JJ393263:JK393277 TF393263:TG393277 ADB393263:ADC393277 AMX393263:AMY393277 AWT393263:AWU393277 BGP393263:BGQ393277 BQL393263:BQM393277 CAH393263:CAI393277 CKD393263:CKE393277 CTZ393263:CUA393277 DDV393263:DDW393277 DNR393263:DNS393277 DXN393263:DXO393277 EHJ393263:EHK393277 ERF393263:ERG393277 FBB393263:FBC393277 FKX393263:FKY393277 FUT393263:FUU393277 GEP393263:GEQ393277 GOL393263:GOM393277 GYH393263:GYI393277 HID393263:HIE393277 HRZ393263:HSA393277 IBV393263:IBW393277 ILR393263:ILS393277 IVN393263:IVO393277 JFJ393263:JFK393277 JPF393263:JPG393277 JZB393263:JZC393277 KIX393263:KIY393277 KST393263:KSU393277 LCP393263:LCQ393277 LML393263:LMM393277 LWH393263:LWI393277 MGD393263:MGE393277 MPZ393263:MQA393277 MZV393263:MZW393277 NJR393263:NJS393277 NTN393263:NTO393277 ODJ393263:ODK393277 ONF393263:ONG393277 OXB393263:OXC393277 PGX393263:PGY393277 PQT393263:PQU393277 QAP393263:QAQ393277 QKL393263:QKM393277 QUH393263:QUI393277 RED393263:REE393277 RNZ393263:ROA393277 RXV393263:RXW393277 SHR393263:SHS393277 SRN393263:SRO393277 TBJ393263:TBK393277 TLF393263:TLG393277 TVB393263:TVC393277 UEX393263:UEY393277 UOT393263:UOU393277 UYP393263:UYQ393277 VIL393263:VIM393277 VSH393263:VSI393277 WCD393263:WCE393277 WLZ393263:WMA393277 WVV393263:WVW393277 N458799:O458813 JJ458799:JK458813 TF458799:TG458813 ADB458799:ADC458813 AMX458799:AMY458813 AWT458799:AWU458813 BGP458799:BGQ458813 BQL458799:BQM458813 CAH458799:CAI458813 CKD458799:CKE458813 CTZ458799:CUA458813 DDV458799:DDW458813 DNR458799:DNS458813 DXN458799:DXO458813 EHJ458799:EHK458813 ERF458799:ERG458813 FBB458799:FBC458813 FKX458799:FKY458813 FUT458799:FUU458813 GEP458799:GEQ458813 GOL458799:GOM458813 GYH458799:GYI458813 HID458799:HIE458813 HRZ458799:HSA458813 IBV458799:IBW458813 ILR458799:ILS458813 IVN458799:IVO458813 JFJ458799:JFK458813 JPF458799:JPG458813 JZB458799:JZC458813 KIX458799:KIY458813 KST458799:KSU458813 LCP458799:LCQ458813 LML458799:LMM458813 LWH458799:LWI458813 MGD458799:MGE458813 MPZ458799:MQA458813 MZV458799:MZW458813 NJR458799:NJS458813 NTN458799:NTO458813 ODJ458799:ODK458813 ONF458799:ONG458813 OXB458799:OXC458813 PGX458799:PGY458813 PQT458799:PQU458813 QAP458799:QAQ458813 QKL458799:QKM458813 QUH458799:QUI458813 RED458799:REE458813 RNZ458799:ROA458813 RXV458799:RXW458813 SHR458799:SHS458813 SRN458799:SRO458813 TBJ458799:TBK458813 TLF458799:TLG458813 TVB458799:TVC458813 UEX458799:UEY458813 UOT458799:UOU458813 UYP458799:UYQ458813 VIL458799:VIM458813 VSH458799:VSI458813 WCD458799:WCE458813 WLZ458799:WMA458813 WVV458799:WVW458813 N524335:O524349 JJ524335:JK524349 TF524335:TG524349 ADB524335:ADC524349 AMX524335:AMY524349 AWT524335:AWU524349 BGP524335:BGQ524349 BQL524335:BQM524349 CAH524335:CAI524349 CKD524335:CKE524349 CTZ524335:CUA524349 DDV524335:DDW524349 DNR524335:DNS524349 DXN524335:DXO524349 EHJ524335:EHK524349 ERF524335:ERG524349 FBB524335:FBC524349 FKX524335:FKY524349 FUT524335:FUU524349 GEP524335:GEQ524349 GOL524335:GOM524349 GYH524335:GYI524349 HID524335:HIE524349 HRZ524335:HSA524349 IBV524335:IBW524349 ILR524335:ILS524349 IVN524335:IVO524349 JFJ524335:JFK524349 JPF524335:JPG524349 JZB524335:JZC524349 KIX524335:KIY524349 KST524335:KSU524349 LCP524335:LCQ524349 LML524335:LMM524349 LWH524335:LWI524349 MGD524335:MGE524349 MPZ524335:MQA524349 MZV524335:MZW524349 NJR524335:NJS524349 NTN524335:NTO524349 ODJ524335:ODK524349 ONF524335:ONG524349 OXB524335:OXC524349 PGX524335:PGY524349 PQT524335:PQU524349 QAP524335:QAQ524349 QKL524335:QKM524349 QUH524335:QUI524349 RED524335:REE524349 RNZ524335:ROA524349 RXV524335:RXW524349 SHR524335:SHS524349 SRN524335:SRO524349 TBJ524335:TBK524349 TLF524335:TLG524349 TVB524335:TVC524349 UEX524335:UEY524349 UOT524335:UOU524349 UYP524335:UYQ524349 VIL524335:VIM524349 VSH524335:VSI524349 WCD524335:WCE524349 WLZ524335:WMA524349 WVV524335:WVW524349 N589871:O589885 JJ589871:JK589885 TF589871:TG589885 ADB589871:ADC589885 AMX589871:AMY589885 AWT589871:AWU589885 BGP589871:BGQ589885 BQL589871:BQM589885 CAH589871:CAI589885 CKD589871:CKE589885 CTZ589871:CUA589885 DDV589871:DDW589885 DNR589871:DNS589885 DXN589871:DXO589885 EHJ589871:EHK589885 ERF589871:ERG589885 FBB589871:FBC589885 FKX589871:FKY589885 FUT589871:FUU589885 GEP589871:GEQ589885 GOL589871:GOM589885 GYH589871:GYI589885 HID589871:HIE589885 HRZ589871:HSA589885 IBV589871:IBW589885 ILR589871:ILS589885 IVN589871:IVO589885 JFJ589871:JFK589885 JPF589871:JPG589885 JZB589871:JZC589885 KIX589871:KIY589885 KST589871:KSU589885 LCP589871:LCQ589885 LML589871:LMM589885 LWH589871:LWI589885 MGD589871:MGE589885 MPZ589871:MQA589885 MZV589871:MZW589885 NJR589871:NJS589885 NTN589871:NTO589885 ODJ589871:ODK589885 ONF589871:ONG589885 OXB589871:OXC589885 PGX589871:PGY589885 PQT589871:PQU589885 QAP589871:QAQ589885 QKL589871:QKM589885 QUH589871:QUI589885 RED589871:REE589885 RNZ589871:ROA589885 RXV589871:RXW589885 SHR589871:SHS589885 SRN589871:SRO589885 TBJ589871:TBK589885 TLF589871:TLG589885 TVB589871:TVC589885 UEX589871:UEY589885 UOT589871:UOU589885 UYP589871:UYQ589885 VIL589871:VIM589885 VSH589871:VSI589885 WCD589871:WCE589885 WLZ589871:WMA589885 WVV589871:WVW589885 N655407:O655421 JJ655407:JK655421 TF655407:TG655421 ADB655407:ADC655421 AMX655407:AMY655421 AWT655407:AWU655421 BGP655407:BGQ655421 BQL655407:BQM655421 CAH655407:CAI655421 CKD655407:CKE655421 CTZ655407:CUA655421 DDV655407:DDW655421 DNR655407:DNS655421 DXN655407:DXO655421 EHJ655407:EHK655421 ERF655407:ERG655421 FBB655407:FBC655421 FKX655407:FKY655421 FUT655407:FUU655421 GEP655407:GEQ655421 GOL655407:GOM655421 GYH655407:GYI655421 HID655407:HIE655421 HRZ655407:HSA655421 IBV655407:IBW655421 ILR655407:ILS655421 IVN655407:IVO655421 JFJ655407:JFK655421 JPF655407:JPG655421 JZB655407:JZC655421 KIX655407:KIY655421 KST655407:KSU655421 LCP655407:LCQ655421 LML655407:LMM655421 LWH655407:LWI655421 MGD655407:MGE655421 MPZ655407:MQA655421 MZV655407:MZW655421 NJR655407:NJS655421 NTN655407:NTO655421 ODJ655407:ODK655421 ONF655407:ONG655421 OXB655407:OXC655421 PGX655407:PGY655421 PQT655407:PQU655421 QAP655407:QAQ655421 QKL655407:QKM655421 QUH655407:QUI655421 RED655407:REE655421 RNZ655407:ROA655421 RXV655407:RXW655421 SHR655407:SHS655421 SRN655407:SRO655421 TBJ655407:TBK655421 TLF655407:TLG655421 TVB655407:TVC655421 UEX655407:UEY655421 UOT655407:UOU655421 UYP655407:UYQ655421 VIL655407:VIM655421 VSH655407:VSI655421 WCD655407:WCE655421 WLZ655407:WMA655421 WVV655407:WVW655421 N720943:O720957 JJ720943:JK720957 TF720943:TG720957 ADB720943:ADC720957 AMX720943:AMY720957 AWT720943:AWU720957 BGP720943:BGQ720957 BQL720943:BQM720957 CAH720943:CAI720957 CKD720943:CKE720957 CTZ720943:CUA720957 DDV720943:DDW720957 DNR720943:DNS720957 DXN720943:DXO720957 EHJ720943:EHK720957 ERF720943:ERG720957 FBB720943:FBC720957 FKX720943:FKY720957 FUT720943:FUU720957 GEP720943:GEQ720957 GOL720943:GOM720957 GYH720943:GYI720957 HID720943:HIE720957 HRZ720943:HSA720957 IBV720943:IBW720957 ILR720943:ILS720957 IVN720943:IVO720957 JFJ720943:JFK720957 JPF720943:JPG720957 JZB720943:JZC720957 KIX720943:KIY720957 KST720943:KSU720957 LCP720943:LCQ720957 LML720943:LMM720957 LWH720943:LWI720957 MGD720943:MGE720957 MPZ720943:MQA720957 MZV720943:MZW720957 NJR720943:NJS720957 NTN720943:NTO720957 ODJ720943:ODK720957 ONF720943:ONG720957 OXB720943:OXC720957 PGX720943:PGY720957 PQT720943:PQU720957 QAP720943:QAQ720957 QKL720943:QKM720957 QUH720943:QUI720957 RED720943:REE720957 RNZ720943:ROA720957 RXV720943:RXW720957 SHR720943:SHS720957 SRN720943:SRO720957 TBJ720943:TBK720957 TLF720943:TLG720957 TVB720943:TVC720957 UEX720943:UEY720957 UOT720943:UOU720957 UYP720943:UYQ720957 VIL720943:VIM720957 VSH720943:VSI720957 WCD720943:WCE720957 WLZ720943:WMA720957 WVV720943:WVW720957 N786479:O786493 JJ786479:JK786493 TF786479:TG786493 ADB786479:ADC786493 AMX786479:AMY786493 AWT786479:AWU786493 BGP786479:BGQ786493 BQL786479:BQM786493 CAH786479:CAI786493 CKD786479:CKE786493 CTZ786479:CUA786493 DDV786479:DDW786493 DNR786479:DNS786493 DXN786479:DXO786493 EHJ786479:EHK786493 ERF786479:ERG786493 FBB786479:FBC786493 FKX786479:FKY786493 FUT786479:FUU786493 GEP786479:GEQ786493 GOL786479:GOM786493 GYH786479:GYI786493 HID786479:HIE786493 HRZ786479:HSA786493 IBV786479:IBW786493 ILR786479:ILS786493 IVN786479:IVO786493 JFJ786479:JFK786493 JPF786479:JPG786493 JZB786479:JZC786493 KIX786479:KIY786493 KST786479:KSU786493 LCP786479:LCQ786493 LML786479:LMM786493 LWH786479:LWI786493 MGD786479:MGE786493 MPZ786479:MQA786493 MZV786479:MZW786493 NJR786479:NJS786493 NTN786479:NTO786493 ODJ786479:ODK786493 ONF786479:ONG786493 OXB786479:OXC786493 PGX786479:PGY786493 PQT786479:PQU786493 QAP786479:QAQ786493 QKL786479:QKM786493 QUH786479:QUI786493 RED786479:REE786493 RNZ786479:ROA786493 RXV786479:RXW786493 SHR786479:SHS786493 SRN786479:SRO786493 TBJ786479:TBK786493 TLF786479:TLG786493 TVB786479:TVC786493 UEX786479:UEY786493 UOT786479:UOU786493 UYP786479:UYQ786493 VIL786479:VIM786493 VSH786479:VSI786493 WCD786479:WCE786493 WLZ786479:WMA786493 WVV786479:WVW786493 N852015:O852029 JJ852015:JK852029 TF852015:TG852029 ADB852015:ADC852029 AMX852015:AMY852029 AWT852015:AWU852029 BGP852015:BGQ852029 BQL852015:BQM852029 CAH852015:CAI852029 CKD852015:CKE852029 CTZ852015:CUA852029 DDV852015:DDW852029 DNR852015:DNS852029 DXN852015:DXO852029 EHJ852015:EHK852029 ERF852015:ERG852029 FBB852015:FBC852029 FKX852015:FKY852029 FUT852015:FUU852029 GEP852015:GEQ852029 GOL852015:GOM852029 GYH852015:GYI852029 HID852015:HIE852029 HRZ852015:HSA852029 IBV852015:IBW852029 ILR852015:ILS852029 IVN852015:IVO852029 JFJ852015:JFK852029 JPF852015:JPG852029 JZB852015:JZC852029 KIX852015:KIY852029 KST852015:KSU852029 LCP852015:LCQ852029 LML852015:LMM852029 LWH852015:LWI852029 MGD852015:MGE852029 MPZ852015:MQA852029 MZV852015:MZW852029 NJR852015:NJS852029 NTN852015:NTO852029 ODJ852015:ODK852029 ONF852015:ONG852029 OXB852015:OXC852029 PGX852015:PGY852029 PQT852015:PQU852029 QAP852015:QAQ852029 QKL852015:QKM852029 QUH852015:QUI852029 RED852015:REE852029 RNZ852015:ROA852029 RXV852015:RXW852029 SHR852015:SHS852029 SRN852015:SRO852029 TBJ852015:TBK852029 TLF852015:TLG852029 TVB852015:TVC852029 UEX852015:UEY852029 UOT852015:UOU852029 UYP852015:UYQ852029 VIL852015:VIM852029 VSH852015:VSI852029 WCD852015:WCE852029 WLZ852015:WMA852029 WVV852015:WVW852029 N917551:O917565 JJ917551:JK917565 TF917551:TG917565 ADB917551:ADC917565 AMX917551:AMY917565 AWT917551:AWU917565 BGP917551:BGQ917565 BQL917551:BQM917565 CAH917551:CAI917565 CKD917551:CKE917565 CTZ917551:CUA917565 DDV917551:DDW917565 DNR917551:DNS917565 DXN917551:DXO917565 EHJ917551:EHK917565 ERF917551:ERG917565 FBB917551:FBC917565 FKX917551:FKY917565 FUT917551:FUU917565 GEP917551:GEQ917565 GOL917551:GOM917565 GYH917551:GYI917565 HID917551:HIE917565 HRZ917551:HSA917565 IBV917551:IBW917565 ILR917551:ILS917565 IVN917551:IVO917565 JFJ917551:JFK917565 JPF917551:JPG917565 JZB917551:JZC917565 KIX917551:KIY917565 KST917551:KSU917565 LCP917551:LCQ917565 LML917551:LMM917565 LWH917551:LWI917565 MGD917551:MGE917565 MPZ917551:MQA917565 MZV917551:MZW917565 NJR917551:NJS917565 NTN917551:NTO917565 ODJ917551:ODK917565 ONF917551:ONG917565 OXB917551:OXC917565 PGX917551:PGY917565 PQT917551:PQU917565 QAP917551:QAQ917565 QKL917551:QKM917565 QUH917551:QUI917565 RED917551:REE917565 RNZ917551:ROA917565 RXV917551:RXW917565 SHR917551:SHS917565 SRN917551:SRO917565 TBJ917551:TBK917565 TLF917551:TLG917565 TVB917551:TVC917565 UEX917551:UEY917565 UOT917551:UOU917565 UYP917551:UYQ917565 VIL917551:VIM917565 VSH917551:VSI917565 WCD917551:WCE917565 WLZ917551:WMA917565 WVV917551:WVW917565 N983087:O983101 JJ983087:JK983101 TF983087:TG983101 ADB983087:ADC983101 AMX983087:AMY983101 AWT983087:AWU983101 BGP983087:BGQ983101 BQL983087:BQM983101 CAH983087:CAI983101 CKD983087:CKE983101 CTZ983087:CUA983101 DDV983087:DDW983101 DNR983087:DNS983101 DXN983087:DXO983101 EHJ983087:EHK983101 ERF983087:ERG983101 FBB983087:FBC983101 FKX983087:FKY983101 FUT983087:FUU983101 GEP983087:GEQ983101 GOL983087:GOM983101 GYH983087:GYI983101 HID983087:HIE983101 HRZ983087:HSA983101 IBV983087:IBW983101 ILR983087:ILS983101 IVN983087:IVO983101 JFJ983087:JFK983101 JPF983087:JPG983101 JZB983087:JZC983101 KIX983087:KIY983101 KST983087:KSU983101 LCP983087:LCQ983101 LML983087:LMM983101 LWH983087:LWI983101 MGD983087:MGE983101 MPZ983087:MQA983101 MZV983087:MZW983101 NJR983087:NJS983101 NTN983087:NTO983101 ODJ983087:ODK983101 ONF983087:ONG983101 OXB983087:OXC983101 PGX983087:PGY983101 PQT983087:PQU983101 QAP983087:QAQ983101 QKL983087:QKM983101 QUH983087:QUI983101 RED983087:REE983101 RNZ983087:ROA983101 RXV983087:RXW983101 SHR983087:SHS983101 SRN983087:SRO983101 TBJ983087:TBK983101 TLF983087:TLG983101 TVB983087:TVC983101 UEX983087:UEY983101 UOT983087:UOU983101 UYP983087:UYQ983101 VIL983087:VIM983101 VSH983087:VSI983101 WCD983087:WCE983101 WLZ983087:WMA983101 WVV983087:WVW983101 N65:O70 JJ65:JK70 TF65:TG70 ADB65:ADC70 AMX65:AMY70 AWT65:AWU70 BGP65:BGQ70 BQL65:BQM70 CAH65:CAI70 CKD65:CKE70 CTZ65:CUA70 DDV65:DDW70 DNR65:DNS70 DXN65:DXO70 EHJ65:EHK70 ERF65:ERG70 FBB65:FBC70 FKX65:FKY70 FUT65:FUU70 GEP65:GEQ70 GOL65:GOM70 GYH65:GYI70 HID65:HIE70 HRZ65:HSA70 IBV65:IBW70 ILR65:ILS70 IVN65:IVO70 JFJ65:JFK70 JPF65:JPG70 JZB65:JZC70 KIX65:KIY70 KST65:KSU70 LCP65:LCQ70 LML65:LMM70 LWH65:LWI70 MGD65:MGE70 MPZ65:MQA70 MZV65:MZW70 NJR65:NJS70 NTN65:NTO70 ODJ65:ODK70 ONF65:ONG70 OXB65:OXC70 PGX65:PGY70 PQT65:PQU70 QAP65:QAQ70 QKL65:QKM70 QUH65:QUI70 RED65:REE70 RNZ65:ROA70 RXV65:RXW70 SHR65:SHS70 SRN65:SRO70 TBJ65:TBK70 TLF65:TLG70 TVB65:TVC70 UEX65:UEY70 UOT65:UOU70 UYP65:UYQ70 VIL65:VIM70 VSH65:VSI70 WCD65:WCE70 WLZ65:WMA70 WVV65:WVW70 N65601:O65606 JJ65601:JK65606 TF65601:TG65606 ADB65601:ADC65606 AMX65601:AMY65606 AWT65601:AWU65606 BGP65601:BGQ65606 BQL65601:BQM65606 CAH65601:CAI65606 CKD65601:CKE65606 CTZ65601:CUA65606 DDV65601:DDW65606 DNR65601:DNS65606 DXN65601:DXO65606 EHJ65601:EHK65606 ERF65601:ERG65606 FBB65601:FBC65606 FKX65601:FKY65606 FUT65601:FUU65606 GEP65601:GEQ65606 GOL65601:GOM65606 GYH65601:GYI65606 HID65601:HIE65606 HRZ65601:HSA65606 IBV65601:IBW65606 ILR65601:ILS65606 IVN65601:IVO65606 JFJ65601:JFK65606 JPF65601:JPG65606 JZB65601:JZC65606 KIX65601:KIY65606 KST65601:KSU65606 LCP65601:LCQ65606 LML65601:LMM65606 LWH65601:LWI65606 MGD65601:MGE65606 MPZ65601:MQA65606 MZV65601:MZW65606 NJR65601:NJS65606 NTN65601:NTO65606 ODJ65601:ODK65606 ONF65601:ONG65606 OXB65601:OXC65606 PGX65601:PGY65606 PQT65601:PQU65606 QAP65601:QAQ65606 QKL65601:QKM65606 QUH65601:QUI65606 RED65601:REE65606 RNZ65601:ROA65606 RXV65601:RXW65606 SHR65601:SHS65606 SRN65601:SRO65606 TBJ65601:TBK65606 TLF65601:TLG65606 TVB65601:TVC65606 UEX65601:UEY65606 UOT65601:UOU65606 UYP65601:UYQ65606 VIL65601:VIM65606 VSH65601:VSI65606 WCD65601:WCE65606 WLZ65601:WMA65606 WVV65601:WVW65606 N131137:O131142 JJ131137:JK131142 TF131137:TG131142 ADB131137:ADC131142 AMX131137:AMY131142 AWT131137:AWU131142 BGP131137:BGQ131142 BQL131137:BQM131142 CAH131137:CAI131142 CKD131137:CKE131142 CTZ131137:CUA131142 DDV131137:DDW131142 DNR131137:DNS131142 DXN131137:DXO131142 EHJ131137:EHK131142 ERF131137:ERG131142 FBB131137:FBC131142 FKX131137:FKY131142 FUT131137:FUU131142 GEP131137:GEQ131142 GOL131137:GOM131142 GYH131137:GYI131142 HID131137:HIE131142 HRZ131137:HSA131142 IBV131137:IBW131142 ILR131137:ILS131142 IVN131137:IVO131142 JFJ131137:JFK131142 JPF131137:JPG131142 JZB131137:JZC131142 KIX131137:KIY131142 KST131137:KSU131142 LCP131137:LCQ131142 LML131137:LMM131142 LWH131137:LWI131142 MGD131137:MGE131142 MPZ131137:MQA131142 MZV131137:MZW131142 NJR131137:NJS131142 NTN131137:NTO131142 ODJ131137:ODK131142 ONF131137:ONG131142 OXB131137:OXC131142 PGX131137:PGY131142 PQT131137:PQU131142 QAP131137:QAQ131142 QKL131137:QKM131142 QUH131137:QUI131142 RED131137:REE131142 RNZ131137:ROA131142 RXV131137:RXW131142 SHR131137:SHS131142 SRN131137:SRO131142 TBJ131137:TBK131142 TLF131137:TLG131142 TVB131137:TVC131142 UEX131137:UEY131142 UOT131137:UOU131142 UYP131137:UYQ131142 VIL131137:VIM131142 VSH131137:VSI131142 WCD131137:WCE131142 WLZ131137:WMA131142 WVV131137:WVW131142 N196673:O196678 JJ196673:JK196678 TF196673:TG196678 ADB196673:ADC196678 AMX196673:AMY196678 AWT196673:AWU196678 BGP196673:BGQ196678 BQL196673:BQM196678 CAH196673:CAI196678 CKD196673:CKE196678 CTZ196673:CUA196678 DDV196673:DDW196678 DNR196673:DNS196678 DXN196673:DXO196678 EHJ196673:EHK196678 ERF196673:ERG196678 FBB196673:FBC196678 FKX196673:FKY196678 FUT196673:FUU196678 GEP196673:GEQ196678 GOL196673:GOM196678 GYH196673:GYI196678 HID196673:HIE196678 HRZ196673:HSA196678 IBV196673:IBW196678 ILR196673:ILS196678 IVN196673:IVO196678 JFJ196673:JFK196678 JPF196673:JPG196678 JZB196673:JZC196678 KIX196673:KIY196678 KST196673:KSU196678 LCP196673:LCQ196678 LML196673:LMM196678 LWH196673:LWI196678 MGD196673:MGE196678 MPZ196673:MQA196678 MZV196673:MZW196678 NJR196673:NJS196678 NTN196673:NTO196678 ODJ196673:ODK196678 ONF196673:ONG196678 OXB196673:OXC196678 PGX196673:PGY196678 PQT196673:PQU196678 QAP196673:QAQ196678 QKL196673:QKM196678 QUH196673:QUI196678 RED196673:REE196678 RNZ196673:ROA196678 RXV196673:RXW196678 SHR196673:SHS196678 SRN196673:SRO196678 TBJ196673:TBK196678 TLF196673:TLG196678 TVB196673:TVC196678 UEX196673:UEY196678 UOT196673:UOU196678 UYP196673:UYQ196678 VIL196673:VIM196678 VSH196673:VSI196678 WCD196673:WCE196678 WLZ196673:WMA196678 WVV196673:WVW196678 N262209:O262214 JJ262209:JK262214 TF262209:TG262214 ADB262209:ADC262214 AMX262209:AMY262214 AWT262209:AWU262214 BGP262209:BGQ262214 BQL262209:BQM262214 CAH262209:CAI262214 CKD262209:CKE262214 CTZ262209:CUA262214 DDV262209:DDW262214 DNR262209:DNS262214 DXN262209:DXO262214 EHJ262209:EHK262214 ERF262209:ERG262214 FBB262209:FBC262214 FKX262209:FKY262214 FUT262209:FUU262214 GEP262209:GEQ262214 GOL262209:GOM262214 GYH262209:GYI262214 HID262209:HIE262214 HRZ262209:HSA262214 IBV262209:IBW262214 ILR262209:ILS262214 IVN262209:IVO262214 JFJ262209:JFK262214 JPF262209:JPG262214 JZB262209:JZC262214 KIX262209:KIY262214 KST262209:KSU262214 LCP262209:LCQ262214 LML262209:LMM262214 LWH262209:LWI262214 MGD262209:MGE262214 MPZ262209:MQA262214 MZV262209:MZW262214 NJR262209:NJS262214 NTN262209:NTO262214 ODJ262209:ODK262214 ONF262209:ONG262214 OXB262209:OXC262214 PGX262209:PGY262214 PQT262209:PQU262214 QAP262209:QAQ262214 QKL262209:QKM262214 QUH262209:QUI262214 RED262209:REE262214 RNZ262209:ROA262214 RXV262209:RXW262214 SHR262209:SHS262214 SRN262209:SRO262214 TBJ262209:TBK262214 TLF262209:TLG262214 TVB262209:TVC262214 UEX262209:UEY262214 UOT262209:UOU262214 UYP262209:UYQ262214 VIL262209:VIM262214 VSH262209:VSI262214 WCD262209:WCE262214 WLZ262209:WMA262214 WVV262209:WVW262214 N327745:O327750 JJ327745:JK327750 TF327745:TG327750 ADB327745:ADC327750 AMX327745:AMY327750 AWT327745:AWU327750 BGP327745:BGQ327750 BQL327745:BQM327750 CAH327745:CAI327750 CKD327745:CKE327750 CTZ327745:CUA327750 DDV327745:DDW327750 DNR327745:DNS327750 DXN327745:DXO327750 EHJ327745:EHK327750 ERF327745:ERG327750 FBB327745:FBC327750 FKX327745:FKY327750 FUT327745:FUU327750 GEP327745:GEQ327750 GOL327745:GOM327750 GYH327745:GYI327750 HID327745:HIE327750 HRZ327745:HSA327750 IBV327745:IBW327750 ILR327745:ILS327750 IVN327745:IVO327750 JFJ327745:JFK327750 JPF327745:JPG327750 JZB327745:JZC327750 KIX327745:KIY327750 KST327745:KSU327750 LCP327745:LCQ327750 LML327745:LMM327750 LWH327745:LWI327750 MGD327745:MGE327750 MPZ327745:MQA327750 MZV327745:MZW327750 NJR327745:NJS327750 NTN327745:NTO327750 ODJ327745:ODK327750 ONF327745:ONG327750 OXB327745:OXC327750 PGX327745:PGY327750 PQT327745:PQU327750 QAP327745:QAQ327750 QKL327745:QKM327750 QUH327745:QUI327750 RED327745:REE327750 RNZ327745:ROA327750 RXV327745:RXW327750 SHR327745:SHS327750 SRN327745:SRO327750 TBJ327745:TBK327750 TLF327745:TLG327750 TVB327745:TVC327750 UEX327745:UEY327750 UOT327745:UOU327750 UYP327745:UYQ327750 VIL327745:VIM327750 VSH327745:VSI327750 WCD327745:WCE327750 WLZ327745:WMA327750 WVV327745:WVW327750 N393281:O393286 JJ393281:JK393286 TF393281:TG393286 ADB393281:ADC393286 AMX393281:AMY393286 AWT393281:AWU393286 BGP393281:BGQ393286 BQL393281:BQM393286 CAH393281:CAI393286 CKD393281:CKE393286 CTZ393281:CUA393286 DDV393281:DDW393286 DNR393281:DNS393286 DXN393281:DXO393286 EHJ393281:EHK393286 ERF393281:ERG393286 FBB393281:FBC393286 FKX393281:FKY393286 FUT393281:FUU393286 GEP393281:GEQ393286 GOL393281:GOM393286 GYH393281:GYI393286 HID393281:HIE393286 HRZ393281:HSA393286 IBV393281:IBW393286 ILR393281:ILS393286 IVN393281:IVO393286 JFJ393281:JFK393286 JPF393281:JPG393286 JZB393281:JZC393286 KIX393281:KIY393286 KST393281:KSU393286 LCP393281:LCQ393286 LML393281:LMM393286 LWH393281:LWI393286 MGD393281:MGE393286 MPZ393281:MQA393286 MZV393281:MZW393286 NJR393281:NJS393286 NTN393281:NTO393286 ODJ393281:ODK393286 ONF393281:ONG393286 OXB393281:OXC393286 PGX393281:PGY393286 PQT393281:PQU393286 QAP393281:QAQ393286 QKL393281:QKM393286 QUH393281:QUI393286 RED393281:REE393286 RNZ393281:ROA393286 RXV393281:RXW393286 SHR393281:SHS393286 SRN393281:SRO393286 TBJ393281:TBK393286 TLF393281:TLG393286 TVB393281:TVC393286 UEX393281:UEY393286 UOT393281:UOU393286 UYP393281:UYQ393286 VIL393281:VIM393286 VSH393281:VSI393286 WCD393281:WCE393286 WLZ393281:WMA393286 WVV393281:WVW393286 N458817:O458822 JJ458817:JK458822 TF458817:TG458822 ADB458817:ADC458822 AMX458817:AMY458822 AWT458817:AWU458822 BGP458817:BGQ458822 BQL458817:BQM458822 CAH458817:CAI458822 CKD458817:CKE458822 CTZ458817:CUA458822 DDV458817:DDW458822 DNR458817:DNS458822 DXN458817:DXO458822 EHJ458817:EHK458822 ERF458817:ERG458822 FBB458817:FBC458822 FKX458817:FKY458822 FUT458817:FUU458822 GEP458817:GEQ458822 GOL458817:GOM458822 GYH458817:GYI458822 HID458817:HIE458822 HRZ458817:HSA458822 IBV458817:IBW458822 ILR458817:ILS458822 IVN458817:IVO458822 JFJ458817:JFK458822 JPF458817:JPG458822 JZB458817:JZC458822 KIX458817:KIY458822 KST458817:KSU458822 LCP458817:LCQ458822 LML458817:LMM458822 LWH458817:LWI458822 MGD458817:MGE458822 MPZ458817:MQA458822 MZV458817:MZW458822 NJR458817:NJS458822 NTN458817:NTO458822 ODJ458817:ODK458822 ONF458817:ONG458822 OXB458817:OXC458822 PGX458817:PGY458822 PQT458817:PQU458822 QAP458817:QAQ458822 QKL458817:QKM458822 QUH458817:QUI458822 RED458817:REE458822 RNZ458817:ROA458822 RXV458817:RXW458822 SHR458817:SHS458822 SRN458817:SRO458822 TBJ458817:TBK458822 TLF458817:TLG458822 TVB458817:TVC458822 UEX458817:UEY458822 UOT458817:UOU458822 UYP458817:UYQ458822 VIL458817:VIM458822 VSH458817:VSI458822 WCD458817:WCE458822 WLZ458817:WMA458822 WVV458817:WVW458822 N524353:O524358 JJ524353:JK524358 TF524353:TG524358 ADB524353:ADC524358 AMX524353:AMY524358 AWT524353:AWU524358 BGP524353:BGQ524358 BQL524353:BQM524358 CAH524353:CAI524358 CKD524353:CKE524358 CTZ524353:CUA524358 DDV524353:DDW524358 DNR524353:DNS524358 DXN524353:DXO524358 EHJ524353:EHK524358 ERF524353:ERG524358 FBB524353:FBC524358 FKX524353:FKY524358 FUT524353:FUU524358 GEP524353:GEQ524358 GOL524353:GOM524358 GYH524353:GYI524358 HID524353:HIE524358 HRZ524353:HSA524358 IBV524353:IBW524358 ILR524353:ILS524358 IVN524353:IVO524358 JFJ524353:JFK524358 JPF524353:JPG524358 JZB524353:JZC524358 KIX524353:KIY524358 KST524353:KSU524358 LCP524353:LCQ524358 LML524353:LMM524358 LWH524353:LWI524358 MGD524353:MGE524358 MPZ524353:MQA524358 MZV524353:MZW524358 NJR524353:NJS524358 NTN524353:NTO524358 ODJ524353:ODK524358 ONF524353:ONG524358 OXB524353:OXC524358 PGX524353:PGY524358 PQT524353:PQU524358 QAP524353:QAQ524358 QKL524353:QKM524358 QUH524353:QUI524358 RED524353:REE524358 RNZ524353:ROA524358 RXV524353:RXW524358 SHR524353:SHS524358 SRN524353:SRO524358 TBJ524353:TBK524358 TLF524353:TLG524358 TVB524353:TVC524358 UEX524353:UEY524358 UOT524353:UOU524358 UYP524353:UYQ524358 VIL524353:VIM524358 VSH524353:VSI524358 WCD524353:WCE524358 WLZ524353:WMA524358 WVV524353:WVW524358 N589889:O589894 JJ589889:JK589894 TF589889:TG589894 ADB589889:ADC589894 AMX589889:AMY589894 AWT589889:AWU589894 BGP589889:BGQ589894 BQL589889:BQM589894 CAH589889:CAI589894 CKD589889:CKE589894 CTZ589889:CUA589894 DDV589889:DDW589894 DNR589889:DNS589894 DXN589889:DXO589894 EHJ589889:EHK589894 ERF589889:ERG589894 FBB589889:FBC589894 FKX589889:FKY589894 FUT589889:FUU589894 GEP589889:GEQ589894 GOL589889:GOM589894 GYH589889:GYI589894 HID589889:HIE589894 HRZ589889:HSA589894 IBV589889:IBW589894 ILR589889:ILS589894 IVN589889:IVO589894 JFJ589889:JFK589894 JPF589889:JPG589894 JZB589889:JZC589894 KIX589889:KIY589894 KST589889:KSU589894 LCP589889:LCQ589894 LML589889:LMM589894 LWH589889:LWI589894 MGD589889:MGE589894 MPZ589889:MQA589894 MZV589889:MZW589894 NJR589889:NJS589894 NTN589889:NTO589894 ODJ589889:ODK589894 ONF589889:ONG589894 OXB589889:OXC589894 PGX589889:PGY589894 PQT589889:PQU589894 QAP589889:QAQ589894 QKL589889:QKM589894 QUH589889:QUI589894 RED589889:REE589894 RNZ589889:ROA589894 RXV589889:RXW589894 SHR589889:SHS589894 SRN589889:SRO589894 TBJ589889:TBK589894 TLF589889:TLG589894 TVB589889:TVC589894 UEX589889:UEY589894 UOT589889:UOU589894 UYP589889:UYQ589894 VIL589889:VIM589894 VSH589889:VSI589894 WCD589889:WCE589894 WLZ589889:WMA589894 WVV589889:WVW589894 N655425:O655430 JJ655425:JK655430 TF655425:TG655430 ADB655425:ADC655430 AMX655425:AMY655430 AWT655425:AWU655430 BGP655425:BGQ655430 BQL655425:BQM655430 CAH655425:CAI655430 CKD655425:CKE655430 CTZ655425:CUA655430 DDV655425:DDW655430 DNR655425:DNS655430 DXN655425:DXO655430 EHJ655425:EHK655430 ERF655425:ERG655430 FBB655425:FBC655430 FKX655425:FKY655430 FUT655425:FUU655430 GEP655425:GEQ655430 GOL655425:GOM655430 GYH655425:GYI655430 HID655425:HIE655430 HRZ655425:HSA655430 IBV655425:IBW655430 ILR655425:ILS655430 IVN655425:IVO655430 JFJ655425:JFK655430 JPF655425:JPG655430 JZB655425:JZC655430 KIX655425:KIY655430 KST655425:KSU655430 LCP655425:LCQ655430 LML655425:LMM655430 LWH655425:LWI655430 MGD655425:MGE655430 MPZ655425:MQA655430 MZV655425:MZW655430 NJR655425:NJS655430 NTN655425:NTO655430 ODJ655425:ODK655430 ONF655425:ONG655430 OXB655425:OXC655430 PGX655425:PGY655430 PQT655425:PQU655430 QAP655425:QAQ655430 QKL655425:QKM655430 QUH655425:QUI655430 RED655425:REE655430 RNZ655425:ROA655430 RXV655425:RXW655430 SHR655425:SHS655430 SRN655425:SRO655430 TBJ655425:TBK655430 TLF655425:TLG655430 TVB655425:TVC655430 UEX655425:UEY655430 UOT655425:UOU655430 UYP655425:UYQ655430 VIL655425:VIM655430 VSH655425:VSI655430 WCD655425:WCE655430 WLZ655425:WMA655430 WVV655425:WVW655430 N720961:O720966 JJ720961:JK720966 TF720961:TG720966 ADB720961:ADC720966 AMX720961:AMY720966 AWT720961:AWU720966 BGP720961:BGQ720966 BQL720961:BQM720966 CAH720961:CAI720966 CKD720961:CKE720966 CTZ720961:CUA720966 DDV720961:DDW720966 DNR720961:DNS720966 DXN720961:DXO720966 EHJ720961:EHK720966 ERF720961:ERG720966 FBB720961:FBC720966 FKX720961:FKY720966 FUT720961:FUU720966 GEP720961:GEQ720966 GOL720961:GOM720966 GYH720961:GYI720966 HID720961:HIE720966 HRZ720961:HSA720966 IBV720961:IBW720966 ILR720961:ILS720966 IVN720961:IVO720966 JFJ720961:JFK720966 JPF720961:JPG720966 JZB720961:JZC720966 KIX720961:KIY720966 KST720961:KSU720966 LCP720961:LCQ720966 LML720961:LMM720966 LWH720961:LWI720966 MGD720961:MGE720966 MPZ720961:MQA720966 MZV720961:MZW720966 NJR720961:NJS720966 NTN720961:NTO720966 ODJ720961:ODK720966 ONF720961:ONG720966 OXB720961:OXC720966 PGX720961:PGY720966 PQT720961:PQU720966 QAP720961:QAQ720966 QKL720961:QKM720966 QUH720961:QUI720966 RED720961:REE720966 RNZ720961:ROA720966 RXV720961:RXW720966 SHR720961:SHS720966 SRN720961:SRO720966 TBJ720961:TBK720966 TLF720961:TLG720966 TVB720961:TVC720966 UEX720961:UEY720966 UOT720961:UOU720966 UYP720961:UYQ720966 VIL720961:VIM720966 VSH720961:VSI720966 WCD720961:WCE720966 WLZ720961:WMA720966 WVV720961:WVW720966 N786497:O786502 JJ786497:JK786502 TF786497:TG786502 ADB786497:ADC786502 AMX786497:AMY786502 AWT786497:AWU786502 BGP786497:BGQ786502 BQL786497:BQM786502 CAH786497:CAI786502 CKD786497:CKE786502 CTZ786497:CUA786502 DDV786497:DDW786502 DNR786497:DNS786502 DXN786497:DXO786502 EHJ786497:EHK786502 ERF786497:ERG786502 FBB786497:FBC786502 FKX786497:FKY786502 FUT786497:FUU786502 GEP786497:GEQ786502 GOL786497:GOM786502 GYH786497:GYI786502 HID786497:HIE786502 HRZ786497:HSA786502 IBV786497:IBW786502 ILR786497:ILS786502 IVN786497:IVO786502 JFJ786497:JFK786502 JPF786497:JPG786502 JZB786497:JZC786502 KIX786497:KIY786502 KST786497:KSU786502 LCP786497:LCQ786502 LML786497:LMM786502 LWH786497:LWI786502 MGD786497:MGE786502 MPZ786497:MQA786502 MZV786497:MZW786502 NJR786497:NJS786502 NTN786497:NTO786502 ODJ786497:ODK786502 ONF786497:ONG786502 OXB786497:OXC786502 PGX786497:PGY786502 PQT786497:PQU786502 QAP786497:QAQ786502 QKL786497:QKM786502 QUH786497:QUI786502 RED786497:REE786502 RNZ786497:ROA786502 RXV786497:RXW786502 SHR786497:SHS786502 SRN786497:SRO786502 TBJ786497:TBK786502 TLF786497:TLG786502 TVB786497:TVC786502 UEX786497:UEY786502 UOT786497:UOU786502 UYP786497:UYQ786502 VIL786497:VIM786502 VSH786497:VSI786502 WCD786497:WCE786502 WLZ786497:WMA786502 WVV786497:WVW786502 N852033:O852038 JJ852033:JK852038 TF852033:TG852038 ADB852033:ADC852038 AMX852033:AMY852038 AWT852033:AWU852038 BGP852033:BGQ852038 BQL852033:BQM852038 CAH852033:CAI852038 CKD852033:CKE852038 CTZ852033:CUA852038 DDV852033:DDW852038 DNR852033:DNS852038 DXN852033:DXO852038 EHJ852033:EHK852038 ERF852033:ERG852038 FBB852033:FBC852038 FKX852033:FKY852038 FUT852033:FUU852038 GEP852033:GEQ852038 GOL852033:GOM852038 GYH852033:GYI852038 HID852033:HIE852038 HRZ852033:HSA852038 IBV852033:IBW852038 ILR852033:ILS852038 IVN852033:IVO852038 JFJ852033:JFK852038 JPF852033:JPG852038 JZB852033:JZC852038 KIX852033:KIY852038 KST852033:KSU852038 LCP852033:LCQ852038 LML852033:LMM852038 LWH852033:LWI852038 MGD852033:MGE852038 MPZ852033:MQA852038 MZV852033:MZW852038 NJR852033:NJS852038 NTN852033:NTO852038 ODJ852033:ODK852038 ONF852033:ONG852038 OXB852033:OXC852038 PGX852033:PGY852038 PQT852033:PQU852038 QAP852033:QAQ852038 QKL852033:QKM852038 QUH852033:QUI852038 RED852033:REE852038 RNZ852033:ROA852038 RXV852033:RXW852038 SHR852033:SHS852038 SRN852033:SRO852038 TBJ852033:TBK852038 TLF852033:TLG852038 TVB852033:TVC852038 UEX852033:UEY852038 UOT852033:UOU852038 UYP852033:UYQ852038 VIL852033:VIM852038 VSH852033:VSI852038 WCD852033:WCE852038 WLZ852033:WMA852038 WVV852033:WVW852038 N917569:O917574 JJ917569:JK917574 TF917569:TG917574 ADB917569:ADC917574 AMX917569:AMY917574 AWT917569:AWU917574 BGP917569:BGQ917574 BQL917569:BQM917574 CAH917569:CAI917574 CKD917569:CKE917574 CTZ917569:CUA917574 DDV917569:DDW917574 DNR917569:DNS917574 DXN917569:DXO917574 EHJ917569:EHK917574 ERF917569:ERG917574 FBB917569:FBC917574 FKX917569:FKY917574 FUT917569:FUU917574 GEP917569:GEQ917574 GOL917569:GOM917574 GYH917569:GYI917574 HID917569:HIE917574 HRZ917569:HSA917574 IBV917569:IBW917574 ILR917569:ILS917574 IVN917569:IVO917574 JFJ917569:JFK917574 JPF917569:JPG917574 JZB917569:JZC917574 KIX917569:KIY917574 KST917569:KSU917574 LCP917569:LCQ917574 LML917569:LMM917574 LWH917569:LWI917574 MGD917569:MGE917574 MPZ917569:MQA917574 MZV917569:MZW917574 NJR917569:NJS917574 NTN917569:NTO917574 ODJ917569:ODK917574 ONF917569:ONG917574 OXB917569:OXC917574 PGX917569:PGY917574 PQT917569:PQU917574 QAP917569:QAQ917574 QKL917569:QKM917574 QUH917569:QUI917574 RED917569:REE917574 RNZ917569:ROA917574 RXV917569:RXW917574 SHR917569:SHS917574 SRN917569:SRO917574 TBJ917569:TBK917574 TLF917569:TLG917574 TVB917569:TVC917574 UEX917569:UEY917574 UOT917569:UOU917574 UYP917569:UYQ917574 VIL917569:VIM917574 VSH917569:VSI917574 WCD917569:WCE917574 WLZ917569:WMA917574 WVV917569:WVW917574 N983105:O983110 JJ983105:JK983110 TF983105:TG983110 ADB983105:ADC983110 AMX983105:AMY983110 AWT983105:AWU983110 BGP983105:BGQ983110 BQL983105:BQM983110 CAH983105:CAI983110 CKD983105:CKE983110 CTZ983105:CUA983110 DDV983105:DDW983110 DNR983105:DNS983110 DXN983105:DXO983110 EHJ983105:EHK983110 ERF983105:ERG983110 FBB983105:FBC983110 FKX983105:FKY983110 FUT983105:FUU983110 GEP983105:GEQ983110 GOL983105:GOM983110 GYH983105:GYI983110 HID983105:HIE983110 HRZ983105:HSA983110 IBV983105:IBW983110 ILR983105:ILS983110 IVN983105:IVO983110 JFJ983105:JFK983110 JPF983105:JPG983110 JZB983105:JZC983110 KIX983105:KIY983110 KST983105:KSU983110 LCP983105:LCQ983110 LML983105:LMM983110 LWH983105:LWI983110 MGD983105:MGE983110 MPZ983105:MQA983110 MZV983105:MZW983110 NJR983105:NJS983110 NTN983105:NTO983110 ODJ983105:ODK983110 ONF983105:ONG983110 OXB983105:OXC983110 PGX983105:PGY983110 PQT983105:PQU983110 QAP983105:QAQ983110 QKL983105:QKM983110 QUH983105:QUI983110 RED983105:REE983110 RNZ983105:ROA983110 RXV983105:RXW983110 SHR983105:SHS983110 SRN983105:SRO983110 TBJ983105:TBK983110 TLF983105:TLG983110 TVB983105:TVC983110 UEX983105:UEY983110 UOT983105:UOU983110 UYP983105:UYQ983110 VIL983105:VIM983110 VSH983105:VSI983110 WCD983105:WCE983110 WLZ983105:WMA983110 WVV983105:WVW983110">
      <formula1>"Yes,No,NA"</formula1>
    </dataValidation>
    <dataValidation type="list" allowBlank="1" showInputMessage="1" showErrorMessage="1" sqref="L106:L107 JH106:JH107 TD106:TD107 ACZ106:ACZ107 AMV106:AMV107 AWR106:AWR107 BGN106:BGN107 BQJ106:BQJ107 CAF106:CAF107 CKB106:CKB107 CTX106:CTX107 DDT106:DDT107 DNP106:DNP107 DXL106:DXL107 EHH106:EHH107 ERD106:ERD107 FAZ106:FAZ107 FKV106:FKV107 FUR106:FUR107 GEN106:GEN107 GOJ106:GOJ107 GYF106:GYF107 HIB106:HIB107 HRX106:HRX107 IBT106:IBT107 ILP106:ILP107 IVL106:IVL107 JFH106:JFH107 JPD106:JPD107 JYZ106:JYZ107 KIV106:KIV107 KSR106:KSR107 LCN106:LCN107 LMJ106:LMJ107 LWF106:LWF107 MGB106:MGB107 MPX106:MPX107 MZT106:MZT107 NJP106:NJP107 NTL106:NTL107 ODH106:ODH107 OND106:OND107 OWZ106:OWZ107 PGV106:PGV107 PQR106:PQR107 QAN106:QAN107 QKJ106:QKJ107 QUF106:QUF107 REB106:REB107 RNX106:RNX107 RXT106:RXT107 SHP106:SHP107 SRL106:SRL107 TBH106:TBH107 TLD106:TLD107 TUZ106:TUZ107 UEV106:UEV107 UOR106:UOR107 UYN106:UYN107 VIJ106:VIJ107 VSF106:VSF107 WCB106:WCB107 WLX106:WLX107 WVT106:WVT107 L65642:L65643 JH65642:JH65643 TD65642:TD65643 ACZ65642:ACZ65643 AMV65642:AMV65643 AWR65642:AWR65643 BGN65642:BGN65643 BQJ65642:BQJ65643 CAF65642:CAF65643 CKB65642:CKB65643 CTX65642:CTX65643 DDT65642:DDT65643 DNP65642:DNP65643 DXL65642:DXL65643 EHH65642:EHH65643 ERD65642:ERD65643 FAZ65642:FAZ65643 FKV65642:FKV65643 FUR65642:FUR65643 GEN65642:GEN65643 GOJ65642:GOJ65643 GYF65642:GYF65643 HIB65642:HIB65643 HRX65642:HRX65643 IBT65642:IBT65643 ILP65642:ILP65643 IVL65642:IVL65643 JFH65642:JFH65643 JPD65642:JPD65643 JYZ65642:JYZ65643 KIV65642:KIV65643 KSR65642:KSR65643 LCN65642:LCN65643 LMJ65642:LMJ65643 LWF65642:LWF65643 MGB65642:MGB65643 MPX65642:MPX65643 MZT65642:MZT65643 NJP65642:NJP65643 NTL65642:NTL65643 ODH65642:ODH65643 OND65642:OND65643 OWZ65642:OWZ65643 PGV65642:PGV65643 PQR65642:PQR65643 QAN65642:QAN65643 QKJ65642:QKJ65643 QUF65642:QUF65643 REB65642:REB65643 RNX65642:RNX65643 RXT65642:RXT65643 SHP65642:SHP65643 SRL65642:SRL65643 TBH65642:TBH65643 TLD65642:TLD65643 TUZ65642:TUZ65643 UEV65642:UEV65643 UOR65642:UOR65643 UYN65642:UYN65643 VIJ65642:VIJ65643 VSF65642:VSF65643 WCB65642:WCB65643 WLX65642:WLX65643 WVT65642:WVT65643 L131178:L131179 JH131178:JH131179 TD131178:TD131179 ACZ131178:ACZ131179 AMV131178:AMV131179 AWR131178:AWR131179 BGN131178:BGN131179 BQJ131178:BQJ131179 CAF131178:CAF131179 CKB131178:CKB131179 CTX131178:CTX131179 DDT131178:DDT131179 DNP131178:DNP131179 DXL131178:DXL131179 EHH131178:EHH131179 ERD131178:ERD131179 FAZ131178:FAZ131179 FKV131178:FKV131179 FUR131178:FUR131179 GEN131178:GEN131179 GOJ131178:GOJ131179 GYF131178:GYF131179 HIB131178:HIB131179 HRX131178:HRX131179 IBT131178:IBT131179 ILP131178:ILP131179 IVL131178:IVL131179 JFH131178:JFH131179 JPD131178:JPD131179 JYZ131178:JYZ131179 KIV131178:KIV131179 KSR131178:KSR131179 LCN131178:LCN131179 LMJ131178:LMJ131179 LWF131178:LWF131179 MGB131178:MGB131179 MPX131178:MPX131179 MZT131178:MZT131179 NJP131178:NJP131179 NTL131178:NTL131179 ODH131178:ODH131179 OND131178:OND131179 OWZ131178:OWZ131179 PGV131178:PGV131179 PQR131178:PQR131179 QAN131178:QAN131179 QKJ131178:QKJ131179 QUF131178:QUF131179 REB131178:REB131179 RNX131178:RNX131179 RXT131178:RXT131179 SHP131178:SHP131179 SRL131178:SRL131179 TBH131178:TBH131179 TLD131178:TLD131179 TUZ131178:TUZ131179 UEV131178:UEV131179 UOR131178:UOR131179 UYN131178:UYN131179 VIJ131178:VIJ131179 VSF131178:VSF131179 WCB131178:WCB131179 WLX131178:WLX131179 WVT131178:WVT131179 L196714:L196715 JH196714:JH196715 TD196714:TD196715 ACZ196714:ACZ196715 AMV196714:AMV196715 AWR196714:AWR196715 BGN196714:BGN196715 BQJ196714:BQJ196715 CAF196714:CAF196715 CKB196714:CKB196715 CTX196714:CTX196715 DDT196714:DDT196715 DNP196714:DNP196715 DXL196714:DXL196715 EHH196714:EHH196715 ERD196714:ERD196715 FAZ196714:FAZ196715 FKV196714:FKV196715 FUR196714:FUR196715 GEN196714:GEN196715 GOJ196714:GOJ196715 GYF196714:GYF196715 HIB196714:HIB196715 HRX196714:HRX196715 IBT196714:IBT196715 ILP196714:ILP196715 IVL196714:IVL196715 JFH196714:JFH196715 JPD196714:JPD196715 JYZ196714:JYZ196715 KIV196714:KIV196715 KSR196714:KSR196715 LCN196714:LCN196715 LMJ196714:LMJ196715 LWF196714:LWF196715 MGB196714:MGB196715 MPX196714:MPX196715 MZT196714:MZT196715 NJP196714:NJP196715 NTL196714:NTL196715 ODH196714:ODH196715 OND196714:OND196715 OWZ196714:OWZ196715 PGV196714:PGV196715 PQR196714:PQR196715 QAN196714:QAN196715 QKJ196714:QKJ196715 QUF196714:QUF196715 REB196714:REB196715 RNX196714:RNX196715 RXT196714:RXT196715 SHP196714:SHP196715 SRL196714:SRL196715 TBH196714:TBH196715 TLD196714:TLD196715 TUZ196714:TUZ196715 UEV196714:UEV196715 UOR196714:UOR196715 UYN196714:UYN196715 VIJ196714:VIJ196715 VSF196714:VSF196715 WCB196714:WCB196715 WLX196714:WLX196715 WVT196714:WVT196715 L262250:L262251 JH262250:JH262251 TD262250:TD262251 ACZ262250:ACZ262251 AMV262250:AMV262251 AWR262250:AWR262251 BGN262250:BGN262251 BQJ262250:BQJ262251 CAF262250:CAF262251 CKB262250:CKB262251 CTX262250:CTX262251 DDT262250:DDT262251 DNP262250:DNP262251 DXL262250:DXL262251 EHH262250:EHH262251 ERD262250:ERD262251 FAZ262250:FAZ262251 FKV262250:FKV262251 FUR262250:FUR262251 GEN262250:GEN262251 GOJ262250:GOJ262251 GYF262250:GYF262251 HIB262250:HIB262251 HRX262250:HRX262251 IBT262250:IBT262251 ILP262250:ILP262251 IVL262250:IVL262251 JFH262250:JFH262251 JPD262250:JPD262251 JYZ262250:JYZ262251 KIV262250:KIV262251 KSR262250:KSR262251 LCN262250:LCN262251 LMJ262250:LMJ262251 LWF262250:LWF262251 MGB262250:MGB262251 MPX262250:MPX262251 MZT262250:MZT262251 NJP262250:NJP262251 NTL262250:NTL262251 ODH262250:ODH262251 OND262250:OND262251 OWZ262250:OWZ262251 PGV262250:PGV262251 PQR262250:PQR262251 QAN262250:QAN262251 QKJ262250:QKJ262251 QUF262250:QUF262251 REB262250:REB262251 RNX262250:RNX262251 RXT262250:RXT262251 SHP262250:SHP262251 SRL262250:SRL262251 TBH262250:TBH262251 TLD262250:TLD262251 TUZ262250:TUZ262251 UEV262250:UEV262251 UOR262250:UOR262251 UYN262250:UYN262251 VIJ262250:VIJ262251 VSF262250:VSF262251 WCB262250:WCB262251 WLX262250:WLX262251 WVT262250:WVT262251 L327786:L327787 JH327786:JH327787 TD327786:TD327787 ACZ327786:ACZ327787 AMV327786:AMV327787 AWR327786:AWR327787 BGN327786:BGN327787 BQJ327786:BQJ327787 CAF327786:CAF327787 CKB327786:CKB327787 CTX327786:CTX327787 DDT327786:DDT327787 DNP327786:DNP327787 DXL327786:DXL327787 EHH327786:EHH327787 ERD327786:ERD327787 FAZ327786:FAZ327787 FKV327786:FKV327787 FUR327786:FUR327787 GEN327786:GEN327787 GOJ327786:GOJ327787 GYF327786:GYF327787 HIB327786:HIB327787 HRX327786:HRX327787 IBT327786:IBT327787 ILP327786:ILP327787 IVL327786:IVL327787 JFH327786:JFH327787 JPD327786:JPD327787 JYZ327786:JYZ327787 KIV327786:KIV327787 KSR327786:KSR327787 LCN327786:LCN327787 LMJ327786:LMJ327787 LWF327786:LWF327787 MGB327786:MGB327787 MPX327786:MPX327787 MZT327786:MZT327787 NJP327786:NJP327787 NTL327786:NTL327787 ODH327786:ODH327787 OND327786:OND327787 OWZ327786:OWZ327787 PGV327786:PGV327787 PQR327786:PQR327787 QAN327786:QAN327787 QKJ327786:QKJ327787 QUF327786:QUF327787 REB327786:REB327787 RNX327786:RNX327787 RXT327786:RXT327787 SHP327786:SHP327787 SRL327786:SRL327787 TBH327786:TBH327787 TLD327786:TLD327787 TUZ327786:TUZ327787 UEV327786:UEV327787 UOR327786:UOR327787 UYN327786:UYN327787 VIJ327786:VIJ327787 VSF327786:VSF327787 WCB327786:WCB327787 WLX327786:WLX327787 WVT327786:WVT327787 L393322:L393323 JH393322:JH393323 TD393322:TD393323 ACZ393322:ACZ393323 AMV393322:AMV393323 AWR393322:AWR393323 BGN393322:BGN393323 BQJ393322:BQJ393323 CAF393322:CAF393323 CKB393322:CKB393323 CTX393322:CTX393323 DDT393322:DDT393323 DNP393322:DNP393323 DXL393322:DXL393323 EHH393322:EHH393323 ERD393322:ERD393323 FAZ393322:FAZ393323 FKV393322:FKV393323 FUR393322:FUR393323 GEN393322:GEN393323 GOJ393322:GOJ393323 GYF393322:GYF393323 HIB393322:HIB393323 HRX393322:HRX393323 IBT393322:IBT393323 ILP393322:ILP393323 IVL393322:IVL393323 JFH393322:JFH393323 JPD393322:JPD393323 JYZ393322:JYZ393323 KIV393322:KIV393323 KSR393322:KSR393323 LCN393322:LCN393323 LMJ393322:LMJ393323 LWF393322:LWF393323 MGB393322:MGB393323 MPX393322:MPX393323 MZT393322:MZT393323 NJP393322:NJP393323 NTL393322:NTL393323 ODH393322:ODH393323 OND393322:OND393323 OWZ393322:OWZ393323 PGV393322:PGV393323 PQR393322:PQR393323 QAN393322:QAN393323 QKJ393322:QKJ393323 QUF393322:QUF393323 REB393322:REB393323 RNX393322:RNX393323 RXT393322:RXT393323 SHP393322:SHP393323 SRL393322:SRL393323 TBH393322:TBH393323 TLD393322:TLD393323 TUZ393322:TUZ393323 UEV393322:UEV393323 UOR393322:UOR393323 UYN393322:UYN393323 VIJ393322:VIJ393323 VSF393322:VSF393323 WCB393322:WCB393323 WLX393322:WLX393323 WVT393322:WVT393323 L458858:L458859 JH458858:JH458859 TD458858:TD458859 ACZ458858:ACZ458859 AMV458858:AMV458859 AWR458858:AWR458859 BGN458858:BGN458859 BQJ458858:BQJ458859 CAF458858:CAF458859 CKB458858:CKB458859 CTX458858:CTX458859 DDT458858:DDT458859 DNP458858:DNP458859 DXL458858:DXL458859 EHH458858:EHH458859 ERD458858:ERD458859 FAZ458858:FAZ458859 FKV458858:FKV458859 FUR458858:FUR458859 GEN458858:GEN458859 GOJ458858:GOJ458859 GYF458858:GYF458859 HIB458858:HIB458859 HRX458858:HRX458859 IBT458858:IBT458859 ILP458858:ILP458859 IVL458858:IVL458859 JFH458858:JFH458859 JPD458858:JPD458859 JYZ458858:JYZ458859 KIV458858:KIV458859 KSR458858:KSR458859 LCN458858:LCN458859 LMJ458858:LMJ458859 LWF458858:LWF458859 MGB458858:MGB458859 MPX458858:MPX458859 MZT458858:MZT458859 NJP458858:NJP458859 NTL458858:NTL458859 ODH458858:ODH458859 OND458858:OND458859 OWZ458858:OWZ458859 PGV458858:PGV458859 PQR458858:PQR458859 QAN458858:QAN458859 QKJ458858:QKJ458859 QUF458858:QUF458859 REB458858:REB458859 RNX458858:RNX458859 RXT458858:RXT458859 SHP458858:SHP458859 SRL458858:SRL458859 TBH458858:TBH458859 TLD458858:TLD458859 TUZ458858:TUZ458859 UEV458858:UEV458859 UOR458858:UOR458859 UYN458858:UYN458859 VIJ458858:VIJ458859 VSF458858:VSF458859 WCB458858:WCB458859 WLX458858:WLX458859 WVT458858:WVT458859 L524394:L524395 JH524394:JH524395 TD524394:TD524395 ACZ524394:ACZ524395 AMV524394:AMV524395 AWR524394:AWR524395 BGN524394:BGN524395 BQJ524394:BQJ524395 CAF524394:CAF524395 CKB524394:CKB524395 CTX524394:CTX524395 DDT524394:DDT524395 DNP524394:DNP524395 DXL524394:DXL524395 EHH524394:EHH524395 ERD524394:ERD524395 FAZ524394:FAZ524395 FKV524394:FKV524395 FUR524394:FUR524395 GEN524394:GEN524395 GOJ524394:GOJ524395 GYF524394:GYF524395 HIB524394:HIB524395 HRX524394:HRX524395 IBT524394:IBT524395 ILP524394:ILP524395 IVL524394:IVL524395 JFH524394:JFH524395 JPD524394:JPD524395 JYZ524394:JYZ524395 KIV524394:KIV524395 KSR524394:KSR524395 LCN524394:LCN524395 LMJ524394:LMJ524395 LWF524394:LWF524395 MGB524394:MGB524395 MPX524394:MPX524395 MZT524394:MZT524395 NJP524394:NJP524395 NTL524394:NTL524395 ODH524394:ODH524395 OND524394:OND524395 OWZ524394:OWZ524395 PGV524394:PGV524395 PQR524394:PQR524395 QAN524394:QAN524395 QKJ524394:QKJ524395 QUF524394:QUF524395 REB524394:REB524395 RNX524394:RNX524395 RXT524394:RXT524395 SHP524394:SHP524395 SRL524394:SRL524395 TBH524394:TBH524395 TLD524394:TLD524395 TUZ524394:TUZ524395 UEV524394:UEV524395 UOR524394:UOR524395 UYN524394:UYN524395 VIJ524394:VIJ524395 VSF524394:VSF524395 WCB524394:WCB524395 WLX524394:WLX524395 WVT524394:WVT524395 L589930:L589931 JH589930:JH589931 TD589930:TD589931 ACZ589930:ACZ589931 AMV589930:AMV589931 AWR589930:AWR589931 BGN589930:BGN589931 BQJ589930:BQJ589931 CAF589930:CAF589931 CKB589930:CKB589931 CTX589930:CTX589931 DDT589930:DDT589931 DNP589930:DNP589931 DXL589930:DXL589931 EHH589930:EHH589931 ERD589930:ERD589931 FAZ589930:FAZ589931 FKV589930:FKV589931 FUR589930:FUR589931 GEN589930:GEN589931 GOJ589930:GOJ589931 GYF589930:GYF589931 HIB589930:HIB589931 HRX589930:HRX589931 IBT589930:IBT589931 ILP589930:ILP589931 IVL589930:IVL589931 JFH589930:JFH589931 JPD589930:JPD589931 JYZ589930:JYZ589931 KIV589930:KIV589931 KSR589930:KSR589931 LCN589930:LCN589931 LMJ589930:LMJ589931 LWF589930:LWF589931 MGB589930:MGB589931 MPX589930:MPX589931 MZT589930:MZT589931 NJP589930:NJP589931 NTL589930:NTL589931 ODH589930:ODH589931 OND589930:OND589931 OWZ589930:OWZ589931 PGV589930:PGV589931 PQR589930:PQR589931 QAN589930:QAN589931 QKJ589930:QKJ589931 QUF589930:QUF589931 REB589930:REB589931 RNX589930:RNX589931 RXT589930:RXT589931 SHP589930:SHP589931 SRL589930:SRL589931 TBH589930:TBH589931 TLD589930:TLD589931 TUZ589930:TUZ589931 UEV589930:UEV589931 UOR589930:UOR589931 UYN589930:UYN589931 VIJ589930:VIJ589931 VSF589930:VSF589931 WCB589930:WCB589931 WLX589930:WLX589931 WVT589930:WVT589931 L655466:L655467 JH655466:JH655467 TD655466:TD655467 ACZ655466:ACZ655467 AMV655466:AMV655467 AWR655466:AWR655467 BGN655466:BGN655467 BQJ655466:BQJ655467 CAF655466:CAF655467 CKB655466:CKB655467 CTX655466:CTX655467 DDT655466:DDT655467 DNP655466:DNP655467 DXL655466:DXL655467 EHH655466:EHH655467 ERD655466:ERD655467 FAZ655466:FAZ655467 FKV655466:FKV655467 FUR655466:FUR655467 GEN655466:GEN655467 GOJ655466:GOJ655467 GYF655466:GYF655467 HIB655466:HIB655467 HRX655466:HRX655467 IBT655466:IBT655467 ILP655466:ILP655467 IVL655466:IVL655467 JFH655466:JFH655467 JPD655466:JPD655467 JYZ655466:JYZ655467 KIV655466:KIV655467 KSR655466:KSR655467 LCN655466:LCN655467 LMJ655466:LMJ655467 LWF655466:LWF655467 MGB655466:MGB655467 MPX655466:MPX655467 MZT655466:MZT655467 NJP655466:NJP655467 NTL655466:NTL655467 ODH655466:ODH655467 OND655466:OND655467 OWZ655466:OWZ655467 PGV655466:PGV655467 PQR655466:PQR655467 QAN655466:QAN655467 QKJ655466:QKJ655467 QUF655466:QUF655467 REB655466:REB655467 RNX655466:RNX655467 RXT655466:RXT655467 SHP655466:SHP655467 SRL655466:SRL655467 TBH655466:TBH655467 TLD655466:TLD655467 TUZ655466:TUZ655467 UEV655466:UEV655467 UOR655466:UOR655467 UYN655466:UYN655467 VIJ655466:VIJ655467 VSF655466:VSF655467 WCB655466:WCB655467 WLX655466:WLX655467 WVT655466:WVT655467 L721002:L721003 JH721002:JH721003 TD721002:TD721003 ACZ721002:ACZ721003 AMV721002:AMV721003 AWR721002:AWR721003 BGN721002:BGN721003 BQJ721002:BQJ721003 CAF721002:CAF721003 CKB721002:CKB721003 CTX721002:CTX721003 DDT721002:DDT721003 DNP721002:DNP721003 DXL721002:DXL721003 EHH721002:EHH721003 ERD721002:ERD721003 FAZ721002:FAZ721003 FKV721002:FKV721003 FUR721002:FUR721003 GEN721002:GEN721003 GOJ721002:GOJ721003 GYF721002:GYF721003 HIB721002:HIB721003 HRX721002:HRX721003 IBT721002:IBT721003 ILP721002:ILP721003 IVL721002:IVL721003 JFH721002:JFH721003 JPD721002:JPD721003 JYZ721002:JYZ721003 KIV721002:KIV721003 KSR721002:KSR721003 LCN721002:LCN721003 LMJ721002:LMJ721003 LWF721002:LWF721003 MGB721002:MGB721003 MPX721002:MPX721003 MZT721002:MZT721003 NJP721002:NJP721003 NTL721002:NTL721003 ODH721002:ODH721003 OND721002:OND721003 OWZ721002:OWZ721003 PGV721002:PGV721003 PQR721002:PQR721003 QAN721002:QAN721003 QKJ721002:QKJ721003 QUF721002:QUF721003 REB721002:REB721003 RNX721002:RNX721003 RXT721002:RXT721003 SHP721002:SHP721003 SRL721002:SRL721003 TBH721002:TBH721003 TLD721002:TLD721003 TUZ721002:TUZ721003 UEV721002:UEV721003 UOR721002:UOR721003 UYN721002:UYN721003 VIJ721002:VIJ721003 VSF721002:VSF721003 WCB721002:WCB721003 WLX721002:WLX721003 WVT721002:WVT721003 L786538:L786539 JH786538:JH786539 TD786538:TD786539 ACZ786538:ACZ786539 AMV786538:AMV786539 AWR786538:AWR786539 BGN786538:BGN786539 BQJ786538:BQJ786539 CAF786538:CAF786539 CKB786538:CKB786539 CTX786538:CTX786539 DDT786538:DDT786539 DNP786538:DNP786539 DXL786538:DXL786539 EHH786538:EHH786539 ERD786538:ERD786539 FAZ786538:FAZ786539 FKV786538:FKV786539 FUR786538:FUR786539 GEN786538:GEN786539 GOJ786538:GOJ786539 GYF786538:GYF786539 HIB786538:HIB786539 HRX786538:HRX786539 IBT786538:IBT786539 ILP786538:ILP786539 IVL786538:IVL786539 JFH786538:JFH786539 JPD786538:JPD786539 JYZ786538:JYZ786539 KIV786538:KIV786539 KSR786538:KSR786539 LCN786538:LCN786539 LMJ786538:LMJ786539 LWF786538:LWF786539 MGB786538:MGB786539 MPX786538:MPX786539 MZT786538:MZT786539 NJP786538:NJP786539 NTL786538:NTL786539 ODH786538:ODH786539 OND786538:OND786539 OWZ786538:OWZ786539 PGV786538:PGV786539 PQR786538:PQR786539 QAN786538:QAN786539 QKJ786538:QKJ786539 QUF786538:QUF786539 REB786538:REB786539 RNX786538:RNX786539 RXT786538:RXT786539 SHP786538:SHP786539 SRL786538:SRL786539 TBH786538:TBH786539 TLD786538:TLD786539 TUZ786538:TUZ786539 UEV786538:UEV786539 UOR786538:UOR786539 UYN786538:UYN786539 VIJ786538:VIJ786539 VSF786538:VSF786539 WCB786538:WCB786539 WLX786538:WLX786539 WVT786538:WVT786539 L852074:L852075 JH852074:JH852075 TD852074:TD852075 ACZ852074:ACZ852075 AMV852074:AMV852075 AWR852074:AWR852075 BGN852074:BGN852075 BQJ852074:BQJ852075 CAF852074:CAF852075 CKB852074:CKB852075 CTX852074:CTX852075 DDT852074:DDT852075 DNP852074:DNP852075 DXL852074:DXL852075 EHH852074:EHH852075 ERD852074:ERD852075 FAZ852074:FAZ852075 FKV852074:FKV852075 FUR852074:FUR852075 GEN852074:GEN852075 GOJ852074:GOJ852075 GYF852074:GYF852075 HIB852074:HIB852075 HRX852074:HRX852075 IBT852074:IBT852075 ILP852074:ILP852075 IVL852074:IVL852075 JFH852074:JFH852075 JPD852074:JPD852075 JYZ852074:JYZ852075 KIV852074:KIV852075 KSR852074:KSR852075 LCN852074:LCN852075 LMJ852074:LMJ852075 LWF852074:LWF852075 MGB852074:MGB852075 MPX852074:MPX852075 MZT852074:MZT852075 NJP852074:NJP852075 NTL852074:NTL852075 ODH852074:ODH852075 OND852074:OND852075 OWZ852074:OWZ852075 PGV852074:PGV852075 PQR852074:PQR852075 QAN852074:QAN852075 QKJ852074:QKJ852075 QUF852074:QUF852075 REB852074:REB852075 RNX852074:RNX852075 RXT852074:RXT852075 SHP852074:SHP852075 SRL852074:SRL852075 TBH852074:TBH852075 TLD852074:TLD852075 TUZ852074:TUZ852075 UEV852074:UEV852075 UOR852074:UOR852075 UYN852074:UYN852075 VIJ852074:VIJ852075 VSF852074:VSF852075 WCB852074:WCB852075 WLX852074:WLX852075 WVT852074:WVT852075 L917610:L917611 JH917610:JH917611 TD917610:TD917611 ACZ917610:ACZ917611 AMV917610:AMV917611 AWR917610:AWR917611 BGN917610:BGN917611 BQJ917610:BQJ917611 CAF917610:CAF917611 CKB917610:CKB917611 CTX917610:CTX917611 DDT917610:DDT917611 DNP917610:DNP917611 DXL917610:DXL917611 EHH917610:EHH917611 ERD917610:ERD917611 FAZ917610:FAZ917611 FKV917610:FKV917611 FUR917610:FUR917611 GEN917610:GEN917611 GOJ917610:GOJ917611 GYF917610:GYF917611 HIB917610:HIB917611 HRX917610:HRX917611 IBT917610:IBT917611 ILP917610:ILP917611 IVL917610:IVL917611 JFH917610:JFH917611 JPD917610:JPD917611 JYZ917610:JYZ917611 KIV917610:KIV917611 KSR917610:KSR917611 LCN917610:LCN917611 LMJ917610:LMJ917611 LWF917610:LWF917611 MGB917610:MGB917611 MPX917610:MPX917611 MZT917610:MZT917611 NJP917610:NJP917611 NTL917610:NTL917611 ODH917610:ODH917611 OND917610:OND917611 OWZ917610:OWZ917611 PGV917610:PGV917611 PQR917610:PQR917611 QAN917610:QAN917611 QKJ917610:QKJ917611 QUF917610:QUF917611 REB917610:REB917611 RNX917610:RNX917611 RXT917610:RXT917611 SHP917610:SHP917611 SRL917610:SRL917611 TBH917610:TBH917611 TLD917610:TLD917611 TUZ917610:TUZ917611 UEV917610:UEV917611 UOR917610:UOR917611 UYN917610:UYN917611 VIJ917610:VIJ917611 VSF917610:VSF917611 WCB917610:WCB917611 WLX917610:WLX917611 WVT917610:WVT917611 L983146:L983147 JH983146:JH983147 TD983146:TD983147 ACZ983146:ACZ983147 AMV983146:AMV983147 AWR983146:AWR983147 BGN983146:BGN983147 BQJ983146:BQJ983147 CAF983146:CAF983147 CKB983146:CKB983147 CTX983146:CTX983147 DDT983146:DDT983147 DNP983146:DNP983147 DXL983146:DXL983147 EHH983146:EHH983147 ERD983146:ERD983147 FAZ983146:FAZ983147 FKV983146:FKV983147 FUR983146:FUR983147 GEN983146:GEN983147 GOJ983146:GOJ983147 GYF983146:GYF983147 HIB983146:HIB983147 HRX983146:HRX983147 IBT983146:IBT983147 ILP983146:ILP983147 IVL983146:IVL983147 JFH983146:JFH983147 JPD983146:JPD983147 JYZ983146:JYZ983147 KIV983146:KIV983147 KSR983146:KSR983147 LCN983146:LCN983147 LMJ983146:LMJ983147 LWF983146:LWF983147 MGB983146:MGB983147 MPX983146:MPX983147 MZT983146:MZT983147 NJP983146:NJP983147 NTL983146:NTL983147 ODH983146:ODH983147 OND983146:OND983147 OWZ983146:OWZ983147 PGV983146:PGV983147 PQR983146:PQR983147 QAN983146:QAN983147 QKJ983146:QKJ983147 QUF983146:QUF983147 REB983146:REB983147 RNX983146:RNX983147 RXT983146:RXT983147 SHP983146:SHP983147 SRL983146:SRL983147 TBH983146:TBH983147 TLD983146:TLD983147 TUZ983146:TUZ983147 UEV983146:UEV983147 UOR983146:UOR983147 UYN983146:UYN983147 VIJ983146:VIJ983147 VSF983146:VSF983147 WCB983146:WCB983147 WLX983146:WLX983147 WVT983146:WVT983147">
      <formula1>$U$111:$U$114</formula1>
    </dataValidation>
  </dataValidations>
  <hyperlinks>
    <hyperlink ref="A1" location="'Table Of Contents'!A1" display="TOC"/>
  </hyperlinks>
  <pageMargins left="0.75" right="0.75" top="1" bottom="1" header="0.5" footer="0.5"/>
  <pageSetup scale="41" fitToHeight="0" orientation="portrait" r:id="rId1"/>
  <headerFooter alignWithMargins="0">
    <oddFooter>Page &amp;P of &amp;N</oddFooter>
  </headerFooter>
  <rowBreaks count="2" manualBreakCount="2">
    <brk id="43" min="1" max="16" man="1"/>
    <brk id="94" min="1" max="16" man="1"/>
  </rowBreaks>
  <drawing r:id="rId2"/>
  <legacyDrawing r:id="rId3"/>
  <legacyDrawingHF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FFCC"/>
  </sheetPr>
  <dimension ref="A1:B44"/>
  <sheetViews>
    <sheetView workbookViewId="0"/>
  </sheetViews>
  <sheetFormatPr defaultRowHeight="15"/>
  <cols>
    <col min="1" max="1" width="18.28515625" customWidth="1"/>
    <col min="2" max="2" width="110.140625" customWidth="1"/>
  </cols>
  <sheetData>
    <row r="1" spans="1:2">
      <c r="A1" s="10" t="s">
        <v>2534</v>
      </c>
    </row>
    <row r="2" spans="1:2">
      <c r="A2" s="1851"/>
    </row>
    <row r="3" spans="1:2">
      <c r="A3" s="1851" t="s">
        <v>2330</v>
      </c>
      <c r="B3" s="1852" t="s">
        <v>2331</v>
      </c>
    </row>
    <row r="4" spans="1:2" s="241" customFormat="1">
      <c r="A4" s="1851"/>
      <c r="B4" s="1852" t="s">
        <v>2334</v>
      </c>
    </row>
    <row r="5" spans="1:2" s="241" customFormat="1">
      <c r="A5" s="1851"/>
      <c r="B5" s="1852" t="s">
        <v>2454</v>
      </c>
    </row>
    <row r="6" spans="1:2">
      <c r="A6" s="1851"/>
      <c r="B6" s="1852" t="s">
        <v>2332</v>
      </c>
    </row>
    <row r="7" spans="1:2">
      <c r="A7" s="1851"/>
      <c r="B7" s="1852" t="s">
        <v>2333</v>
      </c>
    </row>
    <row r="8" spans="1:2">
      <c r="A8" s="1851"/>
      <c r="B8" s="1852" t="s">
        <v>2335</v>
      </c>
    </row>
    <row r="9" spans="1:2" s="241" customFormat="1">
      <c r="A9" s="1851"/>
      <c r="B9" s="1852" t="s">
        <v>2510</v>
      </c>
    </row>
    <row r="10" spans="1:2">
      <c r="A10" s="1851" t="s">
        <v>1963</v>
      </c>
      <c r="B10" s="1852" t="s">
        <v>2336</v>
      </c>
    </row>
    <row r="11" spans="1:2" s="241" customFormat="1">
      <c r="A11" s="1851"/>
      <c r="B11" s="1852" t="s">
        <v>2440</v>
      </c>
    </row>
    <row r="12" spans="1:2" s="241" customFormat="1">
      <c r="A12" s="1851"/>
      <c r="B12" s="1852" t="s">
        <v>2445</v>
      </c>
    </row>
    <row r="13" spans="1:2" s="241" customFormat="1">
      <c r="A13" s="1851"/>
      <c r="B13" s="1852" t="s">
        <v>2466</v>
      </c>
    </row>
    <row r="14" spans="1:2" ht="30">
      <c r="A14" s="1851" t="s">
        <v>1964</v>
      </c>
      <c r="B14" s="1852" t="s">
        <v>2337</v>
      </c>
    </row>
    <row r="15" spans="1:2">
      <c r="A15" s="1851"/>
      <c r="B15" s="1852" t="s">
        <v>2453</v>
      </c>
    </row>
    <row r="16" spans="1:2">
      <c r="A16" s="1851"/>
      <c r="B16" s="1852"/>
    </row>
    <row r="17" spans="1:2">
      <c r="A17" s="10" t="s">
        <v>2541</v>
      </c>
      <c r="B17" s="1852"/>
    </row>
    <row r="18" spans="1:2">
      <c r="A18" s="1851" t="s">
        <v>2330</v>
      </c>
      <c r="B18" s="1852" t="s">
        <v>2529</v>
      </c>
    </row>
    <row r="19" spans="1:2" s="241" customFormat="1">
      <c r="A19" s="1851"/>
      <c r="B19" s="1852" t="s">
        <v>2535</v>
      </c>
    </row>
    <row r="20" spans="1:2" s="241" customFormat="1">
      <c r="A20" s="1851"/>
      <c r="B20" s="1852" t="s">
        <v>2516</v>
      </c>
    </row>
    <row r="21" spans="1:2" s="241" customFormat="1">
      <c r="A21" s="1851"/>
      <c r="B21" s="1852" t="s">
        <v>2528</v>
      </c>
    </row>
    <row r="22" spans="1:2">
      <c r="A22" s="1851" t="s">
        <v>1963</v>
      </c>
      <c r="B22" s="1852" t="s">
        <v>2518</v>
      </c>
    </row>
    <row r="23" spans="1:2">
      <c r="A23" s="1851"/>
      <c r="B23" s="1852" t="s">
        <v>2527</v>
      </c>
    </row>
    <row r="24" spans="1:2">
      <c r="A24" s="1851"/>
      <c r="B24" s="1852" t="s">
        <v>2539</v>
      </c>
    </row>
    <row r="25" spans="1:2">
      <c r="A25" s="1851"/>
      <c r="B25" s="1852" t="s">
        <v>2540</v>
      </c>
    </row>
    <row r="26" spans="1:2">
      <c r="A26" s="1851"/>
      <c r="B26" s="1852"/>
    </row>
    <row r="27" spans="1:2">
      <c r="A27" s="1851"/>
      <c r="B27" s="1852"/>
    </row>
    <row r="28" spans="1:2">
      <c r="A28" s="1851"/>
      <c r="B28" s="1852"/>
    </row>
    <row r="29" spans="1:2">
      <c r="A29" s="1851"/>
      <c r="B29" s="1852"/>
    </row>
    <row r="30" spans="1:2">
      <c r="A30" s="1851"/>
      <c r="B30" s="1852"/>
    </row>
    <row r="31" spans="1:2">
      <c r="A31" s="1851"/>
      <c r="B31" s="1852"/>
    </row>
    <row r="32" spans="1:2">
      <c r="A32" s="1851"/>
      <c r="B32" s="1852"/>
    </row>
    <row r="33" spans="1:2">
      <c r="A33" s="1851"/>
      <c r="B33" s="1852"/>
    </row>
    <row r="34" spans="1:2">
      <c r="A34" s="1851"/>
      <c r="B34" s="1852"/>
    </row>
    <row r="35" spans="1:2">
      <c r="A35" s="1851"/>
      <c r="B35" s="1852"/>
    </row>
    <row r="36" spans="1:2">
      <c r="A36" s="1851"/>
      <c r="B36" s="1852"/>
    </row>
    <row r="37" spans="1:2">
      <c r="A37" s="1851"/>
      <c r="B37" s="1852"/>
    </row>
    <row r="38" spans="1:2">
      <c r="A38" s="1851"/>
      <c r="B38" s="1852"/>
    </row>
    <row r="39" spans="1:2">
      <c r="A39" s="1851"/>
      <c r="B39" s="1852"/>
    </row>
    <row r="40" spans="1:2">
      <c r="A40" s="1851"/>
      <c r="B40" s="1852"/>
    </row>
    <row r="41" spans="1:2">
      <c r="A41" s="1851"/>
      <c r="B41" s="1852"/>
    </row>
    <row r="42" spans="1:2">
      <c r="A42" s="1851"/>
      <c r="B42" s="1852"/>
    </row>
    <row r="43" spans="1:2">
      <c r="A43" s="1851"/>
      <c r="B43" s="1852"/>
    </row>
    <row r="44" spans="1:2">
      <c r="A44" s="1851"/>
    </row>
  </sheetData>
  <sheetProtection sheet="1" objects="1" scenarios="1"/>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66FF33"/>
    <pageSetUpPr fitToPage="1"/>
  </sheetPr>
  <dimension ref="A1:BQ177"/>
  <sheetViews>
    <sheetView showGridLines="0" view="pageBreakPreview" zoomScale="90" zoomScaleNormal="75" zoomScaleSheetLayoutView="90" workbookViewId="0">
      <selection activeCell="C1" sqref="C1"/>
    </sheetView>
  </sheetViews>
  <sheetFormatPr defaultRowHeight="12.75"/>
  <cols>
    <col min="1" max="1" width="9.28515625" style="1324" customWidth="1"/>
    <col min="2" max="2" width="20" style="1324" customWidth="1"/>
    <col min="3" max="3" width="20.42578125" style="1324" customWidth="1"/>
    <col min="4" max="4" width="20.28515625" style="1324" customWidth="1"/>
    <col min="5" max="5" width="12.42578125" style="1324" customWidth="1"/>
    <col min="6" max="6" width="11.42578125" style="1324" customWidth="1"/>
    <col min="7" max="7" width="10.140625" style="1324" customWidth="1"/>
    <col min="8" max="8" width="12.42578125" style="1324" customWidth="1"/>
    <col min="9" max="9" width="14" style="1324" customWidth="1"/>
    <col min="10" max="10" width="14.5703125" style="1324" customWidth="1"/>
    <col min="11" max="11" width="5.7109375" style="1324" customWidth="1"/>
    <col min="12" max="12" width="7" style="1324" customWidth="1"/>
    <col min="13" max="13" width="33" style="1324" customWidth="1"/>
    <col min="14" max="16" width="9.140625" style="1324"/>
    <col min="17" max="17" width="9.140625" style="1324" hidden="1" customWidth="1"/>
    <col min="18" max="16384" width="9.140625" style="1324"/>
  </cols>
  <sheetData>
    <row r="1" spans="1:69" ht="26.25" customHeight="1">
      <c r="A1" s="1534" t="s">
        <v>1408</v>
      </c>
      <c r="B1" s="1138"/>
      <c r="C1" s="1137"/>
      <c r="D1" s="1138"/>
      <c r="E1" s="1138"/>
      <c r="F1" s="1140"/>
      <c r="G1" s="1138"/>
      <c r="H1" s="1138"/>
      <c r="I1" s="1138"/>
      <c r="J1" s="795"/>
    </row>
    <row r="2" spans="1:69" ht="26.25" customHeight="1">
      <c r="B2" s="1138"/>
      <c r="C2" s="1137" t="str">
        <f>'1.1 - APPLIANCES'!C2</f>
        <v>MULTIFAMILY PERFORMANCE PROGRAM</v>
      </c>
      <c r="D2" s="1138"/>
      <c r="E2" s="1138"/>
      <c r="F2" s="1140"/>
      <c r="G2" s="1138"/>
      <c r="H2" s="1138"/>
      <c r="I2" s="1138"/>
      <c r="J2" s="795"/>
    </row>
    <row r="3" spans="1:69" ht="26.25" customHeight="1">
      <c r="B3" s="1138"/>
      <c r="C3" s="1139" t="s">
        <v>368</v>
      </c>
      <c r="D3" s="1139">
        <f>'Project Info'!C3</f>
        <v>0</v>
      </c>
      <c r="E3" s="1138"/>
      <c r="F3" s="1140"/>
      <c r="G3" s="1138"/>
      <c r="H3" s="1138"/>
      <c r="I3" s="1138"/>
      <c r="J3" s="795"/>
    </row>
    <row r="4" spans="1:69" ht="26.25" customHeight="1">
      <c r="A4" s="1551"/>
      <c r="B4" s="1138"/>
      <c r="C4" s="1139"/>
      <c r="D4" s="1139"/>
      <c r="E4" s="1138"/>
      <c r="F4" s="1212"/>
      <c r="G4" s="1138"/>
      <c r="H4" s="1138"/>
      <c r="I4" s="1138"/>
      <c r="J4" s="1529"/>
      <c r="K4" s="1529"/>
      <c r="L4" s="795"/>
    </row>
    <row r="5" spans="1:69" s="1539" customFormat="1" ht="15.75">
      <c r="A5" s="1533"/>
      <c r="B5" s="1158" t="s">
        <v>1689</v>
      </c>
      <c r="C5" s="1159"/>
      <c r="D5" s="1160"/>
      <c r="E5" s="1159"/>
      <c r="F5" s="1159"/>
      <c r="G5" s="1159"/>
      <c r="H5" s="1159"/>
      <c r="I5" s="1159"/>
      <c r="J5" s="2721" t="s">
        <v>1411</v>
      </c>
      <c r="K5" s="2722"/>
      <c r="L5" s="2721" t="s">
        <v>1412</v>
      </c>
      <c r="M5" s="2722"/>
      <c r="N5" s="1540"/>
      <c r="O5" s="1540"/>
      <c r="P5" s="1540"/>
      <c r="Q5" s="1540"/>
      <c r="R5" s="1540"/>
      <c r="S5" s="1540"/>
      <c r="T5" s="1540"/>
      <c r="U5" s="1540"/>
      <c r="V5" s="1540"/>
      <c r="W5" s="1540"/>
      <c r="X5" s="1540"/>
      <c r="Y5" s="1540"/>
      <c r="Z5" s="1540"/>
      <c r="AA5" s="1540"/>
      <c r="AB5" s="1540"/>
      <c r="AC5" s="1540"/>
      <c r="AD5" s="1540"/>
      <c r="AE5" s="1540"/>
      <c r="AF5" s="1540"/>
      <c r="AG5" s="1540"/>
      <c r="AH5" s="1540"/>
      <c r="AI5" s="1540"/>
      <c r="AJ5" s="1540"/>
      <c r="AK5" s="1540"/>
      <c r="AL5" s="1540"/>
      <c r="AM5" s="1540"/>
      <c r="AN5" s="1540"/>
      <c r="AO5" s="1540"/>
      <c r="AP5" s="1540"/>
      <c r="AQ5" s="1540"/>
      <c r="AR5" s="1540"/>
      <c r="AS5" s="1540"/>
      <c r="AT5" s="1540"/>
      <c r="AU5" s="1540"/>
      <c r="AV5" s="1540"/>
      <c r="AW5" s="1540"/>
      <c r="AX5" s="1540"/>
      <c r="AY5" s="1540"/>
      <c r="AZ5" s="1540"/>
      <c r="BA5" s="1540"/>
      <c r="BB5" s="1540"/>
      <c r="BC5" s="1540"/>
      <c r="BD5" s="1540"/>
      <c r="BE5" s="1540"/>
      <c r="BF5" s="1540"/>
      <c r="BG5" s="1540"/>
      <c r="BH5" s="1540"/>
      <c r="BI5" s="1540"/>
      <c r="BJ5" s="1540"/>
      <c r="BK5" s="1540"/>
      <c r="BL5" s="1540"/>
      <c r="BM5" s="1540"/>
      <c r="BN5" s="1540"/>
      <c r="BO5" s="1540"/>
      <c r="BP5" s="1540"/>
      <c r="BQ5" s="1540"/>
    </row>
    <row r="6" spans="1:69">
      <c r="B6" s="2724"/>
      <c r="C6" s="2725"/>
      <c r="D6" s="2726"/>
      <c r="E6" s="2726"/>
      <c r="F6" s="1144"/>
      <c r="G6" s="1144"/>
      <c r="H6" s="1144"/>
      <c r="I6" s="1353"/>
      <c r="J6" s="2789" t="s">
        <v>1413</v>
      </c>
      <c r="K6" s="2732"/>
      <c r="L6" s="2871"/>
      <c r="M6" s="2720"/>
    </row>
    <row r="7" spans="1:69">
      <c r="B7" s="2724" t="s">
        <v>1414</v>
      </c>
      <c r="C7" s="2725"/>
      <c r="D7" s="2726"/>
      <c r="E7" s="2726"/>
      <c r="F7" s="1144"/>
      <c r="G7" s="1144"/>
      <c r="H7" s="1144"/>
      <c r="I7" s="1353"/>
      <c r="J7" s="2731"/>
      <c r="K7" s="2732"/>
      <c r="L7" s="2720"/>
      <c r="M7" s="2720"/>
    </row>
    <row r="8" spans="1:69" ht="27" customHeight="1">
      <c r="A8" s="1528"/>
      <c r="B8" s="2673" t="s">
        <v>1690</v>
      </c>
      <c r="C8" s="2673"/>
      <c r="D8" s="2673"/>
      <c r="E8" s="2673"/>
      <c r="F8" s="2673"/>
      <c r="G8" s="2673"/>
      <c r="H8" s="2673"/>
      <c r="I8" s="2673"/>
      <c r="J8" s="2719"/>
      <c r="K8" s="2719"/>
      <c r="L8" s="2720"/>
      <c r="M8" s="2720"/>
    </row>
    <row r="9" spans="1:69" ht="25.5" customHeight="1">
      <c r="A9" s="1528"/>
      <c r="B9" s="2673" t="s">
        <v>1691</v>
      </c>
      <c r="C9" s="2673"/>
      <c r="D9" s="2673"/>
      <c r="E9" s="2673"/>
      <c r="F9" s="2673"/>
      <c r="G9" s="2673"/>
      <c r="H9" s="2673"/>
      <c r="I9" s="2673"/>
      <c r="J9" s="2718"/>
      <c r="K9" s="2718"/>
      <c r="L9" s="2715"/>
      <c r="M9" s="2715"/>
    </row>
    <row r="10" spans="1:69" ht="12.75" customHeight="1">
      <c r="A10" s="1528"/>
      <c r="B10" s="2673" t="s">
        <v>1692</v>
      </c>
      <c r="C10" s="2673"/>
      <c r="D10" s="2673"/>
      <c r="E10" s="2673"/>
      <c r="F10" s="2673"/>
      <c r="G10" s="2673"/>
      <c r="H10" s="2673"/>
      <c r="I10" s="2673"/>
      <c r="J10" s="2715"/>
      <c r="K10" s="2715"/>
      <c r="L10" s="2715"/>
      <c r="M10" s="2715"/>
      <c r="N10" s="1528"/>
    </row>
    <row r="11" spans="1:69" ht="16.5" customHeight="1">
      <c r="A11" s="1528"/>
      <c r="B11" s="2673" t="s">
        <v>1693</v>
      </c>
      <c r="C11" s="2673"/>
      <c r="D11" s="2673"/>
      <c r="E11" s="2673"/>
      <c r="F11" s="2673"/>
      <c r="G11" s="2673"/>
      <c r="H11" s="2673"/>
      <c r="I11" s="2673"/>
      <c r="J11" s="2715"/>
      <c r="K11" s="2715"/>
      <c r="L11" s="2715"/>
      <c r="M11" s="2715"/>
      <c r="N11" s="1528"/>
    </row>
    <row r="12" spans="1:69" ht="12.75" customHeight="1">
      <c r="A12" s="1528"/>
      <c r="B12" s="2711"/>
      <c r="C12" s="2712"/>
      <c r="D12" s="2713"/>
      <c r="E12" s="2713"/>
      <c r="F12" s="1144"/>
      <c r="G12" s="1144"/>
      <c r="H12" s="1144"/>
      <c r="I12" s="1353"/>
      <c r="J12" s="2715"/>
      <c r="K12" s="2715"/>
      <c r="L12" s="2715"/>
      <c r="M12" s="2715"/>
      <c r="N12" s="1528"/>
    </row>
    <row r="13" spans="1:69">
      <c r="A13" s="1528"/>
      <c r="B13" s="1146" t="s">
        <v>1416</v>
      </c>
      <c r="C13" s="1144"/>
      <c r="D13" s="1144"/>
      <c r="E13" s="1144"/>
      <c r="F13" s="1144"/>
      <c r="G13" s="1144"/>
      <c r="H13" s="1144"/>
      <c r="I13" s="1353"/>
      <c r="J13" s="1529"/>
      <c r="K13" s="1529"/>
      <c r="L13" s="1529"/>
      <c r="M13" s="1528"/>
    </row>
    <row r="14" spans="1:69">
      <c r="A14" s="1528"/>
      <c r="B14" s="1144" t="s">
        <v>1694</v>
      </c>
      <c r="C14" s="1144"/>
      <c r="D14" s="1144"/>
      <c r="E14" s="1144"/>
      <c r="F14" s="1144"/>
      <c r="G14" s="1144"/>
      <c r="H14" s="1144"/>
      <c r="I14" s="1144"/>
      <c r="J14" s="1529"/>
      <c r="K14" s="1529"/>
      <c r="L14" s="1529"/>
      <c r="M14" s="1528"/>
    </row>
    <row r="15" spans="1:69">
      <c r="A15" s="1528"/>
      <c r="B15" s="1149" t="s">
        <v>1695</v>
      </c>
      <c r="C15" s="1144"/>
      <c r="D15" s="1144"/>
      <c r="E15" s="1144"/>
      <c r="F15" s="1144"/>
      <c r="G15" s="1144"/>
      <c r="H15" s="1144"/>
      <c r="I15" s="1144"/>
      <c r="J15" s="1529"/>
      <c r="K15" s="1529"/>
      <c r="L15" s="1529"/>
      <c r="M15" s="1528"/>
    </row>
    <row r="16" spans="1:69">
      <c r="A16" s="1528"/>
      <c r="B16" s="1149" t="s">
        <v>1696</v>
      </c>
      <c r="C16" s="1144"/>
      <c r="D16" s="1144"/>
      <c r="E16" s="1144"/>
      <c r="F16" s="1144"/>
      <c r="G16" s="1144"/>
      <c r="H16" s="1144"/>
      <c r="I16" s="1144"/>
      <c r="J16" s="1529"/>
      <c r="K16" s="1529"/>
      <c r="L16" s="1529"/>
      <c r="M16" s="1528"/>
    </row>
    <row r="17" spans="1:16">
      <c r="A17" s="1528"/>
      <c r="B17" s="1144"/>
      <c r="C17" s="1144"/>
      <c r="D17" s="1144"/>
      <c r="E17" s="1144"/>
      <c r="F17" s="1144"/>
      <c r="G17" s="1144"/>
      <c r="H17" s="1144"/>
      <c r="I17" s="1144"/>
      <c r="J17" s="1529"/>
      <c r="K17" s="1529"/>
      <c r="L17" s="1529"/>
      <c r="M17" s="1528"/>
    </row>
    <row r="18" spans="1:16">
      <c r="A18" s="1528"/>
      <c r="B18" s="1148" t="s">
        <v>1420</v>
      </c>
      <c r="C18" s="1149"/>
      <c r="D18" s="1149"/>
      <c r="E18" s="1149"/>
      <c r="F18" s="1149"/>
      <c r="G18" s="1149"/>
      <c r="H18" s="1149"/>
      <c r="I18" s="1149"/>
      <c r="J18" s="1144"/>
      <c r="K18" s="1144"/>
      <c r="L18" s="1144"/>
      <c r="M18" s="1150"/>
    </row>
    <row r="19" spans="1:16" ht="24" customHeight="1">
      <c r="A19" s="1528"/>
      <c r="B19" s="2671" t="s">
        <v>1697</v>
      </c>
      <c r="C19" s="2671"/>
      <c r="D19" s="2671"/>
      <c r="E19" s="2671"/>
      <c r="F19" s="2671"/>
      <c r="G19" s="2671"/>
      <c r="H19" s="2671"/>
      <c r="I19" s="2671"/>
      <c r="J19" s="2671"/>
      <c r="K19" s="2671"/>
      <c r="L19" s="2671"/>
      <c r="M19" s="2671"/>
    </row>
    <row r="20" spans="1:16">
      <c r="A20" s="1528"/>
      <c r="B20" s="1149" t="s">
        <v>1698</v>
      </c>
      <c r="C20" s="1149"/>
      <c r="D20" s="1149"/>
      <c r="E20" s="1149"/>
      <c r="F20" s="1149"/>
      <c r="G20" s="1149"/>
      <c r="H20" s="1149"/>
      <c r="I20" s="1149"/>
      <c r="J20" s="1149"/>
      <c r="K20" s="1144"/>
      <c r="L20" s="1144"/>
      <c r="M20" s="1144"/>
      <c r="N20" s="1529"/>
      <c r="O20" s="1529"/>
      <c r="P20" s="1528"/>
    </row>
    <row r="21" spans="1:16" ht="35.25" customHeight="1">
      <c r="A21" s="1528"/>
      <c r="B21" s="2716" t="s">
        <v>1699</v>
      </c>
      <c r="C21" s="2716"/>
      <c r="D21" s="2716"/>
      <c r="E21" s="2716"/>
      <c r="F21" s="2716"/>
      <c r="G21" s="2716"/>
      <c r="H21" s="2716"/>
      <c r="I21" s="2716"/>
      <c r="J21" s="2716"/>
      <c r="K21" s="2716"/>
      <c r="L21" s="1144"/>
      <c r="M21" s="1144"/>
      <c r="N21" s="1529"/>
      <c r="O21" s="1529"/>
      <c r="P21" s="1528"/>
    </row>
    <row r="22" spans="1:16" s="1526" customFormat="1" ht="80.099999999999994" customHeight="1">
      <c r="A22" s="1527"/>
      <c r="B22" s="1207" t="s">
        <v>1425</v>
      </c>
      <c r="C22" s="1365"/>
      <c r="D22" s="1342"/>
      <c r="E22" s="1342"/>
      <c r="F22" s="1342"/>
      <c r="G22" s="1342"/>
      <c r="H22" s="2679" t="s">
        <v>1433</v>
      </c>
      <c r="I22" s="2708"/>
      <c r="J22" s="1342" t="s">
        <v>1434</v>
      </c>
      <c r="K22" s="1155" t="s">
        <v>1435</v>
      </c>
    </row>
    <row r="23" spans="1:16" ht="95.25" customHeight="1">
      <c r="A23" s="1526"/>
      <c r="B23" s="2693" t="s">
        <v>2253</v>
      </c>
      <c r="C23" s="2694"/>
      <c r="D23" s="2694"/>
      <c r="E23" s="2694"/>
      <c r="F23" s="2694"/>
      <c r="G23" s="2733"/>
      <c r="H23" s="2692"/>
      <c r="I23" s="2685"/>
      <c r="J23" s="1359"/>
      <c r="K23" s="1388"/>
    </row>
    <row r="24" spans="1:16" ht="66.75" customHeight="1">
      <c r="A24" s="1528"/>
      <c r="B24" s="2671" t="s">
        <v>1700</v>
      </c>
      <c r="C24" s="2671"/>
      <c r="D24" s="2671"/>
      <c r="E24" s="2671"/>
      <c r="F24" s="2671"/>
      <c r="G24" s="2671"/>
      <c r="H24" s="2671"/>
      <c r="I24" s="2671"/>
      <c r="J24" s="2671"/>
      <c r="K24" s="1144"/>
      <c r="L24" s="1529"/>
      <c r="M24" s="1528"/>
    </row>
    <row r="25" spans="1:16" ht="80.099999999999994" customHeight="1">
      <c r="B25" s="1162" t="s">
        <v>1453</v>
      </c>
      <c r="C25" s="1162" t="s">
        <v>1454</v>
      </c>
      <c r="D25" s="1162" t="s">
        <v>1431</v>
      </c>
      <c r="E25" s="1162" t="s">
        <v>1430</v>
      </c>
      <c r="F25" s="1367" t="s">
        <v>1428</v>
      </c>
      <c r="G25" s="1367" t="s">
        <v>1429</v>
      </c>
      <c r="H25" s="1162" t="s">
        <v>2193</v>
      </c>
      <c r="I25" s="1163" t="s">
        <v>1701</v>
      </c>
      <c r="J25" s="1342" t="s">
        <v>1434</v>
      </c>
      <c r="K25" s="1155" t="s">
        <v>1435</v>
      </c>
      <c r="L25" s="1155" t="s">
        <v>1436</v>
      </c>
      <c r="M25" s="1164" t="s">
        <v>1642</v>
      </c>
      <c r="N25" s="1550"/>
    </row>
    <row r="26" spans="1:16">
      <c r="B26" s="892"/>
      <c r="C26" s="892"/>
      <c r="D26" s="893"/>
      <c r="E26" s="893"/>
      <c r="F26" s="893"/>
      <c r="G26" s="892"/>
      <c r="H26" s="893"/>
      <c r="I26" s="893"/>
      <c r="J26" s="893"/>
      <c r="K26" s="896"/>
      <c r="L26" s="901"/>
      <c r="M26" s="1379"/>
    </row>
    <row r="27" spans="1:16">
      <c r="B27" s="893"/>
      <c r="C27" s="892"/>
      <c r="D27" s="893"/>
      <c r="E27" s="893"/>
      <c r="F27" s="893"/>
      <c r="G27" s="892"/>
      <c r="H27" s="893"/>
      <c r="I27" s="893"/>
      <c r="J27" s="893"/>
      <c r="K27" s="896"/>
      <c r="L27" s="901"/>
      <c r="M27" s="1379"/>
    </row>
    <row r="28" spans="1:16">
      <c r="B28" s="893"/>
      <c r="C28" s="892"/>
      <c r="D28" s="893"/>
      <c r="E28" s="893"/>
      <c r="F28" s="893"/>
      <c r="G28" s="892"/>
      <c r="H28" s="893"/>
      <c r="I28" s="893"/>
      <c r="J28" s="893"/>
      <c r="K28" s="896"/>
      <c r="L28" s="901"/>
      <c r="M28" s="1379"/>
    </row>
    <row r="29" spans="1:16">
      <c r="B29" s="893"/>
      <c r="C29" s="892"/>
      <c r="D29" s="893"/>
      <c r="E29" s="893"/>
      <c r="F29" s="893"/>
      <c r="G29" s="892"/>
      <c r="H29" s="893"/>
      <c r="I29" s="893"/>
      <c r="J29" s="893"/>
      <c r="K29" s="896"/>
      <c r="L29" s="901"/>
      <c r="M29" s="1379"/>
    </row>
    <row r="30" spans="1:16">
      <c r="B30" s="893"/>
      <c r="C30" s="892"/>
      <c r="D30" s="893"/>
      <c r="E30" s="893"/>
      <c r="F30" s="893"/>
      <c r="G30" s="892"/>
      <c r="H30" s="893"/>
      <c r="I30" s="893"/>
      <c r="J30" s="893"/>
      <c r="K30" s="896"/>
      <c r="L30" s="901"/>
      <c r="M30" s="1379"/>
    </row>
    <row r="31" spans="1:16">
      <c r="A31" s="1528"/>
      <c r="B31" s="1529"/>
      <c r="C31" s="1529"/>
      <c r="D31" s="1529"/>
      <c r="E31" s="1529"/>
      <c r="F31" s="1529"/>
      <c r="G31" s="1529"/>
      <c r="H31" s="1529"/>
      <c r="I31" s="1529"/>
      <c r="J31" s="1529"/>
      <c r="K31" s="1529"/>
      <c r="L31" s="1529"/>
      <c r="M31" s="1528"/>
    </row>
    <row r="32" spans="1:16">
      <c r="B32" s="1548"/>
      <c r="C32" s="1547"/>
      <c r="D32" s="1547"/>
      <c r="E32" s="1547"/>
      <c r="F32" s="1546"/>
      <c r="G32" s="795"/>
      <c r="H32" s="1545"/>
      <c r="I32" s="1545"/>
      <c r="J32" s="1544"/>
      <c r="K32" s="1544"/>
      <c r="L32" s="1543"/>
    </row>
    <row r="33" spans="1:17" s="1526" customFormat="1" ht="80.099999999999994" customHeight="1">
      <c r="A33" s="1527"/>
      <c r="B33" s="1342" t="s">
        <v>1439</v>
      </c>
      <c r="C33" s="1365"/>
      <c r="D33" s="1342" t="s">
        <v>1426</v>
      </c>
      <c r="E33" s="1342"/>
      <c r="F33" s="2710" t="s">
        <v>1427</v>
      </c>
      <c r="G33" s="2710"/>
      <c r="H33" s="2679" t="s">
        <v>1433</v>
      </c>
      <c r="I33" s="2708"/>
      <c r="J33" s="1342" t="s">
        <v>1434</v>
      </c>
      <c r="K33" s="1155" t="s">
        <v>1435</v>
      </c>
      <c r="L33" s="1155" t="s">
        <v>1436</v>
      </c>
      <c r="M33" s="1164" t="s">
        <v>1642</v>
      </c>
    </row>
    <row r="34" spans="1:17" ht="133.5" customHeight="1">
      <c r="A34" s="1707"/>
      <c r="B34" s="2693" t="s">
        <v>1702</v>
      </c>
      <c r="C34" s="2699"/>
      <c r="D34" s="2700" t="str">
        <f>IF('Project Info'!C4='Project Info'!P32,'Prescriptive Path Checklist'!C113,IF('Project Info'!C4='Project Info'!P33,#REF!,"&lt;Select compliance path on the 'Project Info' tab&gt;"))</f>
        <v>All three-phase pump motors 1 horse-power or larger shall meet or exceed efficiency standards for NEMA Premium™ motors, where available.
Motors 5 horse-power or larger for circulating pumps serving hydronic heating systems must be specified with variable frequency drives.</v>
      </c>
      <c r="E34" s="2701"/>
      <c r="F34" s="2706">
        <f>ERMs!B49</f>
        <v>0</v>
      </c>
      <c r="G34" s="2853"/>
      <c r="H34" s="2692"/>
      <c r="I34" s="2685"/>
      <c r="J34" s="1359"/>
      <c r="K34" s="1388"/>
      <c r="L34" s="1370"/>
      <c r="M34" s="1370"/>
    </row>
    <row r="35" spans="1:17" ht="192" customHeight="1">
      <c r="A35" s="1707"/>
      <c r="B35" s="2693" t="s">
        <v>1703</v>
      </c>
      <c r="C35" s="2699"/>
      <c r="D35" s="2700" t="str">
        <f>IF('Project Info'!C4='Project Info'!P32,'Prescriptive Path Checklist'!C114,IF('Project Info'!C4='Project Info'!P33,#REF!,"&lt;Select compliance path on the 'Project Info' tab&gt;"))</f>
        <v>All three-phase pump motors 1 horse-power or larger shall meet or exceed efficiency standards for NEMA Premium™ motors, where available.
Motors 5 horse-power or larger for circulating pumps serving hydronic cooling systems must be specified with variable frequency drives.
Cooling tower fan motors must be equipped with VFD controlled by a temperature sensor on the condenser water supply pipe.</v>
      </c>
      <c r="E35" s="2701"/>
      <c r="F35" s="2706">
        <f>ERMs!B50</f>
        <v>0</v>
      </c>
      <c r="G35" s="2853"/>
      <c r="H35" s="2692"/>
      <c r="I35" s="2685"/>
      <c r="J35" s="1359"/>
      <c r="K35" s="1388"/>
      <c r="L35" s="1370"/>
      <c r="M35" s="1370"/>
    </row>
    <row r="36" spans="1:17" ht="100.5" customHeight="1">
      <c r="A36" s="1707"/>
      <c r="B36" s="2693" t="s">
        <v>1704</v>
      </c>
      <c r="C36" s="2699"/>
      <c r="D36" s="2700" t="str">
        <f>IF('Project Info'!C4='Project Info'!P32,'Prescriptive Path Checklist'!C115,IF('Project Info'!C4='Project Info'!P33,#REF!,"&lt;Select compliance path on the 'Project Info' tab&gt;"))</f>
        <v>All three-phase pump motors 1 horse-power or larger shall meet or exceed efficiency standards for NEMA Premium™ motors, where available.</v>
      </c>
      <c r="E36" s="2701"/>
      <c r="F36" s="2706" t="e">
        <f>ERMs!#REF!</f>
        <v>#REF!</v>
      </c>
      <c r="G36" s="2853"/>
      <c r="H36" s="2692"/>
      <c r="I36" s="2685"/>
      <c r="J36" s="1359"/>
      <c r="K36" s="1388"/>
      <c r="L36" s="1370"/>
      <c r="M36" s="1370"/>
    </row>
    <row r="37" spans="1:17" ht="33" customHeight="1">
      <c r="B37" s="2695" t="s">
        <v>1705</v>
      </c>
      <c r="C37" s="2695"/>
      <c r="D37" s="2695"/>
      <c r="E37" s="2695"/>
      <c r="F37" s="2695"/>
      <c r="G37" s="2695"/>
      <c r="H37" s="2696"/>
      <c r="I37" s="2696"/>
      <c r="J37" s="2696"/>
      <c r="K37" s="2697"/>
      <c r="L37" s="1370"/>
      <c r="M37" s="1370"/>
    </row>
    <row r="38" spans="1:17" ht="53.25" customHeight="1">
      <c r="B38" s="2695" t="s">
        <v>2252</v>
      </c>
      <c r="C38" s="2695"/>
      <c r="D38" s="2695"/>
      <c r="E38" s="2695"/>
      <c r="F38" s="2695"/>
      <c r="G38" s="2695"/>
      <c r="H38" s="2695"/>
      <c r="I38" s="2695"/>
      <c r="J38" s="2695"/>
      <c r="K38" s="2698"/>
      <c r="L38" s="1370"/>
      <c r="M38" s="1370"/>
    </row>
    <row r="39" spans="1:17" ht="55.5" customHeight="1">
      <c r="B39" s="2674" t="s">
        <v>1441</v>
      </c>
      <c r="C39" s="2674"/>
      <c r="D39" s="2674"/>
      <c r="E39" s="2674"/>
      <c r="F39" s="2674"/>
      <c r="G39" s="2674"/>
      <c r="H39" s="2674"/>
      <c r="I39" s="2674"/>
      <c r="J39" s="2674"/>
      <c r="K39" s="2680"/>
      <c r="L39" s="1370"/>
      <c r="M39" s="1370"/>
    </row>
    <row r="40" spans="1:17" ht="30.75" customHeight="1">
      <c r="B40" s="2870" t="s">
        <v>2251</v>
      </c>
      <c r="C40" s="2870"/>
      <c r="D40" s="2870"/>
      <c r="E40" s="2870"/>
      <c r="F40" s="2870"/>
      <c r="G40" s="2870"/>
      <c r="H40" s="2870"/>
      <c r="I40" s="2870"/>
      <c r="J40" s="2870"/>
      <c r="K40" s="2870"/>
      <c r="L40" s="2870"/>
      <c r="M40" s="2870"/>
    </row>
    <row r="44" spans="1:17">
      <c r="Q44" s="1426" t="s">
        <v>362</v>
      </c>
    </row>
    <row r="45" spans="1:17">
      <c r="Q45" s="1426" t="s">
        <v>364</v>
      </c>
    </row>
    <row r="46" spans="1:17">
      <c r="Q46" s="1426" t="s">
        <v>363</v>
      </c>
    </row>
    <row r="177" spans="2:2" ht="18">
      <c r="B177" s="794"/>
    </row>
  </sheetData>
  <sheetProtection formatCells="0" formatColumns="0" formatRows="0" insertColumns="0" insertRows="0"/>
  <mergeCells count="47">
    <mergeCell ref="B7:E7"/>
    <mergeCell ref="J7:K7"/>
    <mergeCell ref="L7:M7"/>
    <mergeCell ref="L5:M5"/>
    <mergeCell ref="B6:E6"/>
    <mergeCell ref="J6:K6"/>
    <mergeCell ref="L6:M6"/>
    <mergeCell ref="J5:K5"/>
    <mergeCell ref="L8:M8"/>
    <mergeCell ref="B9:I9"/>
    <mergeCell ref="J9:K9"/>
    <mergeCell ref="B40:M40"/>
    <mergeCell ref="B38:K38"/>
    <mergeCell ref="B39:K39"/>
    <mergeCell ref="H23:I23"/>
    <mergeCell ref="D36:E36"/>
    <mergeCell ref="H35:I35"/>
    <mergeCell ref="L9:M9"/>
    <mergeCell ref="F35:G35"/>
    <mergeCell ref="F36:G36"/>
    <mergeCell ref="B37:K37"/>
    <mergeCell ref="H36:I36"/>
    <mergeCell ref="B23:G23"/>
    <mergeCell ref="B24:J24"/>
    <mergeCell ref="B8:I8"/>
    <mergeCell ref="J8:K8"/>
    <mergeCell ref="B36:C36"/>
    <mergeCell ref="B34:C34"/>
    <mergeCell ref="B12:E12"/>
    <mergeCell ref="B35:C35"/>
    <mergeCell ref="D35:E35"/>
    <mergeCell ref="D34:E34"/>
    <mergeCell ref="H34:I34"/>
    <mergeCell ref="B11:I11"/>
    <mergeCell ref="B19:M19"/>
    <mergeCell ref="L12:M12"/>
    <mergeCell ref="B21:K21"/>
    <mergeCell ref="J11:K11"/>
    <mergeCell ref="F34:G34"/>
    <mergeCell ref="F33:G33"/>
    <mergeCell ref="H33:I33"/>
    <mergeCell ref="B10:I10"/>
    <mergeCell ref="L11:M11"/>
    <mergeCell ref="L10:M10"/>
    <mergeCell ref="J10:K10"/>
    <mergeCell ref="J12:K12"/>
    <mergeCell ref="H22:I22"/>
  </mergeCells>
  <dataValidations count="1">
    <dataValidation type="list" allowBlank="1" showInputMessage="1" showErrorMessage="1" sqref="L34:L39 JH34:JH39 TD34:TD39 ACZ34:ACZ39 AMV34:AMV39 AWR34:AWR39 BGN34:BGN39 BQJ34:BQJ39 CAF34:CAF39 CKB34:CKB39 CTX34:CTX39 DDT34:DDT39 DNP34:DNP39 DXL34:DXL39 EHH34:EHH39 ERD34:ERD39 FAZ34:FAZ39 FKV34:FKV39 FUR34:FUR39 GEN34:GEN39 GOJ34:GOJ39 GYF34:GYF39 HIB34:HIB39 HRX34:HRX39 IBT34:IBT39 ILP34:ILP39 IVL34:IVL39 JFH34:JFH39 JPD34:JPD39 JYZ34:JYZ39 KIV34:KIV39 KSR34:KSR39 LCN34:LCN39 LMJ34:LMJ39 LWF34:LWF39 MGB34:MGB39 MPX34:MPX39 MZT34:MZT39 NJP34:NJP39 NTL34:NTL39 ODH34:ODH39 OND34:OND39 OWZ34:OWZ39 PGV34:PGV39 PQR34:PQR39 QAN34:QAN39 QKJ34:QKJ39 QUF34:QUF39 REB34:REB39 RNX34:RNX39 RXT34:RXT39 SHP34:SHP39 SRL34:SRL39 TBH34:TBH39 TLD34:TLD39 TUZ34:TUZ39 UEV34:UEV39 UOR34:UOR39 UYN34:UYN39 VIJ34:VIJ39 VSF34:VSF39 WCB34:WCB39 WLX34:WLX39 WVT34:WVT39 L65570:L65575 JH65570:JH65575 TD65570:TD65575 ACZ65570:ACZ65575 AMV65570:AMV65575 AWR65570:AWR65575 BGN65570:BGN65575 BQJ65570:BQJ65575 CAF65570:CAF65575 CKB65570:CKB65575 CTX65570:CTX65575 DDT65570:DDT65575 DNP65570:DNP65575 DXL65570:DXL65575 EHH65570:EHH65575 ERD65570:ERD65575 FAZ65570:FAZ65575 FKV65570:FKV65575 FUR65570:FUR65575 GEN65570:GEN65575 GOJ65570:GOJ65575 GYF65570:GYF65575 HIB65570:HIB65575 HRX65570:HRX65575 IBT65570:IBT65575 ILP65570:ILP65575 IVL65570:IVL65575 JFH65570:JFH65575 JPD65570:JPD65575 JYZ65570:JYZ65575 KIV65570:KIV65575 KSR65570:KSR65575 LCN65570:LCN65575 LMJ65570:LMJ65575 LWF65570:LWF65575 MGB65570:MGB65575 MPX65570:MPX65575 MZT65570:MZT65575 NJP65570:NJP65575 NTL65570:NTL65575 ODH65570:ODH65575 OND65570:OND65575 OWZ65570:OWZ65575 PGV65570:PGV65575 PQR65570:PQR65575 QAN65570:QAN65575 QKJ65570:QKJ65575 QUF65570:QUF65575 REB65570:REB65575 RNX65570:RNX65575 RXT65570:RXT65575 SHP65570:SHP65575 SRL65570:SRL65575 TBH65570:TBH65575 TLD65570:TLD65575 TUZ65570:TUZ65575 UEV65570:UEV65575 UOR65570:UOR65575 UYN65570:UYN65575 VIJ65570:VIJ65575 VSF65570:VSF65575 WCB65570:WCB65575 WLX65570:WLX65575 WVT65570:WVT65575 L131106:L131111 JH131106:JH131111 TD131106:TD131111 ACZ131106:ACZ131111 AMV131106:AMV131111 AWR131106:AWR131111 BGN131106:BGN131111 BQJ131106:BQJ131111 CAF131106:CAF131111 CKB131106:CKB131111 CTX131106:CTX131111 DDT131106:DDT131111 DNP131106:DNP131111 DXL131106:DXL131111 EHH131106:EHH131111 ERD131106:ERD131111 FAZ131106:FAZ131111 FKV131106:FKV131111 FUR131106:FUR131111 GEN131106:GEN131111 GOJ131106:GOJ131111 GYF131106:GYF131111 HIB131106:HIB131111 HRX131106:HRX131111 IBT131106:IBT131111 ILP131106:ILP131111 IVL131106:IVL131111 JFH131106:JFH131111 JPD131106:JPD131111 JYZ131106:JYZ131111 KIV131106:KIV131111 KSR131106:KSR131111 LCN131106:LCN131111 LMJ131106:LMJ131111 LWF131106:LWF131111 MGB131106:MGB131111 MPX131106:MPX131111 MZT131106:MZT131111 NJP131106:NJP131111 NTL131106:NTL131111 ODH131106:ODH131111 OND131106:OND131111 OWZ131106:OWZ131111 PGV131106:PGV131111 PQR131106:PQR131111 QAN131106:QAN131111 QKJ131106:QKJ131111 QUF131106:QUF131111 REB131106:REB131111 RNX131106:RNX131111 RXT131106:RXT131111 SHP131106:SHP131111 SRL131106:SRL131111 TBH131106:TBH131111 TLD131106:TLD131111 TUZ131106:TUZ131111 UEV131106:UEV131111 UOR131106:UOR131111 UYN131106:UYN131111 VIJ131106:VIJ131111 VSF131106:VSF131111 WCB131106:WCB131111 WLX131106:WLX131111 WVT131106:WVT131111 L196642:L196647 JH196642:JH196647 TD196642:TD196647 ACZ196642:ACZ196647 AMV196642:AMV196647 AWR196642:AWR196647 BGN196642:BGN196647 BQJ196642:BQJ196647 CAF196642:CAF196647 CKB196642:CKB196647 CTX196642:CTX196647 DDT196642:DDT196647 DNP196642:DNP196647 DXL196642:DXL196647 EHH196642:EHH196647 ERD196642:ERD196647 FAZ196642:FAZ196647 FKV196642:FKV196647 FUR196642:FUR196647 GEN196642:GEN196647 GOJ196642:GOJ196647 GYF196642:GYF196647 HIB196642:HIB196647 HRX196642:HRX196647 IBT196642:IBT196647 ILP196642:ILP196647 IVL196642:IVL196647 JFH196642:JFH196647 JPD196642:JPD196647 JYZ196642:JYZ196647 KIV196642:KIV196647 KSR196642:KSR196647 LCN196642:LCN196647 LMJ196642:LMJ196647 LWF196642:LWF196647 MGB196642:MGB196647 MPX196642:MPX196647 MZT196642:MZT196647 NJP196642:NJP196647 NTL196642:NTL196647 ODH196642:ODH196647 OND196642:OND196647 OWZ196642:OWZ196647 PGV196642:PGV196647 PQR196642:PQR196647 QAN196642:QAN196647 QKJ196642:QKJ196647 QUF196642:QUF196647 REB196642:REB196647 RNX196642:RNX196647 RXT196642:RXT196647 SHP196642:SHP196647 SRL196642:SRL196647 TBH196642:TBH196647 TLD196642:TLD196647 TUZ196642:TUZ196647 UEV196642:UEV196647 UOR196642:UOR196647 UYN196642:UYN196647 VIJ196642:VIJ196647 VSF196642:VSF196647 WCB196642:WCB196647 WLX196642:WLX196647 WVT196642:WVT196647 L262178:L262183 JH262178:JH262183 TD262178:TD262183 ACZ262178:ACZ262183 AMV262178:AMV262183 AWR262178:AWR262183 BGN262178:BGN262183 BQJ262178:BQJ262183 CAF262178:CAF262183 CKB262178:CKB262183 CTX262178:CTX262183 DDT262178:DDT262183 DNP262178:DNP262183 DXL262178:DXL262183 EHH262178:EHH262183 ERD262178:ERD262183 FAZ262178:FAZ262183 FKV262178:FKV262183 FUR262178:FUR262183 GEN262178:GEN262183 GOJ262178:GOJ262183 GYF262178:GYF262183 HIB262178:HIB262183 HRX262178:HRX262183 IBT262178:IBT262183 ILP262178:ILP262183 IVL262178:IVL262183 JFH262178:JFH262183 JPD262178:JPD262183 JYZ262178:JYZ262183 KIV262178:KIV262183 KSR262178:KSR262183 LCN262178:LCN262183 LMJ262178:LMJ262183 LWF262178:LWF262183 MGB262178:MGB262183 MPX262178:MPX262183 MZT262178:MZT262183 NJP262178:NJP262183 NTL262178:NTL262183 ODH262178:ODH262183 OND262178:OND262183 OWZ262178:OWZ262183 PGV262178:PGV262183 PQR262178:PQR262183 QAN262178:QAN262183 QKJ262178:QKJ262183 QUF262178:QUF262183 REB262178:REB262183 RNX262178:RNX262183 RXT262178:RXT262183 SHP262178:SHP262183 SRL262178:SRL262183 TBH262178:TBH262183 TLD262178:TLD262183 TUZ262178:TUZ262183 UEV262178:UEV262183 UOR262178:UOR262183 UYN262178:UYN262183 VIJ262178:VIJ262183 VSF262178:VSF262183 WCB262178:WCB262183 WLX262178:WLX262183 WVT262178:WVT262183 L327714:L327719 JH327714:JH327719 TD327714:TD327719 ACZ327714:ACZ327719 AMV327714:AMV327719 AWR327714:AWR327719 BGN327714:BGN327719 BQJ327714:BQJ327719 CAF327714:CAF327719 CKB327714:CKB327719 CTX327714:CTX327719 DDT327714:DDT327719 DNP327714:DNP327719 DXL327714:DXL327719 EHH327714:EHH327719 ERD327714:ERD327719 FAZ327714:FAZ327719 FKV327714:FKV327719 FUR327714:FUR327719 GEN327714:GEN327719 GOJ327714:GOJ327719 GYF327714:GYF327719 HIB327714:HIB327719 HRX327714:HRX327719 IBT327714:IBT327719 ILP327714:ILP327719 IVL327714:IVL327719 JFH327714:JFH327719 JPD327714:JPD327719 JYZ327714:JYZ327719 KIV327714:KIV327719 KSR327714:KSR327719 LCN327714:LCN327719 LMJ327714:LMJ327719 LWF327714:LWF327719 MGB327714:MGB327719 MPX327714:MPX327719 MZT327714:MZT327719 NJP327714:NJP327719 NTL327714:NTL327719 ODH327714:ODH327719 OND327714:OND327719 OWZ327714:OWZ327719 PGV327714:PGV327719 PQR327714:PQR327719 QAN327714:QAN327719 QKJ327714:QKJ327719 QUF327714:QUF327719 REB327714:REB327719 RNX327714:RNX327719 RXT327714:RXT327719 SHP327714:SHP327719 SRL327714:SRL327719 TBH327714:TBH327719 TLD327714:TLD327719 TUZ327714:TUZ327719 UEV327714:UEV327719 UOR327714:UOR327719 UYN327714:UYN327719 VIJ327714:VIJ327719 VSF327714:VSF327719 WCB327714:WCB327719 WLX327714:WLX327719 WVT327714:WVT327719 L393250:L393255 JH393250:JH393255 TD393250:TD393255 ACZ393250:ACZ393255 AMV393250:AMV393255 AWR393250:AWR393255 BGN393250:BGN393255 BQJ393250:BQJ393255 CAF393250:CAF393255 CKB393250:CKB393255 CTX393250:CTX393255 DDT393250:DDT393255 DNP393250:DNP393255 DXL393250:DXL393255 EHH393250:EHH393255 ERD393250:ERD393255 FAZ393250:FAZ393255 FKV393250:FKV393255 FUR393250:FUR393255 GEN393250:GEN393255 GOJ393250:GOJ393255 GYF393250:GYF393255 HIB393250:HIB393255 HRX393250:HRX393255 IBT393250:IBT393255 ILP393250:ILP393255 IVL393250:IVL393255 JFH393250:JFH393255 JPD393250:JPD393255 JYZ393250:JYZ393255 KIV393250:KIV393255 KSR393250:KSR393255 LCN393250:LCN393255 LMJ393250:LMJ393255 LWF393250:LWF393255 MGB393250:MGB393255 MPX393250:MPX393255 MZT393250:MZT393255 NJP393250:NJP393255 NTL393250:NTL393255 ODH393250:ODH393255 OND393250:OND393255 OWZ393250:OWZ393255 PGV393250:PGV393255 PQR393250:PQR393255 QAN393250:QAN393255 QKJ393250:QKJ393255 QUF393250:QUF393255 REB393250:REB393255 RNX393250:RNX393255 RXT393250:RXT393255 SHP393250:SHP393255 SRL393250:SRL393255 TBH393250:TBH393255 TLD393250:TLD393255 TUZ393250:TUZ393255 UEV393250:UEV393255 UOR393250:UOR393255 UYN393250:UYN393255 VIJ393250:VIJ393255 VSF393250:VSF393255 WCB393250:WCB393255 WLX393250:WLX393255 WVT393250:WVT393255 L458786:L458791 JH458786:JH458791 TD458786:TD458791 ACZ458786:ACZ458791 AMV458786:AMV458791 AWR458786:AWR458791 BGN458786:BGN458791 BQJ458786:BQJ458791 CAF458786:CAF458791 CKB458786:CKB458791 CTX458786:CTX458791 DDT458786:DDT458791 DNP458786:DNP458791 DXL458786:DXL458791 EHH458786:EHH458791 ERD458786:ERD458791 FAZ458786:FAZ458791 FKV458786:FKV458791 FUR458786:FUR458791 GEN458786:GEN458791 GOJ458786:GOJ458791 GYF458786:GYF458791 HIB458786:HIB458791 HRX458786:HRX458791 IBT458786:IBT458791 ILP458786:ILP458791 IVL458786:IVL458791 JFH458786:JFH458791 JPD458786:JPD458791 JYZ458786:JYZ458791 KIV458786:KIV458791 KSR458786:KSR458791 LCN458786:LCN458791 LMJ458786:LMJ458791 LWF458786:LWF458791 MGB458786:MGB458791 MPX458786:MPX458791 MZT458786:MZT458791 NJP458786:NJP458791 NTL458786:NTL458791 ODH458786:ODH458791 OND458786:OND458791 OWZ458786:OWZ458791 PGV458786:PGV458791 PQR458786:PQR458791 QAN458786:QAN458791 QKJ458786:QKJ458791 QUF458786:QUF458791 REB458786:REB458791 RNX458786:RNX458791 RXT458786:RXT458791 SHP458786:SHP458791 SRL458786:SRL458791 TBH458786:TBH458791 TLD458786:TLD458791 TUZ458786:TUZ458791 UEV458786:UEV458791 UOR458786:UOR458791 UYN458786:UYN458791 VIJ458786:VIJ458791 VSF458786:VSF458791 WCB458786:WCB458791 WLX458786:WLX458791 WVT458786:WVT458791 L524322:L524327 JH524322:JH524327 TD524322:TD524327 ACZ524322:ACZ524327 AMV524322:AMV524327 AWR524322:AWR524327 BGN524322:BGN524327 BQJ524322:BQJ524327 CAF524322:CAF524327 CKB524322:CKB524327 CTX524322:CTX524327 DDT524322:DDT524327 DNP524322:DNP524327 DXL524322:DXL524327 EHH524322:EHH524327 ERD524322:ERD524327 FAZ524322:FAZ524327 FKV524322:FKV524327 FUR524322:FUR524327 GEN524322:GEN524327 GOJ524322:GOJ524327 GYF524322:GYF524327 HIB524322:HIB524327 HRX524322:HRX524327 IBT524322:IBT524327 ILP524322:ILP524327 IVL524322:IVL524327 JFH524322:JFH524327 JPD524322:JPD524327 JYZ524322:JYZ524327 KIV524322:KIV524327 KSR524322:KSR524327 LCN524322:LCN524327 LMJ524322:LMJ524327 LWF524322:LWF524327 MGB524322:MGB524327 MPX524322:MPX524327 MZT524322:MZT524327 NJP524322:NJP524327 NTL524322:NTL524327 ODH524322:ODH524327 OND524322:OND524327 OWZ524322:OWZ524327 PGV524322:PGV524327 PQR524322:PQR524327 QAN524322:QAN524327 QKJ524322:QKJ524327 QUF524322:QUF524327 REB524322:REB524327 RNX524322:RNX524327 RXT524322:RXT524327 SHP524322:SHP524327 SRL524322:SRL524327 TBH524322:TBH524327 TLD524322:TLD524327 TUZ524322:TUZ524327 UEV524322:UEV524327 UOR524322:UOR524327 UYN524322:UYN524327 VIJ524322:VIJ524327 VSF524322:VSF524327 WCB524322:WCB524327 WLX524322:WLX524327 WVT524322:WVT524327 L589858:L589863 JH589858:JH589863 TD589858:TD589863 ACZ589858:ACZ589863 AMV589858:AMV589863 AWR589858:AWR589863 BGN589858:BGN589863 BQJ589858:BQJ589863 CAF589858:CAF589863 CKB589858:CKB589863 CTX589858:CTX589863 DDT589858:DDT589863 DNP589858:DNP589863 DXL589858:DXL589863 EHH589858:EHH589863 ERD589858:ERD589863 FAZ589858:FAZ589863 FKV589858:FKV589863 FUR589858:FUR589863 GEN589858:GEN589863 GOJ589858:GOJ589863 GYF589858:GYF589863 HIB589858:HIB589863 HRX589858:HRX589863 IBT589858:IBT589863 ILP589858:ILP589863 IVL589858:IVL589863 JFH589858:JFH589863 JPD589858:JPD589863 JYZ589858:JYZ589863 KIV589858:KIV589863 KSR589858:KSR589863 LCN589858:LCN589863 LMJ589858:LMJ589863 LWF589858:LWF589863 MGB589858:MGB589863 MPX589858:MPX589863 MZT589858:MZT589863 NJP589858:NJP589863 NTL589858:NTL589863 ODH589858:ODH589863 OND589858:OND589863 OWZ589858:OWZ589863 PGV589858:PGV589863 PQR589858:PQR589863 QAN589858:QAN589863 QKJ589858:QKJ589863 QUF589858:QUF589863 REB589858:REB589863 RNX589858:RNX589863 RXT589858:RXT589863 SHP589858:SHP589863 SRL589858:SRL589863 TBH589858:TBH589863 TLD589858:TLD589863 TUZ589858:TUZ589863 UEV589858:UEV589863 UOR589858:UOR589863 UYN589858:UYN589863 VIJ589858:VIJ589863 VSF589858:VSF589863 WCB589858:WCB589863 WLX589858:WLX589863 WVT589858:WVT589863 L655394:L655399 JH655394:JH655399 TD655394:TD655399 ACZ655394:ACZ655399 AMV655394:AMV655399 AWR655394:AWR655399 BGN655394:BGN655399 BQJ655394:BQJ655399 CAF655394:CAF655399 CKB655394:CKB655399 CTX655394:CTX655399 DDT655394:DDT655399 DNP655394:DNP655399 DXL655394:DXL655399 EHH655394:EHH655399 ERD655394:ERD655399 FAZ655394:FAZ655399 FKV655394:FKV655399 FUR655394:FUR655399 GEN655394:GEN655399 GOJ655394:GOJ655399 GYF655394:GYF655399 HIB655394:HIB655399 HRX655394:HRX655399 IBT655394:IBT655399 ILP655394:ILP655399 IVL655394:IVL655399 JFH655394:JFH655399 JPD655394:JPD655399 JYZ655394:JYZ655399 KIV655394:KIV655399 KSR655394:KSR655399 LCN655394:LCN655399 LMJ655394:LMJ655399 LWF655394:LWF655399 MGB655394:MGB655399 MPX655394:MPX655399 MZT655394:MZT655399 NJP655394:NJP655399 NTL655394:NTL655399 ODH655394:ODH655399 OND655394:OND655399 OWZ655394:OWZ655399 PGV655394:PGV655399 PQR655394:PQR655399 QAN655394:QAN655399 QKJ655394:QKJ655399 QUF655394:QUF655399 REB655394:REB655399 RNX655394:RNX655399 RXT655394:RXT655399 SHP655394:SHP655399 SRL655394:SRL655399 TBH655394:TBH655399 TLD655394:TLD655399 TUZ655394:TUZ655399 UEV655394:UEV655399 UOR655394:UOR655399 UYN655394:UYN655399 VIJ655394:VIJ655399 VSF655394:VSF655399 WCB655394:WCB655399 WLX655394:WLX655399 WVT655394:WVT655399 L720930:L720935 JH720930:JH720935 TD720930:TD720935 ACZ720930:ACZ720935 AMV720930:AMV720935 AWR720930:AWR720935 BGN720930:BGN720935 BQJ720930:BQJ720935 CAF720930:CAF720935 CKB720930:CKB720935 CTX720930:CTX720935 DDT720930:DDT720935 DNP720930:DNP720935 DXL720930:DXL720935 EHH720930:EHH720935 ERD720930:ERD720935 FAZ720930:FAZ720935 FKV720930:FKV720935 FUR720930:FUR720935 GEN720930:GEN720935 GOJ720930:GOJ720935 GYF720930:GYF720935 HIB720930:HIB720935 HRX720930:HRX720935 IBT720930:IBT720935 ILP720930:ILP720935 IVL720930:IVL720935 JFH720930:JFH720935 JPD720930:JPD720935 JYZ720930:JYZ720935 KIV720930:KIV720935 KSR720930:KSR720935 LCN720930:LCN720935 LMJ720930:LMJ720935 LWF720930:LWF720935 MGB720930:MGB720935 MPX720930:MPX720935 MZT720930:MZT720935 NJP720930:NJP720935 NTL720930:NTL720935 ODH720930:ODH720935 OND720930:OND720935 OWZ720930:OWZ720935 PGV720930:PGV720935 PQR720930:PQR720935 QAN720930:QAN720935 QKJ720930:QKJ720935 QUF720930:QUF720935 REB720930:REB720935 RNX720930:RNX720935 RXT720930:RXT720935 SHP720930:SHP720935 SRL720930:SRL720935 TBH720930:TBH720935 TLD720930:TLD720935 TUZ720930:TUZ720935 UEV720930:UEV720935 UOR720930:UOR720935 UYN720930:UYN720935 VIJ720930:VIJ720935 VSF720930:VSF720935 WCB720930:WCB720935 WLX720930:WLX720935 WVT720930:WVT720935 L786466:L786471 JH786466:JH786471 TD786466:TD786471 ACZ786466:ACZ786471 AMV786466:AMV786471 AWR786466:AWR786471 BGN786466:BGN786471 BQJ786466:BQJ786471 CAF786466:CAF786471 CKB786466:CKB786471 CTX786466:CTX786471 DDT786466:DDT786471 DNP786466:DNP786471 DXL786466:DXL786471 EHH786466:EHH786471 ERD786466:ERD786471 FAZ786466:FAZ786471 FKV786466:FKV786471 FUR786466:FUR786471 GEN786466:GEN786471 GOJ786466:GOJ786471 GYF786466:GYF786471 HIB786466:HIB786471 HRX786466:HRX786471 IBT786466:IBT786471 ILP786466:ILP786471 IVL786466:IVL786471 JFH786466:JFH786471 JPD786466:JPD786471 JYZ786466:JYZ786471 KIV786466:KIV786471 KSR786466:KSR786471 LCN786466:LCN786471 LMJ786466:LMJ786471 LWF786466:LWF786471 MGB786466:MGB786471 MPX786466:MPX786471 MZT786466:MZT786471 NJP786466:NJP786471 NTL786466:NTL786471 ODH786466:ODH786471 OND786466:OND786471 OWZ786466:OWZ786471 PGV786466:PGV786471 PQR786466:PQR786471 QAN786466:QAN786471 QKJ786466:QKJ786471 QUF786466:QUF786471 REB786466:REB786471 RNX786466:RNX786471 RXT786466:RXT786471 SHP786466:SHP786471 SRL786466:SRL786471 TBH786466:TBH786471 TLD786466:TLD786471 TUZ786466:TUZ786471 UEV786466:UEV786471 UOR786466:UOR786471 UYN786466:UYN786471 VIJ786466:VIJ786471 VSF786466:VSF786471 WCB786466:WCB786471 WLX786466:WLX786471 WVT786466:WVT786471 L852002:L852007 JH852002:JH852007 TD852002:TD852007 ACZ852002:ACZ852007 AMV852002:AMV852007 AWR852002:AWR852007 BGN852002:BGN852007 BQJ852002:BQJ852007 CAF852002:CAF852007 CKB852002:CKB852007 CTX852002:CTX852007 DDT852002:DDT852007 DNP852002:DNP852007 DXL852002:DXL852007 EHH852002:EHH852007 ERD852002:ERD852007 FAZ852002:FAZ852007 FKV852002:FKV852007 FUR852002:FUR852007 GEN852002:GEN852007 GOJ852002:GOJ852007 GYF852002:GYF852007 HIB852002:HIB852007 HRX852002:HRX852007 IBT852002:IBT852007 ILP852002:ILP852007 IVL852002:IVL852007 JFH852002:JFH852007 JPD852002:JPD852007 JYZ852002:JYZ852007 KIV852002:KIV852007 KSR852002:KSR852007 LCN852002:LCN852007 LMJ852002:LMJ852007 LWF852002:LWF852007 MGB852002:MGB852007 MPX852002:MPX852007 MZT852002:MZT852007 NJP852002:NJP852007 NTL852002:NTL852007 ODH852002:ODH852007 OND852002:OND852007 OWZ852002:OWZ852007 PGV852002:PGV852007 PQR852002:PQR852007 QAN852002:QAN852007 QKJ852002:QKJ852007 QUF852002:QUF852007 REB852002:REB852007 RNX852002:RNX852007 RXT852002:RXT852007 SHP852002:SHP852007 SRL852002:SRL852007 TBH852002:TBH852007 TLD852002:TLD852007 TUZ852002:TUZ852007 UEV852002:UEV852007 UOR852002:UOR852007 UYN852002:UYN852007 VIJ852002:VIJ852007 VSF852002:VSF852007 WCB852002:WCB852007 WLX852002:WLX852007 WVT852002:WVT852007 L917538:L917543 JH917538:JH917543 TD917538:TD917543 ACZ917538:ACZ917543 AMV917538:AMV917543 AWR917538:AWR917543 BGN917538:BGN917543 BQJ917538:BQJ917543 CAF917538:CAF917543 CKB917538:CKB917543 CTX917538:CTX917543 DDT917538:DDT917543 DNP917538:DNP917543 DXL917538:DXL917543 EHH917538:EHH917543 ERD917538:ERD917543 FAZ917538:FAZ917543 FKV917538:FKV917543 FUR917538:FUR917543 GEN917538:GEN917543 GOJ917538:GOJ917543 GYF917538:GYF917543 HIB917538:HIB917543 HRX917538:HRX917543 IBT917538:IBT917543 ILP917538:ILP917543 IVL917538:IVL917543 JFH917538:JFH917543 JPD917538:JPD917543 JYZ917538:JYZ917543 KIV917538:KIV917543 KSR917538:KSR917543 LCN917538:LCN917543 LMJ917538:LMJ917543 LWF917538:LWF917543 MGB917538:MGB917543 MPX917538:MPX917543 MZT917538:MZT917543 NJP917538:NJP917543 NTL917538:NTL917543 ODH917538:ODH917543 OND917538:OND917543 OWZ917538:OWZ917543 PGV917538:PGV917543 PQR917538:PQR917543 QAN917538:QAN917543 QKJ917538:QKJ917543 QUF917538:QUF917543 REB917538:REB917543 RNX917538:RNX917543 RXT917538:RXT917543 SHP917538:SHP917543 SRL917538:SRL917543 TBH917538:TBH917543 TLD917538:TLD917543 TUZ917538:TUZ917543 UEV917538:UEV917543 UOR917538:UOR917543 UYN917538:UYN917543 VIJ917538:VIJ917543 VSF917538:VSF917543 WCB917538:WCB917543 WLX917538:WLX917543 WVT917538:WVT917543 L983074:L983079 JH983074:JH983079 TD983074:TD983079 ACZ983074:ACZ983079 AMV983074:AMV983079 AWR983074:AWR983079 BGN983074:BGN983079 BQJ983074:BQJ983079 CAF983074:CAF983079 CKB983074:CKB983079 CTX983074:CTX983079 DDT983074:DDT983079 DNP983074:DNP983079 DXL983074:DXL983079 EHH983074:EHH983079 ERD983074:ERD983079 FAZ983074:FAZ983079 FKV983074:FKV983079 FUR983074:FUR983079 GEN983074:GEN983079 GOJ983074:GOJ983079 GYF983074:GYF983079 HIB983074:HIB983079 HRX983074:HRX983079 IBT983074:IBT983079 ILP983074:ILP983079 IVL983074:IVL983079 JFH983074:JFH983079 JPD983074:JPD983079 JYZ983074:JYZ983079 KIV983074:KIV983079 KSR983074:KSR983079 LCN983074:LCN983079 LMJ983074:LMJ983079 LWF983074:LWF983079 MGB983074:MGB983079 MPX983074:MPX983079 MZT983074:MZT983079 NJP983074:NJP983079 NTL983074:NTL983079 ODH983074:ODH983079 OND983074:OND983079 OWZ983074:OWZ983079 PGV983074:PGV983079 PQR983074:PQR983079 QAN983074:QAN983079 QKJ983074:QKJ983079 QUF983074:QUF983079 REB983074:REB983079 RNX983074:RNX983079 RXT983074:RXT983079 SHP983074:SHP983079 SRL983074:SRL983079 TBH983074:TBH983079 TLD983074:TLD983079 TUZ983074:TUZ983079 UEV983074:UEV983079 UOR983074:UOR983079 UYN983074:UYN983079 VIJ983074:VIJ983079 VSF983074:VSF983079 WCB983074:WCB983079 WLX983074:WLX983079 WVT983074:WVT983079 K34:K36 JG34:JG36 TC34:TC36 ACY34:ACY36 AMU34:AMU36 AWQ34:AWQ36 BGM34:BGM36 BQI34:BQI36 CAE34:CAE36 CKA34:CKA36 CTW34:CTW36 DDS34:DDS36 DNO34:DNO36 DXK34:DXK36 EHG34:EHG36 ERC34:ERC36 FAY34:FAY36 FKU34:FKU36 FUQ34:FUQ36 GEM34:GEM36 GOI34:GOI36 GYE34:GYE36 HIA34:HIA36 HRW34:HRW36 IBS34:IBS36 ILO34:ILO36 IVK34:IVK36 JFG34:JFG36 JPC34:JPC36 JYY34:JYY36 KIU34:KIU36 KSQ34:KSQ36 LCM34:LCM36 LMI34:LMI36 LWE34:LWE36 MGA34:MGA36 MPW34:MPW36 MZS34:MZS36 NJO34:NJO36 NTK34:NTK36 ODG34:ODG36 ONC34:ONC36 OWY34:OWY36 PGU34:PGU36 PQQ34:PQQ36 QAM34:QAM36 QKI34:QKI36 QUE34:QUE36 REA34:REA36 RNW34:RNW36 RXS34:RXS36 SHO34:SHO36 SRK34:SRK36 TBG34:TBG36 TLC34:TLC36 TUY34:TUY36 UEU34:UEU36 UOQ34:UOQ36 UYM34:UYM36 VII34:VII36 VSE34:VSE36 WCA34:WCA36 WLW34:WLW36 WVS34:WVS36 K65570:K65572 JG65570:JG65572 TC65570:TC65572 ACY65570:ACY65572 AMU65570:AMU65572 AWQ65570:AWQ65572 BGM65570:BGM65572 BQI65570:BQI65572 CAE65570:CAE65572 CKA65570:CKA65572 CTW65570:CTW65572 DDS65570:DDS65572 DNO65570:DNO65572 DXK65570:DXK65572 EHG65570:EHG65572 ERC65570:ERC65572 FAY65570:FAY65572 FKU65570:FKU65572 FUQ65570:FUQ65572 GEM65570:GEM65572 GOI65570:GOI65572 GYE65570:GYE65572 HIA65570:HIA65572 HRW65570:HRW65572 IBS65570:IBS65572 ILO65570:ILO65572 IVK65570:IVK65572 JFG65570:JFG65572 JPC65570:JPC65572 JYY65570:JYY65572 KIU65570:KIU65572 KSQ65570:KSQ65572 LCM65570:LCM65572 LMI65570:LMI65572 LWE65570:LWE65572 MGA65570:MGA65572 MPW65570:MPW65572 MZS65570:MZS65572 NJO65570:NJO65572 NTK65570:NTK65572 ODG65570:ODG65572 ONC65570:ONC65572 OWY65570:OWY65572 PGU65570:PGU65572 PQQ65570:PQQ65572 QAM65570:QAM65572 QKI65570:QKI65572 QUE65570:QUE65572 REA65570:REA65572 RNW65570:RNW65572 RXS65570:RXS65572 SHO65570:SHO65572 SRK65570:SRK65572 TBG65570:TBG65572 TLC65570:TLC65572 TUY65570:TUY65572 UEU65570:UEU65572 UOQ65570:UOQ65572 UYM65570:UYM65572 VII65570:VII65572 VSE65570:VSE65572 WCA65570:WCA65572 WLW65570:WLW65572 WVS65570:WVS65572 K131106:K131108 JG131106:JG131108 TC131106:TC131108 ACY131106:ACY131108 AMU131106:AMU131108 AWQ131106:AWQ131108 BGM131106:BGM131108 BQI131106:BQI131108 CAE131106:CAE131108 CKA131106:CKA131108 CTW131106:CTW131108 DDS131106:DDS131108 DNO131106:DNO131108 DXK131106:DXK131108 EHG131106:EHG131108 ERC131106:ERC131108 FAY131106:FAY131108 FKU131106:FKU131108 FUQ131106:FUQ131108 GEM131106:GEM131108 GOI131106:GOI131108 GYE131106:GYE131108 HIA131106:HIA131108 HRW131106:HRW131108 IBS131106:IBS131108 ILO131106:ILO131108 IVK131106:IVK131108 JFG131106:JFG131108 JPC131106:JPC131108 JYY131106:JYY131108 KIU131106:KIU131108 KSQ131106:KSQ131108 LCM131106:LCM131108 LMI131106:LMI131108 LWE131106:LWE131108 MGA131106:MGA131108 MPW131106:MPW131108 MZS131106:MZS131108 NJO131106:NJO131108 NTK131106:NTK131108 ODG131106:ODG131108 ONC131106:ONC131108 OWY131106:OWY131108 PGU131106:PGU131108 PQQ131106:PQQ131108 QAM131106:QAM131108 QKI131106:QKI131108 QUE131106:QUE131108 REA131106:REA131108 RNW131106:RNW131108 RXS131106:RXS131108 SHO131106:SHO131108 SRK131106:SRK131108 TBG131106:TBG131108 TLC131106:TLC131108 TUY131106:TUY131108 UEU131106:UEU131108 UOQ131106:UOQ131108 UYM131106:UYM131108 VII131106:VII131108 VSE131106:VSE131108 WCA131106:WCA131108 WLW131106:WLW131108 WVS131106:WVS131108 K196642:K196644 JG196642:JG196644 TC196642:TC196644 ACY196642:ACY196644 AMU196642:AMU196644 AWQ196642:AWQ196644 BGM196642:BGM196644 BQI196642:BQI196644 CAE196642:CAE196644 CKA196642:CKA196644 CTW196642:CTW196644 DDS196642:DDS196644 DNO196642:DNO196644 DXK196642:DXK196644 EHG196642:EHG196644 ERC196642:ERC196644 FAY196642:FAY196644 FKU196642:FKU196644 FUQ196642:FUQ196644 GEM196642:GEM196644 GOI196642:GOI196644 GYE196642:GYE196644 HIA196642:HIA196644 HRW196642:HRW196644 IBS196642:IBS196644 ILO196642:ILO196644 IVK196642:IVK196644 JFG196642:JFG196644 JPC196642:JPC196644 JYY196642:JYY196644 KIU196642:KIU196644 KSQ196642:KSQ196644 LCM196642:LCM196644 LMI196642:LMI196644 LWE196642:LWE196644 MGA196642:MGA196644 MPW196642:MPW196644 MZS196642:MZS196644 NJO196642:NJO196644 NTK196642:NTK196644 ODG196642:ODG196644 ONC196642:ONC196644 OWY196642:OWY196644 PGU196642:PGU196644 PQQ196642:PQQ196644 QAM196642:QAM196644 QKI196642:QKI196644 QUE196642:QUE196644 REA196642:REA196644 RNW196642:RNW196644 RXS196642:RXS196644 SHO196642:SHO196644 SRK196642:SRK196644 TBG196642:TBG196644 TLC196642:TLC196644 TUY196642:TUY196644 UEU196642:UEU196644 UOQ196642:UOQ196644 UYM196642:UYM196644 VII196642:VII196644 VSE196642:VSE196644 WCA196642:WCA196644 WLW196642:WLW196644 WVS196642:WVS196644 K262178:K262180 JG262178:JG262180 TC262178:TC262180 ACY262178:ACY262180 AMU262178:AMU262180 AWQ262178:AWQ262180 BGM262178:BGM262180 BQI262178:BQI262180 CAE262178:CAE262180 CKA262178:CKA262180 CTW262178:CTW262180 DDS262178:DDS262180 DNO262178:DNO262180 DXK262178:DXK262180 EHG262178:EHG262180 ERC262178:ERC262180 FAY262178:FAY262180 FKU262178:FKU262180 FUQ262178:FUQ262180 GEM262178:GEM262180 GOI262178:GOI262180 GYE262178:GYE262180 HIA262178:HIA262180 HRW262178:HRW262180 IBS262178:IBS262180 ILO262178:ILO262180 IVK262178:IVK262180 JFG262178:JFG262180 JPC262178:JPC262180 JYY262178:JYY262180 KIU262178:KIU262180 KSQ262178:KSQ262180 LCM262178:LCM262180 LMI262178:LMI262180 LWE262178:LWE262180 MGA262178:MGA262180 MPW262178:MPW262180 MZS262178:MZS262180 NJO262178:NJO262180 NTK262178:NTK262180 ODG262178:ODG262180 ONC262178:ONC262180 OWY262178:OWY262180 PGU262178:PGU262180 PQQ262178:PQQ262180 QAM262178:QAM262180 QKI262178:QKI262180 QUE262178:QUE262180 REA262178:REA262180 RNW262178:RNW262180 RXS262178:RXS262180 SHO262178:SHO262180 SRK262178:SRK262180 TBG262178:TBG262180 TLC262178:TLC262180 TUY262178:TUY262180 UEU262178:UEU262180 UOQ262178:UOQ262180 UYM262178:UYM262180 VII262178:VII262180 VSE262178:VSE262180 WCA262178:WCA262180 WLW262178:WLW262180 WVS262178:WVS262180 K327714:K327716 JG327714:JG327716 TC327714:TC327716 ACY327714:ACY327716 AMU327714:AMU327716 AWQ327714:AWQ327716 BGM327714:BGM327716 BQI327714:BQI327716 CAE327714:CAE327716 CKA327714:CKA327716 CTW327714:CTW327716 DDS327714:DDS327716 DNO327714:DNO327716 DXK327714:DXK327716 EHG327714:EHG327716 ERC327714:ERC327716 FAY327714:FAY327716 FKU327714:FKU327716 FUQ327714:FUQ327716 GEM327714:GEM327716 GOI327714:GOI327716 GYE327714:GYE327716 HIA327714:HIA327716 HRW327714:HRW327716 IBS327714:IBS327716 ILO327714:ILO327716 IVK327714:IVK327716 JFG327714:JFG327716 JPC327714:JPC327716 JYY327714:JYY327716 KIU327714:KIU327716 KSQ327714:KSQ327716 LCM327714:LCM327716 LMI327714:LMI327716 LWE327714:LWE327716 MGA327714:MGA327716 MPW327714:MPW327716 MZS327714:MZS327716 NJO327714:NJO327716 NTK327714:NTK327716 ODG327714:ODG327716 ONC327714:ONC327716 OWY327714:OWY327716 PGU327714:PGU327716 PQQ327714:PQQ327716 QAM327714:QAM327716 QKI327714:QKI327716 QUE327714:QUE327716 REA327714:REA327716 RNW327714:RNW327716 RXS327714:RXS327716 SHO327714:SHO327716 SRK327714:SRK327716 TBG327714:TBG327716 TLC327714:TLC327716 TUY327714:TUY327716 UEU327714:UEU327716 UOQ327714:UOQ327716 UYM327714:UYM327716 VII327714:VII327716 VSE327714:VSE327716 WCA327714:WCA327716 WLW327714:WLW327716 WVS327714:WVS327716 K393250:K393252 JG393250:JG393252 TC393250:TC393252 ACY393250:ACY393252 AMU393250:AMU393252 AWQ393250:AWQ393252 BGM393250:BGM393252 BQI393250:BQI393252 CAE393250:CAE393252 CKA393250:CKA393252 CTW393250:CTW393252 DDS393250:DDS393252 DNO393250:DNO393252 DXK393250:DXK393252 EHG393250:EHG393252 ERC393250:ERC393252 FAY393250:FAY393252 FKU393250:FKU393252 FUQ393250:FUQ393252 GEM393250:GEM393252 GOI393250:GOI393252 GYE393250:GYE393252 HIA393250:HIA393252 HRW393250:HRW393252 IBS393250:IBS393252 ILO393250:ILO393252 IVK393250:IVK393252 JFG393250:JFG393252 JPC393250:JPC393252 JYY393250:JYY393252 KIU393250:KIU393252 KSQ393250:KSQ393252 LCM393250:LCM393252 LMI393250:LMI393252 LWE393250:LWE393252 MGA393250:MGA393252 MPW393250:MPW393252 MZS393250:MZS393252 NJO393250:NJO393252 NTK393250:NTK393252 ODG393250:ODG393252 ONC393250:ONC393252 OWY393250:OWY393252 PGU393250:PGU393252 PQQ393250:PQQ393252 QAM393250:QAM393252 QKI393250:QKI393252 QUE393250:QUE393252 REA393250:REA393252 RNW393250:RNW393252 RXS393250:RXS393252 SHO393250:SHO393252 SRK393250:SRK393252 TBG393250:TBG393252 TLC393250:TLC393252 TUY393250:TUY393252 UEU393250:UEU393252 UOQ393250:UOQ393252 UYM393250:UYM393252 VII393250:VII393252 VSE393250:VSE393252 WCA393250:WCA393252 WLW393250:WLW393252 WVS393250:WVS393252 K458786:K458788 JG458786:JG458788 TC458786:TC458788 ACY458786:ACY458788 AMU458786:AMU458788 AWQ458786:AWQ458788 BGM458786:BGM458788 BQI458786:BQI458788 CAE458786:CAE458788 CKA458786:CKA458788 CTW458786:CTW458788 DDS458786:DDS458788 DNO458786:DNO458788 DXK458786:DXK458788 EHG458786:EHG458788 ERC458786:ERC458788 FAY458786:FAY458788 FKU458786:FKU458788 FUQ458786:FUQ458788 GEM458786:GEM458788 GOI458786:GOI458788 GYE458786:GYE458788 HIA458786:HIA458788 HRW458786:HRW458788 IBS458786:IBS458788 ILO458786:ILO458788 IVK458786:IVK458788 JFG458786:JFG458788 JPC458786:JPC458788 JYY458786:JYY458788 KIU458786:KIU458788 KSQ458786:KSQ458788 LCM458786:LCM458788 LMI458786:LMI458788 LWE458786:LWE458788 MGA458786:MGA458788 MPW458786:MPW458788 MZS458786:MZS458788 NJO458786:NJO458788 NTK458786:NTK458788 ODG458786:ODG458788 ONC458786:ONC458788 OWY458786:OWY458788 PGU458786:PGU458788 PQQ458786:PQQ458788 QAM458786:QAM458788 QKI458786:QKI458788 QUE458786:QUE458788 REA458786:REA458788 RNW458786:RNW458788 RXS458786:RXS458788 SHO458786:SHO458788 SRK458786:SRK458788 TBG458786:TBG458788 TLC458786:TLC458788 TUY458786:TUY458788 UEU458786:UEU458788 UOQ458786:UOQ458788 UYM458786:UYM458788 VII458786:VII458788 VSE458786:VSE458788 WCA458786:WCA458788 WLW458786:WLW458788 WVS458786:WVS458788 K524322:K524324 JG524322:JG524324 TC524322:TC524324 ACY524322:ACY524324 AMU524322:AMU524324 AWQ524322:AWQ524324 BGM524322:BGM524324 BQI524322:BQI524324 CAE524322:CAE524324 CKA524322:CKA524324 CTW524322:CTW524324 DDS524322:DDS524324 DNO524322:DNO524324 DXK524322:DXK524324 EHG524322:EHG524324 ERC524322:ERC524324 FAY524322:FAY524324 FKU524322:FKU524324 FUQ524322:FUQ524324 GEM524322:GEM524324 GOI524322:GOI524324 GYE524322:GYE524324 HIA524322:HIA524324 HRW524322:HRW524324 IBS524322:IBS524324 ILO524322:ILO524324 IVK524322:IVK524324 JFG524322:JFG524324 JPC524322:JPC524324 JYY524322:JYY524324 KIU524322:KIU524324 KSQ524322:KSQ524324 LCM524322:LCM524324 LMI524322:LMI524324 LWE524322:LWE524324 MGA524322:MGA524324 MPW524322:MPW524324 MZS524322:MZS524324 NJO524322:NJO524324 NTK524322:NTK524324 ODG524322:ODG524324 ONC524322:ONC524324 OWY524322:OWY524324 PGU524322:PGU524324 PQQ524322:PQQ524324 QAM524322:QAM524324 QKI524322:QKI524324 QUE524322:QUE524324 REA524322:REA524324 RNW524322:RNW524324 RXS524322:RXS524324 SHO524322:SHO524324 SRK524322:SRK524324 TBG524322:TBG524324 TLC524322:TLC524324 TUY524322:TUY524324 UEU524322:UEU524324 UOQ524322:UOQ524324 UYM524322:UYM524324 VII524322:VII524324 VSE524322:VSE524324 WCA524322:WCA524324 WLW524322:WLW524324 WVS524322:WVS524324 K589858:K589860 JG589858:JG589860 TC589858:TC589860 ACY589858:ACY589860 AMU589858:AMU589860 AWQ589858:AWQ589860 BGM589858:BGM589860 BQI589858:BQI589860 CAE589858:CAE589860 CKA589858:CKA589860 CTW589858:CTW589860 DDS589858:DDS589860 DNO589858:DNO589860 DXK589858:DXK589860 EHG589858:EHG589860 ERC589858:ERC589860 FAY589858:FAY589860 FKU589858:FKU589860 FUQ589858:FUQ589860 GEM589858:GEM589860 GOI589858:GOI589860 GYE589858:GYE589860 HIA589858:HIA589860 HRW589858:HRW589860 IBS589858:IBS589860 ILO589858:ILO589860 IVK589858:IVK589860 JFG589858:JFG589860 JPC589858:JPC589860 JYY589858:JYY589860 KIU589858:KIU589860 KSQ589858:KSQ589860 LCM589858:LCM589860 LMI589858:LMI589860 LWE589858:LWE589860 MGA589858:MGA589860 MPW589858:MPW589860 MZS589858:MZS589860 NJO589858:NJO589860 NTK589858:NTK589860 ODG589858:ODG589860 ONC589858:ONC589860 OWY589858:OWY589860 PGU589858:PGU589860 PQQ589858:PQQ589860 QAM589858:QAM589860 QKI589858:QKI589860 QUE589858:QUE589860 REA589858:REA589860 RNW589858:RNW589860 RXS589858:RXS589860 SHO589858:SHO589860 SRK589858:SRK589860 TBG589858:TBG589860 TLC589858:TLC589860 TUY589858:TUY589860 UEU589858:UEU589860 UOQ589858:UOQ589860 UYM589858:UYM589860 VII589858:VII589860 VSE589858:VSE589860 WCA589858:WCA589860 WLW589858:WLW589860 WVS589858:WVS589860 K655394:K655396 JG655394:JG655396 TC655394:TC655396 ACY655394:ACY655396 AMU655394:AMU655396 AWQ655394:AWQ655396 BGM655394:BGM655396 BQI655394:BQI655396 CAE655394:CAE655396 CKA655394:CKA655396 CTW655394:CTW655396 DDS655394:DDS655396 DNO655394:DNO655396 DXK655394:DXK655396 EHG655394:EHG655396 ERC655394:ERC655396 FAY655394:FAY655396 FKU655394:FKU655396 FUQ655394:FUQ655396 GEM655394:GEM655396 GOI655394:GOI655396 GYE655394:GYE655396 HIA655394:HIA655396 HRW655394:HRW655396 IBS655394:IBS655396 ILO655394:ILO655396 IVK655394:IVK655396 JFG655394:JFG655396 JPC655394:JPC655396 JYY655394:JYY655396 KIU655394:KIU655396 KSQ655394:KSQ655396 LCM655394:LCM655396 LMI655394:LMI655396 LWE655394:LWE655396 MGA655394:MGA655396 MPW655394:MPW655396 MZS655394:MZS655396 NJO655394:NJO655396 NTK655394:NTK655396 ODG655394:ODG655396 ONC655394:ONC655396 OWY655394:OWY655396 PGU655394:PGU655396 PQQ655394:PQQ655396 QAM655394:QAM655396 QKI655394:QKI655396 QUE655394:QUE655396 REA655394:REA655396 RNW655394:RNW655396 RXS655394:RXS655396 SHO655394:SHO655396 SRK655394:SRK655396 TBG655394:TBG655396 TLC655394:TLC655396 TUY655394:TUY655396 UEU655394:UEU655396 UOQ655394:UOQ655396 UYM655394:UYM655396 VII655394:VII655396 VSE655394:VSE655396 WCA655394:WCA655396 WLW655394:WLW655396 WVS655394:WVS655396 K720930:K720932 JG720930:JG720932 TC720930:TC720932 ACY720930:ACY720932 AMU720930:AMU720932 AWQ720930:AWQ720932 BGM720930:BGM720932 BQI720930:BQI720932 CAE720930:CAE720932 CKA720930:CKA720932 CTW720930:CTW720932 DDS720930:DDS720932 DNO720930:DNO720932 DXK720930:DXK720932 EHG720930:EHG720932 ERC720930:ERC720932 FAY720930:FAY720932 FKU720930:FKU720932 FUQ720930:FUQ720932 GEM720930:GEM720932 GOI720930:GOI720932 GYE720930:GYE720932 HIA720930:HIA720932 HRW720930:HRW720932 IBS720930:IBS720932 ILO720930:ILO720932 IVK720930:IVK720932 JFG720930:JFG720932 JPC720930:JPC720932 JYY720930:JYY720932 KIU720930:KIU720932 KSQ720930:KSQ720932 LCM720930:LCM720932 LMI720930:LMI720932 LWE720930:LWE720932 MGA720930:MGA720932 MPW720930:MPW720932 MZS720930:MZS720932 NJO720930:NJO720932 NTK720930:NTK720932 ODG720930:ODG720932 ONC720930:ONC720932 OWY720930:OWY720932 PGU720930:PGU720932 PQQ720930:PQQ720932 QAM720930:QAM720932 QKI720930:QKI720932 QUE720930:QUE720932 REA720930:REA720932 RNW720930:RNW720932 RXS720930:RXS720932 SHO720930:SHO720932 SRK720930:SRK720932 TBG720930:TBG720932 TLC720930:TLC720932 TUY720930:TUY720932 UEU720930:UEU720932 UOQ720930:UOQ720932 UYM720930:UYM720932 VII720930:VII720932 VSE720930:VSE720932 WCA720930:WCA720932 WLW720930:WLW720932 WVS720930:WVS720932 K786466:K786468 JG786466:JG786468 TC786466:TC786468 ACY786466:ACY786468 AMU786466:AMU786468 AWQ786466:AWQ786468 BGM786466:BGM786468 BQI786466:BQI786468 CAE786466:CAE786468 CKA786466:CKA786468 CTW786466:CTW786468 DDS786466:DDS786468 DNO786466:DNO786468 DXK786466:DXK786468 EHG786466:EHG786468 ERC786466:ERC786468 FAY786466:FAY786468 FKU786466:FKU786468 FUQ786466:FUQ786468 GEM786466:GEM786468 GOI786466:GOI786468 GYE786466:GYE786468 HIA786466:HIA786468 HRW786466:HRW786468 IBS786466:IBS786468 ILO786466:ILO786468 IVK786466:IVK786468 JFG786466:JFG786468 JPC786466:JPC786468 JYY786466:JYY786468 KIU786466:KIU786468 KSQ786466:KSQ786468 LCM786466:LCM786468 LMI786466:LMI786468 LWE786466:LWE786468 MGA786466:MGA786468 MPW786466:MPW786468 MZS786466:MZS786468 NJO786466:NJO786468 NTK786466:NTK786468 ODG786466:ODG786468 ONC786466:ONC786468 OWY786466:OWY786468 PGU786466:PGU786468 PQQ786466:PQQ786468 QAM786466:QAM786468 QKI786466:QKI786468 QUE786466:QUE786468 REA786466:REA786468 RNW786466:RNW786468 RXS786466:RXS786468 SHO786466:SHO786468 SRK786466:SRK786468 TBG786466:TBG786468 TLC786466:TLC786468 TUY786466:TUY786468 UEU786466:UEU786468 UOQ786466:UOQ786468 UYM786466:UYM786468 VII786466:VII786468 VSE786466:VSE786468 WCA786466:WCA786468 WLW786466:WLW786468 WVS786466:WVS786468 K852002:K852004 JG852002:JG852004 TC852002:TC852004 ACY852002:ACY852004 AMU852002:AMU852004 AWQ852002:AWQ852004 BGM852002:BGM852004 BQI852002:BQI852004 CAE852002:CAE852004 CKA852002:CKA852004 CTW852002:CTW852004 DDS852002:DDS852004 DNO852002:DNO852004 DXK852002:DXK852004 EHG852002:EHG852004 ERC852002:ERC852004 FAY852002:FAY852004 FKU852002:FKU852004 FUQ852002:FUQ852004 GEM852002:GEM852004 GOI852002:GOI852004 GYE852002:GYE852004 HIA852002:HIA852004 HRW852002:HRW852004 IBS852002:IBS852004 ILO852002:ILO852004 IVK852002:IVK852004 JFG852002:JFG852004 JPC852002:JPC852004 JYY852002:JYY852004 KIU852002:KIU852004 KSQ852002:KSQ852004 LCM852002:LCM852004 LMI852002:LMI852004 LWE852002:LWE852004 MGA852002:MGA852004 MPW852002:MPW852004 MZS852002:MZS852004 NJO852002:NJO852004 NTK852002:NTK852004 ODG852002:ODG852004 ONC852002:ONC852004 OWY852002:OWY852004 PGU852002:PGU852004 PQQ852002:PQQ852004 QAM852002:QAM852004 QKI852002:QKI852004 QUE852002:QUE852004 REA852002:REA852004 RNW852002:RNW852004 RXS852002:RXS852004 SHO852002:SHO852004 SRK852002:SRK852004 TBG852002:TBG852004 TLC852002:TLC852004 TUY852002:TUY852004 UEU852002:UEU852004 UOQ852002:UOQ852004 UYM852002:UYM852004 VII852002:VII852004 VSE852002:VSE852004 WCA852002:WCA852004 WLW852002:WLW852004 WVS852002:WVS852004 K917538:K917540 JG917538:JG917540 TC917538:TC917540 ACY917538:ACY917540 AMU917538:AMU917540 AWQ917538:AWQ917540 BGM917538:BGM917540 BQI917538:BQI917540 CAE917538:CAE917540 CKA917538:CKA917540 CTW917538:CTW917540 DDS917538:DDS917540 DNO917538:DNO917540 DXK917538:DXK917540 EHG917538:EHG917540 ERC917538:ERC917540 FAY917538:FAY917540 FKU917538:FKU917540 FUQ917538:FUQ917540 GEM917538:GEM917540 GOI917538:GOI917540 GYE917538:GYE917540 HIA917538:HIA917540 HRW917538:HRW917540 IBS917538:IBS917540 ILO917538:ILO917540 IVK917538:IVK917540 JFG917538:JFG917540 JPC917538:JPC917540 JYY917538:JYY917540 KIU917538:KIU917540 KSQ917538:KSQ917540 LCM917538:LCM917540 LMI917538:LMI917540 LWE917538:LWE917540 MGA917538:MGA917540 MPW917538:MPW917540 MZS917538:MZS917540 NJO917538:NJO917540 NTK917538:NTK917540 ODG917538:ODG917540 ONC917538:ONC917540 OWY917538:OWY917540 PGU917538:PGU917540 PQQ917538:PQQ917540 QAM917538:QAM917540 QKI917538:QKI917540 QUE917538:QUE917540 REA917538:REA917540 RNW917538:RNW917540 RXS917538:RXS917540 SHO917538:SHO917540 SRK917538:SRK917540 TBG917538:TBG917540 TLC917538:TLC917540 TUY917538:TUY917540 UEU917538:UEU917540 UOQ917538:UOQ917540 UYM917538:UYM917540 VII917538:VII917540 VSE917538:VSE917540 WCA917538:WCA917540 WLW917538:WLW917540 WVS917538:WVS917540 K983074:K983076 JG983074:JG983076 TC983074:TC983076 ACY983074:ACY983076 AMU983074:AMU983076 AWQ983074:AWQ983076 BGM983074:BGM983076 BQI983074:BQI983076 CAE983074:CAE983076 CKA983074:CKA983076 CTW983074:CTW983076 DDS983074:DDS983076 DNO983074:DNO983076 DXK983074:DXK983076 EHG983074:EHG983076 ERC983074:ERC983076 FAY983074:FAY983076 FKU983074:FKU983076 FUQ983074:FUQ983076 GEM983074:GEM983076 GOI983074:GOI983076 GYE983074:GYE983076 HIA983074:HIA983076 HRW983074:HRW983076 IBS983074:IBS983076 ILO983074:ILO983076 IVK983074:IVK983076 JFG983074:JFG983076 JPC983074:JPC983076 JYY983074:JYY983076 KIU983074:KIU983076 KSQ983074:KSQ983076 LCM983074:LCM983076 LMI983074:LMI983076 LWE983074:LWE983076 MGA983074:MGA983076 MPW983074:MPW983076 MZS983074:MZS983076 NJO983074:NJO983076 NTK983074:NTK983076 ODG983074:ODG983076 ONC983074:ONC983076 OWY983074:OWY983076 PGU983074:PGU983076 PQQ983074:PQQ983076 QAM983074:QAM983076 QKI983074:QKI983076 QUE983074:QUE983076 REA983074:REA983076 RNW983074:RNW983076 RXS983074:RXS983076 SHO983074:SHO983076 SRK983074:SRK983076 TBG983074:TBG983076 TLC983074:TLC983076 TUY983074:TUY983076 UEU983074:UEU983076 UOQ983074:UOQ983076 UYM983074:UYM983076 VII983074:VII983076 VSE983074:VSE983076 WCA983074:WCA983076 WLW983074:WLW983076 WVS983074:WVS983076 K23 JG23 TC23 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K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K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K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K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K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K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K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K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K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K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K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K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K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K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K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K26:L30 JG26:JH30 TC26:TD30 ACY26:ACZ30 AMU26:AMV30 AWQ26:AWR30 BGM26:BGN30 BQI26:BQJ30 CAE26:CAF30 CKA26:CKB30 CTW26:CTX30 DDS26:DDT30 DNO26:DNP30 DXK26:DXL30 EHG26:EHH30 ERC26:ERD30 FAY26:FAZ30 FKU26:FKV30 FUQ26:FUR30 GEM26:GEN30 GOI26:GOJ30 GYE26:GYF30 HIA26:HIB30 HRW26:HRX30 IBS26:IBT30 ILO26:ILP30 IVK26:IVL30 JFG26:JFH30 JPC26:JPD30 JYY26:JYZ30 KIU26:KIV30 KSQ26:KSR30 LCM26:LCN30 LMI26:LMJ30 LWE26:LWF30 MGA26:MGB30 MPW26:MPX30 MZS26:MZT30 NJO26:NJP30 NTK26:NTL30 ODG26:ODH30 ONC26:OND30 OWY26:OWZ30 PGU26:PGV30 PQQ26:PQR30 QAM26:QAN30 QKI26:QKJ30 QUE26:QUF30 REA26:REB30 RNW26:RNX30 RXS26:RXT30 SHO26:SHP30 SRK26:SRL30 TBG26:TBH30 TLC26:TLD30 TUY26:TUZ30 UEU26:UEV30 UOQ26:UOR30 UYM26:UYN30 VII26:VIJ30 VSE26:VSF30 WCA26:WCB30 WLW26:WLX30 WVS26:WVT30 K65562:L65566 JG65562:JH65566 TC65562:TD65566 ACY65562:ACZ65566 AMU65562:AMV65566 AWQ65562:AWR65566 BGM65562:BGN65566 BQI65562:BQJ65566 CAE65562:CAF65566 CKA65562:CKB65566 CTW65562:CTX65566 DDS65562:DDT65566 DNO65562:DNP65566 DXK65562:DXL65566 EHG65562:EHH65566 ERC65562:ERD65566 FAY65562:FAZ65566 FKU65562:FKV65566 FUQ65562:FUR65566 GEM65562:GEN65566 GOI65562:GOJ65566 GYE65562:GYF65566 HIA65562:HIB65566 HRW65562:HRX65566 IBS65562:IBT65566 ILO65562:ILP65566 IVK65562:IVL65566 JFG65562:JFH65566 JPC65562:JPD65566 JYY65562:JYZ65566 KIU65562:KIV65566 KSQ65562:KSR65566 LCM65562:LCN65566 LMI65562:LMJ65566 LWE65562:LWF65566 MGA65562:MGB65566 MPW65562:MPX65566 MZS65562:MZT65566 NJO65562:NJP65566 NTK65562:NTL65566 ODG65562:ODH65566 ONC65562:OND65566 OWY65562:OWZ65566 PGU65562:PGV65566 PQQ65562:PQR65566 QAM65562:QAN65566 QKI65562:QKJ65566 QUE65562:QUF65566 REA65562:REB65566 RNW65562:RNX65566 RXS65562:RXT65566 SHO65562:SHP65566 SRK65562:SRL65566 TBG65562:TBH65566 TLC65562:TLD65566 TUY65562:TUZ65566 UEU65562:UEV65566 UOQ65562:UOR65566 UYM65562:UYN65566 VII65562:VIJ65566 VSE65562:VSF65566 WCA65562:WCB65566 WLW65562:WLX65566 WVS65562:WVT65566 K131098:L131102 JG131098:JH131102 TC131098:TD131102 ACY131098:ACZ131102 AMU131098:AMV131102 AWQ131098:AWR131102 BGM131098:BGN131102 BQI131098:BQJ131102 CAE131098:CAF131102 CKA131098:CKB131102 CTW131098:CTX131102 DDS131098:DDT131102 DNO131098:DNP131102 DXK131098:DXL131102 EHG131098:EHH131102 ERC131098:ERD131102 FAY131098:FAZ131102 FKU131098:FKV131102 FUQ131098:FUR131102 GEM131098:GEN131102 GOI131098:GOJ131102 GYE131098:GYF131102 HIA131098:HIB131102 HRW131098:HRX131102 IBS131098:IBT131102 ILO131098:ILP131102 IVK131098:IVL131102 JFG131098:JFH131102 JPC131098:JPD131102 JYY131098:JYZ131102 KIU131098:KIV131102 KSQ131098:KSR131102 LCM131098:LCN131102 LMI131098:LMJ131102 LWE131098:LWF131102 MGA131098:MGB131102 MPW131098:MPX131102 MZS131098:MZT131102 NJO131098:NJP131102 NTK131098:NTL131102 ODG131098:ODH131102 ONC131098:OND131102 OWY131098:OWZ131102 PGU131098:PGV131102 PQQ131098:PQR131102 QAM131098:QAN131102 QKI131098:QKJ131102 QUE131098:QUF131102 REA131098:REB131102 RNW131098:RNX131102 RXS131098:RXT131102 SHO131098:SHP131102 SRK131098:SRL131102 TBG131098:TBH131102 TLC131098:TLD131102 TUY131098:TUZ131102 UEU131098:UEV131102 UOQ131098:UOR131102 UYM131098:UYN131102 VII131098:VIJ131102 VSE131098:VSF131102 WCA131098:WCB131102 WLW131098:WLX131102 WVS131098:WVT131102 K196634:L196638 JG196634:JH196638 TC196634:TD196638 ACY196634:ACZ196638 AMU196634:AMV196638 AWQ196634:AWR196638 BGM196634:BGN196638 BQI196634:BQJ196638 CAE196634:CAF196638 CKA196634:CKB196638 CTW196634:CTX196638 DDS196634:DDT196638 DNO196634:DNP196638 DXK196634:DXL196638 EHG196634:EHH196638 ERC196634:ERD196638 FAY196634:FAZ196638 FKU196634:FKV196638 FUQ196634:FUR196638 GEM196634:GEN196638 GOI196634:GOJ196638 GYE196634:GYF196638 HIA196634:HIB196638 HRW196634:HRX196638 IBS196634:IBT196638 ILO196634:ILP196638 IVK196634:IVL196638 JFG196634:JFH196638 JPC196634:JPD196638 JYY196634:JYZ196638 KIU196634:KIV196638 KSQ196634:KSR196638 LCM196634:LCN196638 LMI196634:LMJ196638 LWE196634:LWF196638 MGA196634:MGB196638 MPW196634:MPX196638 MZS196634:MZT196638 NJO196634:NJP196638 NTK196634:NTL196638 ODG196634:ODH196638 ONC196634:OND196638 OWY196634:OWZ196638 PGU196634:PGV196638 PQQ196634:PQR196638 QAM196634:QAN196638 QKI196634:QKJ196638 QUE196634:QUF196638 REA196634:REB196638 RNW196634:RNX196638 RXS196634:RXT196638 SHO196634:SHP196638 SRK196634:SRL196638 TBG196634:TBH196638 TLC196634:TLD196638 TUY196634:TUZ196638 UEU196634:UEV196638 UOQ196634:UOR196638 UYM196634:UYN196638 VII196634:VIJ196638 VSE196634:VSF196638 WCA196634:WCB196638 WLW196634:WLX196638 WVS196634:WVT196638 K262170:L262174 JG262170:JH262174 TC262170:TD262174 ACY262170:ACZ262174 AMU262170:AMV262174 AWQ262170:AWR262174 BGM262170:BGN262174 BQI262170:BQJ262174 CAE262170:CAF262174 CKA262170:CKB262174 CTW262170:CTX262174 DDS262170:DDT262174 DNO262170:DNP262174 DXK262170:DXL262174 EHG262170:EHH262174 ERC262170:ERD262174 FAY262170:FAZ262174 FKU262170:FKV262174 FUQ262170:FUR262174 GEM262170:GEN262174 GOI262170:GOJ262174 GYE262170:GYF262174 HIA262170:HIB262174 HRW262170:HRX262174 IBS262170:IBT262174 ILO262170:ILP262174 IVK262170:IVL262174 JFG262170:JFH262174 JPC262170:JPD262174 JYY262170:JYZ262174 KIU262170:KIV262174 KSQ262170:KSR262174 LCM262170:LCN262174 LMI262170:LMJ262174 LWE262170:LWF262174 MGA262170:MGB262174 MPW262170:MPX262174 MZS262170:MZT262174 NJO262170:NJP262174 NTK262170:NTL262174 ODG262170:ODH262174 ONC262170:OND262174 OWY262170:OWZ262174 PGU262170:PGV262174 PQQ262170:PQR262174 QAM262170:QAN262174 QKI262170:QKJ262174 QUE262170:QUF262174 REA262170:REB262174 RNW262170:RNX262174 RXS262170:RXT262174 SHO262170:SHP262174 SRK262170:SRL262174 TBG262170:TBH262174 TLC262170:TLD262174 TUY262170:TUZ262174 UEU262170:UEV262174 UOQ262170:UOR262174 UYM262170:UYN262174 VII262170:VIJ262174 VSE262170:VSF262174 WCA262170:WCB262174 WLW262170:WLX262174 WVS262170:WVT262174 K327706:L327710 JG327706:JH327710 TC327706:TD327710 ACY327706:ACZ327710 AMU327706:AMV327710 AWQ327706:AWR327710 BGM327706:BGN327710 BQI327706:BQJ327710 CAE327706:CAF327710 CKA327706:CKB327710 CTW327706:CTX327710 DDS327706:DDT327710 DNO327706:DNP327710 DXK327706:DXL327710 EHG327706:EHH327710 ERC327706:ERD327710 FAY327706:FAZ327710 FKU327706:FKV327710 FUQ327706:FUR327710 GEM327706:GEN327710 GOI327706:GOJ327710 GYE327706:GYF327710 HIA327706:HIB327710 HRW327706:HRX327710 IBS327706:IBT327710 ILO327706:ILP327710 IVK327706:IVL327710 JFG327706:JFH327710 JPC327706:JPD327710 JYY327706:JYZ327710 KIU327706:KIV327710 KSQ327706:KSR327710 LCM327706:LCN327710 LMI327706:LMJ327710 LWE327706:LWF327710 MGA327706:MGB327710 MPW327706:MPX327710 MZS327706:MZT327710 NJO327706:NJP327710 NTK327706:NTL327710 ODG327706:ODH327710 ONC327706:OND327710 OWY327706:OWZ327710 PGU327706:PGV327710 PQQ327706:PQR327710 QAM327706:QAN327710 QKI327706:QKJ327710 QUE327706:QUF327710 REA327706:REB327710 RNW327706:RNX327710 RXS327706:RXT327710 SHO327706:SHP327710 SRK327706:SRL327710 TBG327706:TBH327710 TLC327706:TLD327710 TUY327706:TUZ327710 UEU327706:UEV327710 UOQ327706:UOR327710 UYM327706:UYN327710 VII327706:VIJ327710 VSE327706:VSF327710 WCA327706:WCB327710 WLW327706:WLX327710 WVS327706:WVT327710 K393242:L393246 JG393242:JH393246 TC393242:TD393246 ACY393242:ACZ393246 AMU393242:AMV393246 AWQ393242:AWR393246 BGM393242:BGN393246 BQI393242:BQJ393246 CAE393242:CAF393246 CKA393242:CKB393246 CTW393242:CTX393246 DDS393242:DDT393246 DNO393242:DNP393246 DXK393242:DXL393246 EHG393242:EHH393246 ERC393242:ERD393246 FAY393242:FAZ393246 FKU393242:FKV393246 FUQ393242:FUR393246 GEM393242:GEN393246 GOI393242:GOJ393246 GYE393242:GYF393246 HIA393242:HIB393246 HRW393242:HRX393246 IBS393242:IBT393246 ILO393242:ILP393246 IVK393242:IVL393246 JFG393242:JFH393246 JPC393242:JPD393246 JYY393242:JYZ393246 KIU393242:KIV393246 KSQ393242:KSR393246 LCM393242:LCN393246 LMI393242:LMJ393246 LWE393242:LWF393246 MGA393242:MGB393246 MPW393242:MPX393246 MZS393242:MZT393246 NJO393242:NJP393246 NTK393242:NTL393246 ODG393242:ODH393246 ONC393242:OND393246 OWY393242:OWZ393246 PGU393242:PGV393246 PQQ393242:PQR393246 QAM393242:QAN393246 QKI393242:QKJ393246 QUE393242:QUF393246 REA393242:REB393246 RNW393242:RNX393246 RXS393242:RXT393246 SHO393242:SHP393246 SRK393242:SRL393246 TBG393242:TBH393246 TLC393242:TLD393246 TUY393242:TUZ393246 UEU393242:UEV393246 UOQ393242:UOR393246 UYM393242:UYN393246 VII393242:VIJ393246 VSE393242:VSF393246 WCA393242:WCB393246 WLW393242:WLX393246 WVS393242:WVT393246 K458778:L458782 JG458778:JH458782 TC458778:TD458782 ACY458778:ACZ458782 AMU458778:AMV458782 AWQ458778:AWR458782 BGM458778:BGN458782 BQI458778:BQJ458782 CAE458778:CAF458782 CKA458778:CKB458782 CTW458778:CTX458782 DDS458778:DDT458782 DNO458778:DNP458782 DXK458778:DXL458782 EHG458778:EHH458782 ERC458778:ERD458782 FAY458778:FAZ458782 FKU458778:FKV458782 FUQ458778:FUR458782 GEM458778:GEN458782 GOI458778:GOJ458782 GYE458778:GYF458782 HIA458778:HIB458782 HRW458778:HRX458782 IBS458778:IBT458782 ILO458778:ILP458782 IVK458778:IVL458782 JFG458778:JFH458782 JPC458778:JPD458782 JYY458778:JYZ458782 KIU458778:KIV458782 KSQ458778:KSR458782 LCM458778:LCN458782 LMI458778:LMJ458782 LWE458778:LWF458782 MGA458778:MGB458782 MPW458778:MPX458782 MZS458778:MZT458782 NJO458778:NJP458782 NTK458778:NTL458782 ODG458778:ODH458782 ONC458778:OND458782 OWY458778:OWZ458782 PGU458778:PGV458782 PQQ458778:PQR458782 QAM458778:QAN458782 QKI458778:QKJ458782 QUE458778:QUF458782 REA458778:REB458782 RNW458778:RNX458782 RXS458778:RXT458782 SHO458778:SHP458782 SRK458778:SRL458782 TBG458778:TBH458782 TLC458778:TLD458782 TUY458778:TUZ458782 UEU458778:UEV458782 UOQ458778:UOR458782 UYM458778:UYN458782 VII458778:VIJ458782 VSE458778:VSF458782 WCA458778:WCB458782 WLW458778:WLX458782 WVS458778:WVT458782 K524314:L524318 JG524314:JH524318 TC524314:TD524318 ACY524314:ACZ524318 AMU524314:AMV524318 AWQ524314:AWR524318 BGM524314:BGN524318 BQI524314:BQJ524318 CAE524314:CAF524318 CKA524314:CKB524318 CTW524314:CTX524318 DDS524314:DDT524318 DNO524314:DNP524318 DXK524314:DXL524318 EHG524314:EHH524318 ERC524314:ERD524318 FAY524314:FAZ524318 FKU524314:FKV524318 FUQ524314:FUR524318 GEM524314:GEN524318 GOI524314:GOJ524318 GYE524314:GYF524318 HIA524314:HIB524318 HRW524314:HRX524318 IBS524314:IBT524318 ILO524314:ILP524318 IVK524314:IVL524318 JFG524314:JFH524318 JPC524314:JPD524318 JYY524314:JYZ524318 KIU524314:KIV524318 KSQ524314:KSR524318 LCM524314:LCN524318 LMI524314:LMJ524318 LWE524314:LWF524318 MGA524314:MGB524318 MPW524314:MPX524318 MZS524314:MZT524318 NJO524314:NJP524318 NTK524314:NTL524318 ODG524314:ODH524318 ONC524314:OND524318 OWY524314:OWZ524318 PGU524314:PGV524318 PQQ524314:PQR524318 QAM524314:QAN524318 QKI524314:QKJ524318 QUE524314:QUF524318 REA524314:REB524318 RNW524314:RNX524318 RXS524314:RXT524318 SHO524314:SHP524318 SRK524314:SRL524318 TBG524314:TBH524318 TLC524314:TLD524318 TUY524314:TUZ524318 UEU524314:UEV524318 UOQ524314:UOR524318 UYM524314:UYN524318 VII524314:VIJ524318 VSE524314:VSF524318 WCA524314:WCB524318 WLW524314:WLX524318 WVS524314:WVT524318 K589850:L589854 JG589850:JH589854 TC589850:TD589854 ACY589850:ACZ589854 AMU589850:AMV589854 AWQ589850:AWR589854 BGM589850:BGN589854 BQI589850:BQJ589854 CAE589850:CAF589854 CKA589850:CKB589854 CTW589850:CTX589854 DDS589850:DDT589854 DNO589850:DNP589854 DXK589850:DXL589854 EHG589850:EHH589854 ERC589850:ERD589854 FAY589850:FAZ589854 FKU589850:FKV589854 FUQ589850:FUR589854 GEM589850:GEN589854 GOI589850:GOJ589854 GYE589850:GYF589854 HIA589850:HIB589854 HRW589850:HRX589854 IBS589850:IBT589854 ILO589850:ILP589854 IVK589850:IVL589854 JFG589850:JFH589854 JPC589850:JPD589854 JYY589850:JYZ589854 KIU589850:KIV589854 KSQ589850:KSR589854 LCM589850:LCN589854 LMI589850:LMJ589854 LWE589850:LWF589854 MGA589850:MGB589854 MPW589850:MPX589854 MZS589850:MZT589854 NJO589850:NJP589854 NTK589850:NTL589854 ODG589850:ODH589854 ONC589850:OND589854 OWY589850:OWZ589854 PGU589850:PGV589854 PQQ589850:PQR589854 QAM589850:QAN589854 QKI589850:QKJ589854 QUE589850:QUF589854 REA589850:REB589854 RNW589850:RNX589854 RXS589850:RXT589854 SHO589850:SHP589854 SRK589850:SRL589854 TBG589850:TBH589854 TLC589850:TLD589854 TUY589850:TUZ589854 UEU589850:UEV589854 UOQ589850:UOR589854 UYM589850:UYN589854 VII589850:VIJ589854 VSE589850:VSF589854 WCA589850:WCB589854 WLW589850:WLX589854 WVS589850:WVT589854 K655386:L655390 JG655386:JH655390 TC655386:TD655390 ACY655386:ACZ655390 AMU655386:AMV655390 AWQ655386:AWR655390 BGM655386:BGN655390 BQI655386:BQJ655390 CAE655386:CAF655390 CKA655386:CKB655390 CTW655386:CTX655390 DDS655386:DDT655390 DNO655386:DNP655390 DXK655386:DXL655390 EHG655386:EHH655390 ERC655386:ERD655390 FAY655386:FAZ655390 FKU655386:FKV655390 FUQ655386:FUR655390 GEM655386:GEN655390 GOI655386:GOJ655390 GYE655386:GYF655390 HIA655386:HIB655390 HRW655386:HRX655390 IBS655386:IBT655390 ILO655386:ILP655390 IVK655386:IVL655390 JFG655386:JFH655390 JPC655386:JPD655390 JYY655386:JYZ655390 KIU655386:KIV655390 KSQ655386:KSR655390 LCM655386:LCN655390 LMI655386:LMJ655390 LWE655386:LWF655390 MGA655386:MGB655390 MPW655386:MPX655390 MZS655386:MZT655390 NJO655386:NJP655390 NTK655386:NTL655390 ODG655386:ODH655390 ONC655386:OND655390 OWY655386:OWZ655390 PGU655386:PGV655390 PQQ655386:PQR655390 QAM655386:QAN655390 QKI655386:QKJ655390 QUE655386:QUF655390 REA655386:REB655390 RNW655386:RNX655390 RXS655386:RXT655390 SHO655386:SHP655390 SRK655386:SRL655390 TBG655386:TBH655390 TLC655386:TLD655390 TUY655386:TUZ655390 UEU655386:UEV655390 UOQ655386:UOR655390 UYM655386:UYN655390 VII655386:VIJ655390 VSE655386:VSF655390 WCA655386:WCB655390 WLW655386:WLX655390 WVS655386:WVT655390 K720922:L720926 JG720922:JH720926 TC720922:TD720926 ACY720922:ACZ720926 AMU720922:AMV720926 AWQ720922:AWR720926 BGM720922:BGN720926 BQI720922:BQJ720926 CAE720922:CAF720926 CKA720922:CKB720926 CTW720922:CTX720926 DDS720922:DDT720926 DNO720922:DNP720926 DXK720922:DXL720926 EHG720922:EHH720926 ERC720922:ERD720926 FAY720922:FAZ720926 FKU720922:FKV720926 FUQ720922:FUR720926 GEM720922:GEN720926 GOI720922:GOJ720926 GYE720922:GYF720926 HIA720922:HIB720926 HRW720922:HRX720926 IBS720922:IBT720926 ILO720922:ILP720926 IVK720922:IVL720926 JFG720922:JFH720926 JPC720922:JPD720926 JYY720922:JYZ720926 KIU720922:KIV720926 KSQ720922:KSR720926 LCM720922:LCN720926 LMI720922:LMJ720926 LWE720922:LWF720926 MGA720922:MGB720926 MPW720922:MPX720926 MZS720922:MZT720926 NJO720922:NJP720926 NTK720922:NTL720926 ODG720922:ODH720926 ONC720922:OND720926 OWY720922:OWZ720926 PGU720922:PGV720926 PQQ720922:PQR720926 QAM720922:QAN720926 QKI720922:QKJ720926 QUE720922:QUF720926 REA720922:REB720926 RNW720922:RNX720926 RXS720922:RXT720926 SHO720922:SHP720926 SRK720922:SRL720926 TBG720922:TBH720926 TLC720922:TLD720926 TUY720922:TUZ720926 UEU720922:UEV720926 UOQ720922:UOR720926 UYM720922:UYN720926 VII720922:VIJ720926 VSE720922:VSF720926 WCA720922:WCB720926 WLW720922:WLX720926 WVS720922:WVT720926 K786458:L786462 JG786458:JH786462 TC786458:TD786462 ACY786458:ACZ786462 AMU786458:AMV786462 AWQ786458:AWR786462 BGM786458:BGN786462 BQI786458:BQJ786462 CAE786458:CAF786462 CKA786458:CKB786462 CTW786458:CTX786462 DDS786458:DDT786462 DNO786458:DNP786462 DXK786458:DXL786462 EHG786458:EHH786462 ERC786458:ERD786462 FAY786458:FAZ786462 FKU786458:FKV786462 FUQ786458:FUR786462 GEM786458:GEN786462 GOI786458:GOJ786462 GYE786458:GYF786462 HIA786458:HIB786462 HRW786458:HRX786462 IBS786458:IBT786462 ILO786458:ILP786462 IVK786458:IVL786462 JFG786458:JFH786462 JPC786458:JPD786462 JYY786458:JYZ786462 KIU786458:KIV786462 KSQ786458:KSR786462 LCM786458:LCN786462 LMI786458:LMJ786462 LWE786458:LWF786462 MGA786458:MGB786462 MPW786458:MPX786462 MZS786458:MZT786462 NJO786458:NJP786462 NTK786458:NTL786462 ODG786458:ODH786462 ONC786458:OND786462 OWY786458:OWZ786462 PGU786458:PGV786462 PQQ786458:PQR786462 QAM786458:QAN786462 QKI786458:QKJ786462 QUE786458:QUF786462 REA786458:REB786462 RNW786458:RNX786462 RXS786458:RXT786462 SHO786458:SHP786462 SRK786458:SRL786462 TBG786458:TBH786462 TLC786458:TLD786462 TUY786458:TUZ786462 UEU786458:UEV786462 UOQ786458:UOR786462 UYM786458:UYN786462 VII786458:VIJ786462 VSE786458:VSF786462 WCA786458:WCB786462 WLW786458:WLX786462 WVS786458:WVT786462 K851994:L851998 JG851994:JH851998 TC851994:TD851998 ACY851994:ACZ851998 AMU851994:AMV851998 AWQ851994:AWR851998 BGM851994:BGN851998 BQI851994:BQJ851998 CAE851994:CAF851998 CKA851994:CKB851998 CTW851994:CTX851998 DDS851994:DDT851998 DNO851994:DNP851998 DXK851994:DXL851998 EHG851994:EHH851998 ERC851994:ERD851998 FAY851994:FAZ851998 FKU851994:FKV851998 FUQ851994:FUR851998 GEM851994:GEN851998 GOI851994:GOJ851998 GYE851994:GYF851998 HIA851994:HIB851998 HRW851994:HRX851998 IBS851994:IBT851998 ILO851994:ILP851998 IVK851994:IVL851998 JFG851994:JFH851998 JPC851994:JPD851998 JYY851994:JYZ851998 KIU851994:KIV851998 KSQ851994:KSR851998 LCM851994:LCN851998 LMI851994:LMJ851998 LWE851994:LWF851998 MGA851994:MGB851998 MPW851994:MPX851998 MZS851994:MZT851998 NJO851994:NJP851998 NTK851994:NTL851998 ODG851994:ODH851998 ONC851994:OND851998 OWY851994:OWZ851998 PGU851994:PGV851998 PQQ851994:PQR851998 QAM851994:QAN851998 QKI851994:QKJ851998 QUE851994:QUF851998 REA851994:REB851998 RNW851994:RNX851998 RXS851994:RXT851998 SHO851994:SHP851998 SRK851994:SRL851998 TBG851994:TBH851998 TLC851994:TLD851998 TUY851994:TUZ851998 UEU851994:UEV851998 UOQ851994:UOR851998 UYM851994:UYN851998 VII851994:VIJ851998 VSE851994:VSF851998 WCA851994:WCB851998 WLW851994:WLX851998 WVS851994:WVT851998 K917530:L917534 JG917530:JH917534 TC917530:TD917534 ACY917530:ACZ917534 AMU917530:AMV917534 AWQ917530:AWR917534 BGM917530:BGN917534 BQI917530:BQJ917534 CAE917530:CAF917534 CKA917530:CKB917534 CTW917530:CTX917534 DDS917530:DDT917534 DNO917530:DNP917534 DXK917530:DXL917534 EHG917530:EHH917534 ERC917530:ERD917534 FAY917530:FAZ917534 FKU917530:FKV917534 FUQ917530:FUR917534 GEM917530:GEN917534 GOI917530:GOJ917534 GYE917530:GYF917534 HIA917530:HIB917534 HRW917530:HRX917534 IBS917530:IBT917534 ILO917530:ILP917534 IVK917530:IVL917534 JFG917530:JFH917534 JPC917530:JPD917534 JYY917530:JYZ917534 KIU917530:KIV917534 KSQ917530:KSR917534 LCM917530:LCN917534 LMI917530:LMJ917534 LWE917530:LWF917534 MGA917530:MGB917534 MPW917530:MPX917534 MZS917530:MZT917534 NJO917530:NJP917534 NTK917530:NTL917534 ODG917530:ODH917534 ONC917530:OND917534 OWY917530:OWZ917534 PGU917530:PGV917534 PQQ917530:PQR917534 QAM917530:QAN917534 QKI917530:QKJ917534 QUE917530:QUF917534 REA917530:REB917534 RNW917530:RNX917534 RXS917530:RXT917534 SHO917530:SHP917534 SRK917530:SRL917534 TBG917530:TBH917534 TLC917530:TLD917534 TUY917530:TUZ917534 UEU917530:UEV917534 UOQ917530:UOR917534 UYM917530:UYN917534 VII917530:VIJ917534 VSE917530:VSF917534 WCA917530:WCB917534 WLW917530:WLX917534 WVS917530:WVT917534 K983066:L983070 JG983066:JH983070 TC983066:TD983070 ACY983066:ACZ983070 AMU983066:AMV983070 AWQ983066:AWR983070 BGM983066:BGN983070 BQI983066:BQJ983070 CAE983066:CAF983070 CKA983066:CKB983070 CTW983066:CTX983070 DDS983066:DDT983070 DNO983066:DNP983070 DXK983066:DXL983070 EHG983066:EHH983070 ERC983066:ERD983070 FAY983066:FAZ983070 FKU983066:FKV983070 FUQ983066:FUR983070 GEM983066:GEN983070 GOI983066:GOJ983070 GYE983066:GYF983070 HIA983066:HIB983070 HRW983066:HRX983070 IBS983066:IBT983070 ILO983066:ILP983070 IVK983066:IVL983070 JFG983066:JFH983070 JPC983066:JPD983070 JYY983066:JYZ983070 KIU983066:KIV983070 KSQ983066:KSR983070 LCM983066:LCN983070 LMI983066:LMJ983070 LWE983066:LWF983070 MGA983066:MGB983070 MPW983066:MPX983070 MZS983066:MZT983070 NJO983066:NJP983070 NTK983066:NTL983070 ODG983066:ODH983070 ONC983066:OND983070 OWY983066:OWZ983070 PGU983066:PGV983070 PQQ983066:PQR983070 QAM983066:QAN983070 QKI983066:QKJ983070 QUE983066:QUF983070 REA983066:REB983070 RNW983066:RNX983070 RXS983066:RXT983070 SHO983066:SHP983070 SRK983066:SRL983070 TBG983066:TBH983070 TLC983066:TLD983070 TUY983066:TUZ983070 UEU983066:UEV983070 UOQ983066:UOR983070 UYM983066:UYN983070 VII983066:VIJ983070 VSE983066:VSF983070 WCA983066:WCB983070 WLW983066:WLX983070 WVS983066:WVT983070">
      <formula1>"Yes,No,NA"</formula1>
    </dataValidation>
  </dataValidations>
  <hyperlinks>
    <hyperlink ref="A1" location="'Table Of Contents'!A1" display="TOC"/>
  </hyperlinks>
  <pageMargins left="0.75" right="0.75" top="1" bottom="1" header="0.5" footer="0.5"/>
  <pageSetup scale="49" fitToHeight="0" orientation="portrait" r:id="rId1"/>
  <headerFooter alignWithMargins="0">
    <oddFooter>Page &amp;P of &amp;N</oddFooter>
  </headerFooter>
  <rowBreaks count="1" manualBreakCount="1">
    <brk id="32" min="1" max="12"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9FF99"/>
    <pageSetUpPr fitToPage="1"/>
  </sheetPr>
  <dimension ref="A1:BH188"/>
  <sheetViews>
    <sheetView showGridLines="0" view="pageBreakPreview" topLeftCell="A31" zoomScale="90" zoomScaleNormal="100" zoomScaleSheetLayoutView="90" workbookViewId="0">
      <selection activeCell="B32" sqref="B32:E32"/>
    </sheetView>
  </sheetViews>
  <sheetFormatPr defaultRowHeight="12.75"/>
  <cols>
    <col min="1" max="1" width="9.140625" style="1430" customWidth="1"/>
    <col min="2" max="2" width="20" style="1324" customWidth="1"/>
    <col min="3" max="3" width="16.85546875" style="1324" customWidth="1"/>
    <col min="4" max="5" width="15.140625" style="1324" customWidth="1"/>
    <col min="6" max="6" width="29.140625" style="1324" customWidth="1"/>
    <col min="7" max="7" width="10.7109375" style="1324" customWidth="1"/>
    <col min="8" max="8" width="5.7109375" style="1324" customWidth="1"/>
    <col min="9" max="9" width="11" style="1324" customWidth="1"/>
    <col min="10" max="10" width="24.42578125" style="1324" customWidth="1"/>
    <col min="11" max="11" width="9.140625" style="1430"/>
    <col min="12" max="12" width="19.42578125" style="1324" customWidth="1"/>
    <col min="13" max="13" width="29" style="1324" customWidth="1"/>
    <col min="14" max="14" width="9.140625" style="1324" hidden="1" customWidth="1"/>
    <col min="15" max="16384" width="9.140625" style="1324"/>
  </cols>
  <sheetData>
    <row r="1" spans="1:60" ht="26.25" customHeight="1">
      <c r="A1" s="1534" t="s">
        <v>1408</v>
      </c>
      <c r="B1" s="1138"/>
      <c r="C1" s="1137"/>
      <c r="D1" s="1138"/>
      <c r="E1" s="1138"/>
      <c r="F1" s="1140"/>
      <c r="G1" s="1138"/>
      <c r="H1" s="795"/>
      <c r="I1" s="795"/>
      <c r="J1" s="795"/>
      <c r="K1" s="1324"/>
    </row>
    <row r="2" spans="1:60" ht="26.25" customHeight="1">
      <c r="A2" s="1324"/>
      <c r="B2" s="1138"/>
      <c r="C2" s="1137" t="str">
        <f>'1.1 - APPLIANCES'!C2</f>
        <v>MULTIFAMILY PERFORMANCE PROGRAM</v>
      </c>
      <c r="D2" s="1138"/>
      <c r="E2" s="1138"/>
      <c r="F2" s="1140"/>
      <c r="G2" s="1138"/>
      <c r="H2" s="795"/>
      <c r="I2" s="795"/>
      <c r="J2" s="795"/>
      <c r="K2" s="1324"/>
    </row>
    <row r="3" spans="1:60" ht="26.25" customHeight="1">
      <c r="A3" s="1324"/>
      <c r="B3" s="1138"/>
      <c r="C3" s="1139" t="s">
        <v>368</v>
      </c>
      <c r="D3" s="1139">
        <f>'Project Info'!C3</f>
        <v>0</v>
      </c>
      <c r="E3" s="1138"/>
      <c r="F3" s="1140"/>
      <c r="G3" s="1138"/>
      <c r="H3" s="795"/>
      <c r="I3" s="795"/>
      <c r="J3" s="795"/>
      <c r="K3" s="1324"/>
    </row>
    <row r="4" spans="1:60" ht="26.25" customHeight="1">
      <c r="B4" s="1138"/>
      <c r="C4" s="1139"/>
      <c r="D4" s="1139"/>
      <c r="E4" s="1138"/>
      <c r="F4" s="1140"/>
      <c r="G4" s="1138"/>
      <c r="H4" s="795"/>
      <c r="I4" s="795"/>
      <c r="J4" s="795"/>
    </row>
    <row r="5" spans="1:60" s="1532" customFormat="1" ht="15.75">
      <c r="A5" s="1533"/>
      <c r="B5" s="1141" t="s">
        <v>1706</v>
      </c>
      <c r="C5" s="1142"/>
      <c r="D5" s="1142"/>
      <c r="E5" s="1143"/>
      <c r="F5" s="1214"/>
      <c r="G5" s="1214"/>
      <c r="H5" s="2723" t="s">
        <v>1411</v>
      </c>
      <c r="I5" s="2723"/>
      <c r="J5" s="1352" t="s">
        <v>1412</v>
      </c>
      <c r="K5" s="1533"/>
      <c r="L5" s="1540"/>
      <c r="M5" s="1540"/>
      <c r="N5" s="1540"/>
      <c r="O5" s="1540"/>
      <c r="P5" s="1540"/>
      <c r="Q5" s="1540"/>
      <c r="R5" s="1540"/>
      <c r="S5" s="1540"/>
      <c r="T5" s="1540"/>
      <c r="U5" s="1540"/>
      <c r="V5" s="1540"/>
      <c r="W5" s="1540"/>
      <c r="X5" s="1540"/>
      <c r="Y5" s="1540"/>
      <c r="Z5" s="1540"/>
      <c r="AA5" s="1540"/>
      <c r="AB5" s="1540"/>
      <c r="AC5" s="1540"/>
      <c r="AD5" s="1540"/>
      <c r="AE5" s="1540"/>
      <c r="AF5" s="1540"/>
      <c r="AG5" s="1540"/>
      <c r="AH5" s="1540"/>
      <c r="AI5" s="1540"/>
      <c r="AJ5" s="1540"/>
      <c r="AK5" s="1540"/>
      <c r="AL5" s="1540"/>
      <c r="AM5" s="1540"/>
      <c r="AN5" s="1540"/>
      <c r="AO5" s="1540"/>
      <c r="AP5" s="1540"/>
      <c r="AQ5" s="1540"/>
      <c r="AR5" s="1540"/>
      <c r="AS5" s="1540"/>
      <c r="AT5" s="1540"/>
      <c r="AU5" s="1540"/>
      <c r="AV5" s="1540"/>
      <c r="AW5" s="1540"/>
      <c r="AX5" s="1540"/>
      <c r="AY5" s="1540"/>
      <c r="AZ5" s="1540"/>
      <c r="BA5" s="1540"/>
      <c r="BB5" s="1540"/>
      <c r="BC5" s="1540"/>
      <c r="BD5" s="1540"/>
      <c r="BE5" s="1540"/>
      <c r="BF5" s="1540"/>
      <c r="BG5" s="1540"/>
      <c r="BH5" s="1540"/>
    </row>
    <row r="6" spans="1:60">
      <c r="B6" s="1144"/>
      <c r="C6" s="1144"/>
      <c r="D6" s="1144"/>
      <c r="E6" s="1144"/>
      <c r="F6" s="1144"/>
      <c r="G6" s="1144"/>
      <c r="H6" s="2756" t="s">
        <v>1413</v>
      </c>
      <c r="I6" s="2719"/>
      <c r="J6" s="913"/>
    </row>
    <row r="7" spans="1:60">
      <c r="B7" s="1146" t="s">
        <v>1414</v>
      </c>
      <c r="C7" s="1144"/>
      <c r="D7" s="1144"/>
      <c r="E7" s="1144"/>
      <c r="F7" s="1144"/>
      <c r="G7" s="1144"/>
      <c r="H7" s="2719"/>
      <c r="I7" s="2719"/>
      <c r="J7" s="936"/>
    </row>
    <row r="8" spans="1:60" ht="50.1" customHeight="1">
      <c r="B8" s="2673" t="s">
        <v>1707</v>
      </c>
      <c r="C8" s="2673"/>
      <c r="D8" s="2673"/>
      <c r="E8" s="2673"/>
      <c r="F8" s="2673"/>
      <c r="G8" s="2673"/>
      <c r="H8" s="2719"/>
      <c r="I8" s="2719"/>
      <c r="J8" s="890"/>
      <c r="K8" s="1552"/>
    </row>
    <row r="9" spans="1:60" ht="13.5" customHeight="1">
      <c r="B9" s="2673" t="s">
        <v>1708</v>
      </c>
      <c r="C9" s="2673"/>
      <c r="D9" s="2673"/>
      <c r="E9" s="2673"/>
      <c r="F9" s="2673"/>
      <c r="G9" s="2673"/>
      <c r="H9" s="2718"/>
      <c r="I9" s="2718"/>
      <c r="J9" s="1529"/>
      <c r="K9" s="1552"/>
    </row>
    <row r="10" spans="1:60" ht="13.5" customHeight="1">
      <c r="B10" s="2673" t="s">
        <v>1709</v>
      </c>
      <c r="C10" s="2673"/>
      <c r="D10" s="2673"/>
      <c r="E10" s="2673"/>
      <c r="F10" s="2673"/>
      <c r="G10" s="2673"/>
      <c r="H10" s="1529"/>
      <c r="I10" s="1529"/>
      <c r="J10" s="1530"/>
      <c r="K10" s="1552"/>
    </row>
    <row r="11" spans="1:60" ht="13.5" customHeight="1">
      <c r="B11" s="2673" t="s">
        <v>1710</v>
      </c>
      <c r="C11" s="2673"/>
      <c r="D11" s="2673"/>
      <c r="E11" s="2673"/>
      <c r="F11" s="2673"/>
      <c r="G11" s="2673"/>
      <c r="H11" s="1529"/>
      <c r="I11" s="1529"/>
      <c r="J11" s="1530"/>
      <c r="K11" s="1552"/>
    </row>
    <row r="12" spans="1:60" ht="13.5" customHeight="1">
      <c r="B12" s="2673" t="s">
        <v>1711</v>
      </c>
      <c r="C12" s="2673"/>
      <c r="D12" s="2673"/>
      <c r="E12" s="2673"/>
      <c r="F12" s="2673"/>
      <c r="G12" s="2673"/>
      <c r="H12" s="1529"/>
      <c r="I12" s="1529"/>
      <c r="J12" s="1530"/>
      <c r="K12" s="1552"/>
    </row>
    <row r="13" spans="1:60" ht="13.5" customHeight="1">
      <c r="B13" s="2673" t="s">
        <v>1712</v>
      </c>
      <c r="C13" s="2673"/>
      <c r="D13" s="2673"/>
      <c r="E13" s="2673"/>
      <c r="F13" s="2673"/>
      <c r="G13" s="2673"/>
      <c r="H13" s="1529"/>
      <c r="I13" s="1529"/>
      <c r="J13" s="1530"/>
      <c r="K13" s="1552"/>
    </row>
    <row r="14" spans="1:60" ht="13.5" customHeight="1">
      <c r="B14" s="2673" t="s">
        <v>1713</v>
      </c>
      <c r="C14" s="2673"/>
      <c r="D14" s="2673"/>
      <c r="E14" s="2673"/>
      <c r="F14" s="2673"/>
      <c r="G14" s="2673"/>
      <c r="H14" s="1529"/>
      <c r="I14" s="1529"/>
      <c r="J14" s="1530"/>
      <c r="K14" s="1552"/>
    </row>
    <row r="15" spans="1:60" ht="13.5" customHeight="1">
      <c r="B15" s="1340" t="s">
        <v>1714</v>
      </c>
      <c r="C15" s="1144"/>
      <c r="D15" s="1144"/>
      <c r="E15" s="1144"/>
      <c r="F15" s="1144"/>
      <c r="G15" s="1144"/>
      <c r="H15" s="1529"/>
      <c r="I15" s="1529"/>
      <c r="J15" s="1530"/>
    </row>
    <row r="16" spans="1:60">
      <c r="B16" s="1146" t="s">
        <v>1416</v>
      </c>
      <c r="C16" s="1144"/>
      <c r="D16" s="1144"/>
      <c r="E16" s="1144"/>
      <c r="F16" s="1144"/>
      <c r="G16" s="1144"/>
      <c r="H16" s="1529"/>
      <c r="I16" s="1529"/>
      <c r="J16" s="1530"/>
    </row>
    <row r="17" spans="1:12">
      <c r="B17" s="1144" t="s">
        <v>1417</v>
      </c>
      <c r="C17" s="1144"/>
      <c r="D17" s="1144"/>
      <c r="E17" s="1144"/>
      <c r="F17" s="1144"/>
      <c r="G17" s="1144"/>
      <c r="H17" s="1529"/>
      <c r="I17" s="1529"/>
      <c r="J17" s="1529"/>
    </row>
    <row r="18" spans="1:12">
      <c r="B18" s="1149" t="s">
        <v>1466</v>
      </c>
      <c r="C18" s="1144"/>
      <c r="D18" s="1144"/>
      <c r="E18" s="1144"/>
      <c r="F18" s="1144"/>
      <c r="G18" s="1144"/>
      <c r="H18" s="1529"/>
      <c r="I18" s="1529"/>
      <c r="J18" s="1529"/>
    </row>
    <row r="19" spans="1:12">
      <c r="B19" s="1144" t="s">
        <v>1419</v>
      </c>
      <c r="C19" s="1144"/>
      <c r="D19" s="1144"/>
      <c r="E19" s="1144"/>
      <c r="F19" s="1144"/>
      <c r="G19" s="1144"/>
      <c r="H19" s="1529"/>
      <c r="I19" s="1529"/>
      <c r="J19" s="1529"/>
    </row>
    <row r="20" spans="1:12">
      <c r="B20" s="1144" t="s">
        <v>1715</v>
      </c>
      <c r="C20" s="1144"/>
      <c r="D20" s="1144"/>
      <c r="E20" s="1144"/>
      <c r="F20" s="1144"/>
      <c r="G20" s="1144"/>
      <c r="H20" s="1529"/>
      <c r="I20" s="1529"/>
      <c r="J20" s="1529"/>
    </row>
    <row r="21" spans="1:12">
      <c r="B21" s="1144"/>
      <c r="C21" s="1144"/>
      <c r="D21" s="1144"/>
      <c r="E21" s="1144"/>
      <c r="F21" s="1144"/>
      <c r="G21" s="1144"/>
      <c r="H21" s="1529"/>
      <c r="I21" s="1529"/>
      <c r="J21" s="1529"/>
    </row>
    <row r="22" spans="1:12">
      <c r="B22" s="1148" t="s">
        <v>1420</v>
      </c>
      <c r="C22" s="1144"/>
      <c r="D22" s="1144"/>
      <c r="E22" s="1144"/>
      <c r="F22" s="1144"/>
      <c r="G22" s="1144"/>
      <c r="H22" s="1529"/>
      <c r="I22" s="1529"/>
      <c r="J22" s="1529"/>
    </row>
    <row r="23" spans="1:12" ht="39.75" customHeight="1">
      <c r="B23" s="2673" t="s">
        <v>1515</v>
      </c>
      <c r="C23" s="2673"/>
      <c r="D23" s="2673"/>
      <c r="E23" s="2673"/>
      <c r="F23" s="2673"/>
      <c r="G23" s="2673"/>
      <c r="H23" s="1529"/>
      <c r="I23" s="1529"/>
      <c r="J23" s="1529"/>
    </row>
    <row r="24" spans="1:12" ht="78" customHeight="1">
      <c r="B24" s="2673" t="s">
        <v>1716</v>
      </c>
      <c r="C24" s="2673"/>
      <c r="D24" s="2673"/>
      <c r="E24" s="2673"/>
      <c r="F24" s="2673"/>
      <c r="G24" s="2673"/>
      <c r="H24" s="1529"/>
      <c r="I24" s="1529"/>
      <c r="J24" s="1529"/>
    </row>
    <row r="25" spans="1:12" ht="65.099999999999994" customHeight="1">
      <c r="B25" s="2673" t="s">
        <v>1717</v>
      </c>
      <c r="C25" s="2673"/>
      <c r="D25" s="2673"/>
      <c r="E25" s="2673"/>
      <c r="F25" s="2673"/>
      <c r="G25" s="2673"/>
      <c r="H25" s="1529"/>
      <c r="I25" s="1529"/>
      <c r="J25" s="1529"/>
    </row>
    <row r="26" spans="1:12" ht="52.5" customHeight="1">
      <c r="B26" s="2673" t="s">
        <v>1535</v>
      </c>
      <c r="C26" s="2673"/>
      <c r="D26" s="2673"/>
      <c r="E26" s="2673"/>
      <c r="F26" s="2673"/>
      <c r="G26" s="2673"/>
      <c r="H26" s="1529"/>
      <c r="I26" s="1529"/>
      <c r="J26" s="1529"/>
    </row>
    <row r="27" spans="1:12" ht="16.5" customHeight="1">
      <c r="B27" s="2743" t="s">
        <v>1536</v>
      </c>
      <c r="C27" s="2673"/>
      <c r="D27" s="2673"/>
      <c r="E27" s="2673"/>
      <c r="F27" s="2673"/>
      <c r="G27" s="2673"/>
      <c r="H27" s="1529"/>
      <c r="I27" s="1529"/>
      <c r="J27" s="1529"/>
    </row>
    <row r="28" spans="1:12" ht="24.75" customHeight="1">
      <c r="B28" s="2673" t="s">
        <v>1718</v>
      </c>
      <c r="C28" s="2673"/>
      <c r="D28" s="2673"/>
      <c r="E28" s="2673"/>
      <c r="F28" s="2673"/>
      <c r="G28" s="2673"/>
      <c r="H28" s="1529"/>
      <c r="I28" s="1529"/>
      <c r="J28" s="1529"/>
    </row>
    <row r="29" spans="1:12" ht="54.75" customHeight="1">
      <c r="B29" s="2744" t="s">
        <v>1719</v>
      </c>
      <c r="C29" s="2744"/>
      <c r="D29" s="2744"/>
      <c r="E29" s="2744"/>
      <c r="F29" s="2744"/>
      <c r="G29" s="2744"/>
      <c r="H29" s="1529"/>
      <c r="I29" s="1529"/>
      <c r="J29" s="1529"/>
    </row>
    <row r="30" spans="1:12" ht="60" customHeight="1">
      <c r="B30" s="1207" t="s">
        <v>1425</v>
      </c>
      <c r="C30" s="1339"/>
      <c r="D30" s="1339"/>
      <c r="E30" s="1339"/>
      <c r="F30" s="1339" t="s">
        <v>1433</v>
      </c>
      <c r="G30" s="1339" t="s">
        <v>1493</v>
      </c>
      <c r="H30" s="1155" t="s">
        <v>1435</v>
      </c>
      <c r="I30" s="1552"/>
      <c r="J30" s="1559"/>
      <c r="K30" s="1558"/>
      <c r="L30" s="1528"/>
    </row>
    <row r="31" spans="1:12" ht="192.75" customHeight="1">
      <c r="A31" s="1426"/>
      <c r="B31" s="2680" t="s">
        <v>1720</v>
      </c>
      <c r="C31" s="2694"/>
      <c r="D31" s="2694"/>
      <c r="E31" s="2733"/>
      <c r="F31" s="1366"/>
      <c r="G31" s="1359"/>
      <c r="H31" s="1388"/>
      <c r="K31" s="1324"/>
    </row>
    <row r="32" spans="1:12" ht="408.75" customHeight="1">
      <c r="A32" s="1426"/>
      <c r="B32" s="2680" t="s">
        <v>2560</v>
      </c>
      <c r="C32" s="2694"/>
      <c r="D32" s="2694"/>
      <c r="E32" s="2733"/>
      <c r="F32" s="1366"/>
      <c r="G32" s="1359"/>
      <c r="H32" s="1388"/>
      <c r="K32" s="1324"/>
    </row>
    <row r="33" spans="1:14" ht="80.099999999999994" customHeight="1">
      <c r="A33" s="1710"/>
      <c r="B33" s="2741" t="s">
        <v>1492</v>
      </c>
      <c r="C33" s="2741"/>
      <c r="D33" s="2741"/>
      <c r="E33" s="2741"/>
      <c r="F33" s="1339" t="s">
        <v>1433</v>
      </c>
      <c r="G33" s="1339" t="s">
        <v>1493</v>
      </c>
      <c r="H33" s="1155" t="s">
        <v>1435</v>
      </c>
      <c r="I33" s="1155" t="s">
        <v>1436</v>
      </c>
      <c r="J33" s="1339" t="s">
        <v>1721</v>
      </c>
      <c r="K33" s="1552"/>
      <c r="L33" s="1559"/>
      <c r="M33" s="1559"/>
      <c r="N33" s="1528"/>
    </row>
    <row r="34" spans="1:14" s="1561" customFormat="1" ht="54" customHeight="1">
      <c r="A34" s="1711"/>
      <c r="B34" s="1217" t="s">
        <v>1722</v>
      </c>
      <c r="C34" s="1216"/>
      <c r="D34" s="1216"/>
      <c r="E34" s="1218" t="s">
        <v>1723</v>
      </c>
      <c r="F34" s="1376"/>
      <c r="G34" s="2735"/>
      <c r="H34" s="896"/>
      <c r="I34" s="901"/>
      <c r="J34" s="939"/>
      <c r="K34" s="1562"/>
      <c r="L34" s="1559"/>
      <c r="M34" s="1558"/>
      <c r="N34" s="1559"/>
    </row>
    <row r="35" spans="1:14" s="1561" customFormat="1" ht="28.5" customHeight="1">
      <c r="A35" s="1565"/>
      <c r="B35" s="1219"/>
      <c r="C35" s="1144"/>
      <c r="D35" s="1144"/>
      <c r="E35" s="1218" t="s">
        <v>1724</v>
      </c>
      <c r="F35" s="1376"/>
      <c r="G35" s="2736"/>
      <c r="H35" s="896"/>
      <c r="I35" s="901"/>
      <c r="J35" s="939"/>
      <c r="K35" s="1562"/>
      <c r="L35" s="1559"/>
      <c r="M35" s="1558"/>
      <c r="N35" s="1559"/>
    </row>
    <row r="36" spans="1:14" s="1561" customFormat="1" ht="28.5" customHeight="1">
      <c r="A36" s="1565"/>
      <c r="B36" s="1219"/>
      <c r="C36" s="1144"/>
      <c r="D36" s="1144"/>
      <c r="E36" s="1218" t="s">
        <v>1725</v>
      </c>
      <c r="F36" s="1376"/>
      <c r="G36" s="2736"/>
      <c r="H36" s="896"/>
      <c r="I36" s="901"/>
      <c r="J36" s="939"/>
      <c r="K36" s="1562"/>
      <c r="L36" s="1559"/>
      <c r="M36" s="1558"/>
      <c r="N36" s="1559"/>
    </row>
    <row r="37" spans="1:14" s="1561" customFormat="1" ht="28.5" customHeight="1">
      <c r="A37" s="1565"/>
      <c r="B37" s="1219"/>
      <c r="C37" s="1144"/>
      <c r="D37" s="1144"/>
      <c r="E37" s="1218" t="s">
        <v>1726</v>
      </c>
      <c r="F37" s="1376"/>
      <c r="G37" s="2736"/>
      <c r="H37" s="896"/>
      <c r="I37" s="901"/>
      <c r="J37" s="939"/>
      <c r="K37" s="1562"/>
      <c r="L37" s="1559"/>
      <c r="M37" s="1558"/>
      <c r="N37" s="1559"/>
    </row>
    <row r="38" spans="1:14" s="1561" customFormat="1" ht="28.5" customHeight="1">
      <c r="A38" s="1565"/>
      <c r="B38" s="1219"/>
      <c r="C38" s="1144"/>
      <c r="D38" s="1144"/>
      <c r="E38" s="1218" t="s">
        <v>1727</v>
      </c>
      <c r="F38" s="1376"/>
      <c r="G38" s="2736"/>
      <c r="H38" s="896"/>
      <c r="I38" s="901"/>
      <c r="J38" s="939"/>
      <c r="K38" s="1562"/>
      <c r="L38" s="1559"/>
      <c r="M38" s="1558"/>
      <c r="N38" s="1559"/>
    </row>
    <row r="39" spans="1:14" s="1561" customFormat="1" ht="28.5" customHeight="1">
      <c r="A39" s="1565"/>
      <c r="B39" s="1219"/>
      <c r="C39" s="1144"/>
      <c r="D39" s="1144"/>
      <c r="E39" s="1218" t="s">
        <v>1728</v>
      </c>
      <c r="F39" s="1376"/>
      <c r="G39" s="2736"/>
      <c r="H39" s="896"/>
      <c r="I39" s="901"/>
      <c r="J39" s="939"/>
      <c r="K39" s="1562"/>
      <c r="L39" s="1559"/>
      <c r="M39" s="1558"/>
      <c r="N39" s="1559"/>
    </row>
    <row r="40" spans="1:14" s="1561" customFormat="1" ht="28.5" customHeight="1">
      <c r="A40" s="1565"/>
      <c r="B40" s="1219"/>
      <c r="C40" s="1144"/>
      <c r="D40" s="1144"/>
      <c r="E40" s="1218" t="s">
        <v>1729</v>
      </c>
      <c r="F40" s="1376"/>
      <c r="G40" s="2736"/>
      <c r="H40" s="896"/>
      <c r="I40" s="901"/>
      <c r="J40" s="939"/>
      <c r="K40" s="1562"/>
      <c r="L40" s="1559"/>
      <c r="M40" s="1558"/>
      <c r="N40" s="1559"/>
    </row>
    <row r="41" spans="1:14" s="1561" customFormat="1" ht="28.5" customHeight="1">
      <c r="A41" s="1565"/>
      <c r="B41" s="1219"/>
      <c r="C41" s="1144"/>
      <c r="D41" s="1144"/>
      <c r="E41" s="1218" t="s">
        <v>1730</v>
      </c>
      <c r="F41" s="1376"/>
      <c r="G41" s="2736"/>
      <c r="H41" s="896"/>
      <c r="I41" s="901"/>
      <c r="J41" s="939"/>
      <c r="K41" s="1562"/>
      <c r="L41" s="1559"/>
      <c r="M41" s="1558"/>
      <c r="N41" s="1559"/>
    </row>
    <row r="42" spans="1:14" s="1561" customFormat="1" ht="28.5" customHeight="1">
      <c r="A42" s="1565"/>
      <c r="B42" s="1219"/>
      <c r="C42" s="1144"/>
      <c r="D42" s="1144"/>
      <c r="E42" s="1220" t="s">
        <v>1731</v>
      </c>
      <c r="F42" s="1376"/>
      <c r="G42" s="2736"/>
      <c r="H42" s="896"/>
      <c r="I42" s="901"/>
      <c r="J42" s="939"/>
      <c r="K42" s="1562"/>
      <c r="L42" s="1559"/>
      <c r="M42" s="1558"/>
      <c r="N42" s="1559"/>
    </row>
    <row r="43" spans="1:14" s="1561" customFormat="1" ht="28.5" customHeight="1">
      <c r="A43" s="1565"/>
      <c r="B43" s="1219"/>
      <c r="C43" s="1144"/>
      <c r="D43" s="1144"/>
      <c r="E43" s="1220" t="s">
        <v>1732</v>
      </c>
      <c r="F43" s="1376"/>
      <c r="G43" s="2736"/>
      <c r="H43" s="896"/>
      <c r="I43" s="901"/>
      <c r="J43" s="939"/>
      <c r="K43" s="1562"/>
      <c r="L43" s="1559"/>
      <c r="M43" s="1558"/>
      <c r="N43" s="1559"/>
    </row>
    <row r="44" spans="1:14" s="1561" customFormat="1" ht="28.5" customHeight="1">
      <c r="A44" s="1565"/>
      <c r="B44" s="1221"/>
      <c r="C44" s="1222"/>
      <c r="D44" s="1222"/>
      <c r="E44" s="1223" t="s">
        <v>1733</v>
      </c>
      <c r="F44" s="1376"/>
      <c r="G44" s="2737"/>
      <c r="H44" s="896"/>
      <c r="I44" s="901"/>
      <c r="J44" s="939"/>
      <c r="K44" s="1562"/>
      <c r="L44" s="1559"/>
      <c r="M44" s="1558"/>
      <c r="N44" s="1559"/>
    </row>
    <row r="45" spans="1:14" s="1561" customFormat="1" ht="7.5" customHeight="1">
      <c r="A45" s="1565"/>
      <c r="B45" s="1554"/>
      <c r="C45" s="1554"/>
      <c r="D45" s="1554"/>
      <c r="E45" s="1554"/>
      <c r="F45" s="1555"/>
      <c r="G45" s="1555"/>
      <c r="H45" s="1531"/>
      <c r="I45" s="1531"/>
      <c r="J45" s="1554"/>
      <c r="K45" s="1562"/>
      <c r="L45" s="1559"/>
      <c r="M45" s="1559"/>
      <c r="N45" s="1559"/>
    </row>
    <row r="46" spans="1:14" ht="80.099999999999994" customHeight="1">
      <c r="B46" s="1339" t="s">
        <v>1439</v>
      </c>
      <c r="C46" s="2710" t="s">
        <v>1426</v>
      </c>
      <c r="D46" s="2710"/>
      <c r="E46" s="2710"/>
      <c r="F46" s="1339" t="s">
        <v>1433</v>
      </c>
      <c r="G46" s="1339" t="s">
        <v>1493</v>
      </c>
      <c r="H46" s="1155" t="s">
        <v>1435</v>
      </c>
      <c r="I46" s="1155" t="s">
        <v>1436</v>
      </c>
      <c r="J46" s="1339" t="s">
        <v>1721</v>
      </c>
      <c r="K46" s="1552"/>
      <c r="L46" s="1559"/>
      <c r="M46" s="1558"/>
      <c r="N46" s="1528"/>
    </row>
    <row r="47" spans="1:14" ht="409.5" customHeight="1">
      <c r="A47" s="1553"/>
      <c r="B47" s="1357" t="s">
        <v>2256</v>
      </c>
      <c r="C47" s="2700" t="str">
        <f>IF('Project Info'!C4='Project Info'!P32,'Prescriptive Path Checklist'!C117,IF('Project Info'!C4='Project Info'!P33,#REF!,"&lt;Select compliance path on the 'Project Info' tab&gt;"))</f>
        <v>The building plans shall demonstrate a continuous, unbroken air barrier separating the conditioned space of the building from the exterior, unconditioned spaces within the building, commercial spaces, mechanical rooms vented with unconditioned air, mechanical chases opening to unconditioned spaces, elevator shafts, and garages or other vehicle/equipment storage facilities.</v>
      </c>
      <c r="D47" s="2795"/>
      <c r="E47" s="2702"/>
      <c r="F47" s="1388"/>
      <c r="G47" s="1388"/>
      <c r="H47" s="1388"/>
      <c r="I47" s="1370"/>
      <c r="J47" s="1341"/>
      <c r="K47" s="1552"/>
      <c r="L47" s="1528"/>
      <c r="M47" s="1528"/>
      <c r="N47" s="1528"/>
    </row>
    <row r="48" spans="1:14" ht="51.75" customHeight="1">
      <c r="B48" s="2693" t="s">
        <v>2255</v>
      </c>
      <c r="C48" s="2872"/>
      <c r="D48" s="2872"/>
      <c r="E48" s="2872"/>
      <c r="F48" s="1388"/>
      <c r="G48" s="1388"/>
      <c r="H48" s="1388"/>
      <c r="I48" s="1370"/>
      <c r="J48" s="1341"/>
      <c r="K48" s="1552"/>
      <c r="L48" s="1528"/>
      <c r="M48" s="1528"/>
      <c r="N48" s="1528"/>
    </row>
    <row r="49" spans="1:14" ht="30" customHeight="1">
      <c r="A49" s="1708"/>
      <c r="B49" s="2693" t="s">
        <v>1734</v>
      </c>
      <c r="C49" s="2872"/>
      <c r="D49" s="2872"/>
      <c r="E49" s="2872"/>
      <c r="F49" s="1388"/>
      <c r="G49" s="1388"/>
      <c r="H49" s="1388"/>
      <c r="I49" s="1370"/>
      <c r="J49" s="1341"/>
      <c r="K49" s="1552"/>
      <c r="L49" s="1528"/>
      <c r="M49" s="1528"/>
      <c r="N49" s="1528"/>
    </row>
    <row r="50" spans="1:14" ht="90" customHeight="1">
      <c r="A50" s="1708"/>
      <c r="B50" s="2693" t="s">
        <v>1735</v>
      </c>
      <c r="C50" s="2872"/>
      <c r="D50" s="2872"/>
      <c r="E50" s="2872"/>
      <c r="F50" s="1388"/>
      <c r="G50" s="1388"/>
      <c r="H50" s="1388"/>
      <c r="I50" s="1370"/>
      <c r="J50" s="1341"/>
      <c r="K50" s="1552"/>
      <c r="L50" s="1528"/>
      <c r="M50" s="1528"/>
      <c r="N50" s="1528"/>
    </row>
    <row r="51" spans="1:14" ht="39.75" customHeight="1">
      <c r="B51" s="2693" t="s">
        <v>1736</v>
      </c>
      <c r="C51" s="2872"/>
      <c r="D51" s="2872"/>
      <c r="E51" s="2872"/>
      <c r="F51" s="1388"/>
      <c r="G51" s="1388"/>
      <c r="H51" s="1388"/>
      <c r="I51" s="1370"/>
      <c r="J51" s="1341"/>
      <c r="K51" s="1552"/>
      <c r="L51" s="1528"/>
      <c r="M51" s="1528"/>
      <c r="N51" s="1528"/>
    </row>
    <row r="52" spans="1:14" ht="64.5" customHeight="1">
      <c r="A52" s="1709"/>
      <c r="B52" s="2693" t="s">
        <v>1737</v>
      </c>
      <c r="C52" s="2872"/>
      <c r="D52" s="2872"/>
      <c r="E52" s="2872"/>
      <c r="F52" s="1388"/>
      <c r="G52" s="1388"/>
      <c r="H52" s="1388"/>
      <c r="I52" s="1370"/>
      <c r="J52" s="1341"/>
      <c r="K52" s="1552"/>
      <c r="L52" s="1528"/>
      <c r="M52" s="1528"/>
      <c r="N52" s="1528"/>
    </row>
    <row r="53" spans="1:14" ht="39.75" customHeight="1">
      <c r="A53" s="1709"/>
      <c r="B53" s="2693" t="s">
        <v>1738</v>
      </c>
      <c r="C53" s="2872"/>
      <c r="D53" s="2872"/>
      <c r="E53" s="2872"/>
      <c r="F53" s="1388"/>
      <c r="G53" s="1388"/>
      <c r="H53" s="1388"/>
      <c r="I53" s="1370"/>
      <c r="J53" s="1341"/>
      <c r="K53" s="1552"/>
      <c r="L53" s="1528"/>
      <c r="M53" s="1528"/>
      <c r="N53" s="1528"/>
    </row>
    <row r="54" spans="1:14" ht="53.25" customHeight="1">
      <c r="A54" s="1709"/>
      <c r="B54" s="2693" t="s">
        <v>1739</v>
      </c>
      <c r="C54" s="2872"/>
      <c r="D54" s="2872"/>
      <c r="E54" s="2872"/>
      <c r="F54" s="1388"/>
      <c r="G54" s="1388"/>
      <c r="H54" s="1388"/>
      <c r="I54" s="1370"/>
      <c r="J54" s="1341"/>
      <c r="K54" s="1556"/>
      <c r="L54" s="1528"/>
      <c r="M54" s="1528"/>
      <c r="N54" s="1528"/>
    </row>
    <row r="55" spans="1:14" ht="80.099999999999994" customHeight="1">
      <c r="B55" s="2693" t="s">
        <v>1740</v>
      </c>
      <c r="C55" s="2872"/>
      <c r="D55" s="2872"/>
      <c r="E55" s="2872"/>
      <c r="F55" s="1388"/>
      <c r="G55" s="1388"/>
      <c r="H55" s="1388"/>
      <c r="I55" s="1370"/>
      <c r="J55" s="1341"/>
      <c r="K55" s="1552"/>
      <c r="L55" s="1528"/>
      <c r="M55" s="1528"/>
      <c r="N55" s="1528"/>
    </row>
    <row r="56" spans="1:14" ht="39.950000000000003" customHeight="1">
      <c r="B56" s="2693" t="s">
        <v>1741</v>
      </c>
      <c r="C56" s="2872"/>
      <c r="D56" s="2872"/>
      <c r="E56" s="2872"/>
      <c r="F56" s="1388"/>
      <c r="G56" s="1388"/>
      <c r="H56" s="1388"/>
      <c r="I56" s="1370"/>
      <c r="J56" s="1341"/>
      <c r="K56" s="1552"/>
      <c r="L56" s="1528"/>
      <c r="M56" s="1528"/>
      <c r="N56" s="1528"/>
    </row>
    <row r="57" spans="1:14" ht="53.25" customHeight="1">
      <c r="A57" s="1709"/>
      <c r="B57" s="2693" t="s">
        <v>1742</v>
      </c>
      <c r="C57" s="2872"/>
      <c r="D57" s="2872"/>
      <c r="E57" s="2872"/>
      <c r="F57" s="1388"/>
      <c r="G57" s="1388"/>
      <c r="H57" s="1388"/>
      <c r="I57" s="1370"/>
      <c r="J57" s="1341"/>
      <c r="K57" s="1556"/>
      <c r="L57" s="1528"/>
      <c r="M57" s="1528"/>
      <c r="N57" s="1528"/>
    </row>
    <row r="58" spans="1:14" ht="39" customHeight="1">
      <c r="A58" s="1709"/>
      <c r="B58" s="2693" t="s">
        <v>1743</v>
      </c>
      <c r="C58" s="2872"/>
      <c r="D58" s="2872"/>
      <c r="E58" s="2872"/>
      <c r="F58" s="1388"/>
      <c r="G58" s="1388"/>
      <c r="H58" s="1388"/>
      <c r="I58" s="1370"/>
      <c r="J58" s="1341"/>
      <c r="K58" s="1556"/>
      <c r="L58" s="1528"/>
      <c r="M58" s="1528"/>
      <c r="N58" s="1528"/>
    </row>
    <row r="59" spans="1:14" ht="65.099999999999994" customHeight="1">
      <c r="A59" s="1709"/>
      <c r="B59" s="2693" t="s">
        <v>1744</v>
      </c>
      <c r="C59" s="2872"/>
      <c r="D59" s="2872"/>
      <c r="E59" s="2872"/>
      <c r="F59" s="1388"/>
      <c r="G59" s="1388"/>
      <c r="H59" s="1388"/>
      <c r="I59" s="1370"/>
      <c r="J59" s="1341"/>
      <c r="K59" s="1552"/>
      <c r="L59" s="1528"/>
      <c r="M59" s="1528"/>
      <c r="N59" s="1528"/>
    </row>
    <row r="60" spans="1:14" ht="64.5" customHeight="1">
      <c r="A60" s="1553"/>
      <c r="B60" s="2693" t="s">
        <v>1745</v>
      </c>
      <c r="C60" s="2872"/>
      <c r="D60" s="2872"/>
      <c r="E60" s="2872"/>
      <c r="F60" s="1388"/>
      <c r="G60" s="1388"/>
      <c r="H60" s="1388"/>
      <c r="I60" s="1370"/>
      <c r="J60" s="1341"/>
      <c r="K60" s="1552"/>
      <c r="L60" s="1528"/>
      <c r="M60" s="1528"/>
      <c r="N60" s="1528"/>
    </row>
    <row r="61" spans="1:14" ht="65.099999999999994" customHeight="1">
      <c r="A61" s="1710"/>
      <c r="B61" s="2693" t="s">
        <v>1746</v>
      </c>
      <c r="C61" s="2872"/>
      <c r="D61" s="2872"/>
      <c r="E61" s="2872"/>
      <c r="F61" s="1388"/>
      <c r="G61" s="1388"/>
      <c r="H61" s="1388"/>
      <c r="I61" s="1370"/>
      <c r="J61" s="1341"/>
      <c r="K61" s="1552"/>
      <c r="L61" s="1528"/>
      <c r="M61" s="1528"/>
      <c r="N61" s="1528"/>
    </row>
    <row r="62" spans="1:14" ht="139.5" customHeight="1">
      <c r="A62" s="1525"/>
      <c r="B62" s="2693" t="s">
        <v>2254</v>
      </c>
      <c r="C62" s="2872"/>
      <c r="D62" s="2872"/>
      <c r="E62" s="2872"/>
      <c r="F62" s="1388"/>
      <c r="G62" s="1388"/>
      <c r="H62" s="1388"/>
      <c r="I62" s="1370"/>
      <c r="J62" s="1341"/>
      <c r="K62" s="1556"/>
      <c r="L62" s="1528"/>
      <c r="M62" s="1528"/>
      <c r="N62" s="1528"/>
    </row>
    <row r="63" spans="1:14" ht="66" customHeight="1">
      <c r="A63" s="1525"/>
      <c r="B63" s="2693" t="s">
        <v>1747</v>
      </c>
      <c r="C63" s="2872"/>
      <c r="D63" s="2872"/>
      <c r="E63" s="2872"/>
      <c r="F63" s="1388"/>
      <c r="G63" s="1388"/>
      <c r="H63" s="1388"/>
      <c r="I63" s="1370"/>
      <c r="J63" s="1341"/>
      <c r="K63" s="1556"/>
      <c r="L63" s="1528"/>
      <c r="M63" s="1528"/>
      <c r="N63" s="1528"/>
    </row>
    <row r="64" spans="1:14" ht="129.94999999999999" customHeight="1">
      <c r="A64" s="1709"/>
      <c r="B64" s="2693" t="s">
        <v>1748</v>
      </c>
      <c r="C64" s="2872"/>
      <c r="D64" s="2872"/>
      <c r="E64" s="2872"/>
      <c r="F64" s="1388"/>
      <c r="G64" s="1388"/>
      <c r="H64" s="1388"/>
      <c r="I64" s="1370"/>
      <c r="J64" s="1341"/>
      <c r="K64" s="1556"/>
      <c r="L64" s="1528"/>
      <c r="M64" s="1528"/>
      <c r="N64" s="1528"/>
    </row>
    <row r="65" spans="1:14" ht="66.75" customHeight="1">
      <c r="A65" s="1708"/>
      <c r="B65" s="2693" t="s">
        <v>1749</v>
      </c>
      <c r="C65" s="2872"/>
      <c r="D65" s="2872"/>
      <c r="E65" s="2872"/>
      <c r="F65" s="1388"/>
      <c r="G65" s="1388"/>
      <c r="H65" s="1388"/>
      <c r="I65" s="1370"/>
      <c r="J65" s="1341"/>
      <c r="K65" s="1556"/>
      <c r="L65" s="1528"/>
      <c r="M65" s="1528"/>
      <c r="N65" s="1528"/>
    </row>
    <row r="66" spans="1:14" ht="90" customHeight="1">
      <c r="A66" s="1708"/>
      <c r="B66" s="2693" t="s">
        <v>1750</v>
      </c>
      <c r="C66" s="2872"/>
      <c r="D66" s="2872"/>
      <c r="E66" s="2872"/>
      <c r="F66" s="1388"/>
      <c r="G66" s="1388"/>
      <c r="H66" s="1388"/>
      <c r="I66" s="1370"/>
      <c r="J66" s="1341"/>
      <c r="K66" s="1556"/>
      <c r="L66" s="1528"/>
      <c r="M66" s="1528"/>
      <c r="N66" s="1528"/>
    </row>
    <row r="67" spans="1:14" ht="41.25" customHeight="1">
      <c r="B67" s="2693" t="s">
        <v>1751</v>
      </c>
      <c r="C67" s="2872"/>
      <c r="D67" s="2872"/>
      <c r="E67" s="2872"/>
      <c r="F67" s="1388"/>
      <c r="G67" s="1388"/>
      <c r="H67" s="1388"/>
      <c r="I67" s="1370"/>
      <c r="J67" s="1341"/>
      <c r="K67" s="1552"/>
      <c r="L67" s="1528"/>
      <c r="M67" s="1528"/>
      <c r="N67" s="1528"/>
    </row>
    <row r="68" spans="1:14" ht="65.099999999999994" customHeight="1">
      <c r="B68" s="2693" t="s">
        <v>1752</v>
      </c>
      <c r="C68" s="2872"/>
      <c r="D68" s="2872"/>
      <c r="E68" s="2872"/>
      <c r="F68" s="1388"/>
      <c r="G68" s="1388"/>
      <c r="H68" s="1388"/>
      <c r="I68" s="1370"/>
      <c r="J68" s="1341"/>
      <c r="K68" s="1552"/>
      <c r="L68" s="1528"/>
      <c r="M68" s="1528"/>
      <c r="N68" s="1528"/>
    </row>
    <row r="69" spans="1:14" ht="99.95" customHeight="1">
      <c r="B69" s="2693" t="s">
        <v>1753</v>
      </c>
      <c r="C69" s="2872"/>
      <c r="D69" s="2872"/>
      <c r="E69" s="2872"/>
      <c r="F69" s="1388"/>
      <c r="G69" s="1388"/>
      <c r="H69" s="1388"/>
      <c r="I69" s="1370"/>
      <c r="J69" s="1341"/>
      <c r="K69" s="1552"/>
      <c r="L69" s="1528"/>
      <c r="M69" s="1528"/>
      <c r="N69" s="1528"/>
    </row>
    <row r="70" spans="1:14" ht="99.95" customHeight="1">
      <c r="B70" s="2693" t="s">
        <v>1754</v>
      </c>
      <c r="C70" s="2872"/>
      <c r="D70" s="2872"/>
      <c r="E70" s="2872"/>
      <c r="F70" s="1388"/>
      <c r="G70" s="1388"/>
      <c r="H70" s="1388"/>
      <c r="I70" s="1370"/>
      <c r="J70" s="1341"/>
      <c r="K70" s="1552"/>
      <c r="L70" s="1528"/>
      <c r="M70" s="1528"/>
      <c r="N70" s="1528"/>
    </row>
    <row r="71" spans="1:14" ht="75" customHeight="1">
      <c r="A71" s="1430" t="s">
        <v>0</v>
      </c>
      <c r="B71" s="2693" t="s">
        <v>1755</v>
      </c>
      <c r="C71" s="2872"/>
      <c r="D71" s="2872"/>
      <c r="E71" s="2872"/>
      <c r="F71" s="1388"/>
      <c r="G71" s="1388"/>
      <c r="H71" s="1388"/>
      <c r="I71" s="1370"/>
      <c r="J71" s="1341"/>
      <c r="K71" s="1552"/>
      <c r="L71" s="1528"/>
      <c r="M71" s="1528"/>
      <c r="N71" s="1528"/>
    </row>
    <row r="72" spans="1:14" ht="76.5" customHeight="1">
      <c r="B72" s="2693" t="s">
        <v>1756</v>
      </c>
      <c r="C72" s="2694"/>
      <c r="D72" s="2694"/>
      <c r="E72" s="2733"/>
      <c r="F72" s="1388"/>
      <c r="G72" s="1388"/>
      <c r="H72" s="1388"/>
      <c r="I72" s="1370"/>
      <c r="J72" s="1341"/>
      <c r="K72" s="1552"/>
      <c r="L72" s="1528"/>
      <c r="M72" s="1528"/>
      <c r="N72" s="1528"/>
    </row>
    <row r="73" spans="1:14" ht="25.5">
      <c r="A73" s="1324"/>
      <c r="C73" s="1524"/>
      <c r="K73" s="1324"/>
    </row>
    <row r="74" spans="1:14" ht="25.5">
      <c r="A74" s="1324"/>
      <c r="C74" s="1524"/>
      <c r="K74" s="1324"/>
    </row>
    <row r="75" spans="1:14" ht="25.5">
      <c r="A75" s="1324"/>
      <c r="C75" s="1524"/>
      <c r="K75" s="1324"/>
    </row>
    <row r="77" spans="1:14">
      <c r="N77" s="1324" t="s">
        <v>362</v>
      </c>
    </row>
    <row r="78" spans="1:14">
      <c r="N78" s="1426" t="s">
        <v>364</v>
      </c>
    </row>
    <row r="79" spans="1:14">
      <c r="N79" s="1426" t="s">
        <v>363</v>
      </c>
    </row>
    <row r="188" spans="2:2" ht="18">
      <c r="B188" s="794"/>
    </row>
  </sheetData>
  <sheetProtection formatCells="0" formatColumns="0" formatRows="0" insertColumns="0" insertRows="0"/>
  <mergeCells count="50">
    <mergeCell ref="B67:E67"/>
    <mergeCell ref="B61:E61"/>
    <mergeCell ref="B64:E64"/>
    <mergeCell ref="B72:E72"/>
    <mergeCell ref="B68:E68"/>
    <mergeCell ref="B69:E69"/>
    <mergeCell ref="B70:E70"/>
    <mergeCell ref="B71:E71"/>
    <mergeCell ref="B62:E62"/>
    <mergeCell ref="B66:E66"/>
    <mergeCell ref="B65:E65"/>
    <mergeCell ref="B56:E56"/>
    <mergeCell ref="B54:E54"/>
    <mergeCell ref="B28:G28"/>
    <mergeCell ref="B29:G29"/>
    <mergeCell ref="B63:E63"/>
    <mergeCell ref="B58:E58"/>
    <mergeCell ref="B60:E60"/>
    <mergeCell ref="B57:E57"/>
    <mergeCell ref="B59:E59"/>
    <mergeCell ref="B48:E48"/>
    <mergeCell ref="B49:E49"/>
    <mergeCell ref="C47:E47"/>
    <mergeCell ref="B50:E50"/>
    <mergeCell ref="B53:E53"/>
    <mergeCell ref="B55:E55"/>
    <mergeCell ref="B52:E52"/>
    <mergeCell ref="H5:I5"/>
    <mergeCell ref="H6:I6"/>
    <mergeCell ref="H7:I7"/>
    <mergeCell ref="B14:G14"/>
    <mergeCell ref="B10:G10"/>
    <mergeCell ref="B8:G8"/>
    <mergeCell ref="B9:G9"/>
    <mergeCell ref="H8:I8"/>
    <mergeCell ref="H9:I9"/>
    <mergeCell ref="B13:G13"/>
    <mergeCell ref="B31:E31"/>
    <mergeCell ref="B51:E51"/>
    <mergeCell ref="B11:G11"/>
    <mergeCell ref="B12:G12"/>
    <mergeCell ref="B33:E33"/>
    <mergeCell ref="B25:G25"/>
    <mergeCell ref="B26:G26"/>
    <mergeCell ref="B27:G27"/>
    <mergeCell ref="B32:E32"/>
    <mergeCell ref="B23:G23"/>
    <mergeCell ref="C46:E46"/>
    <mergeCell ref="G34:G44"/>
    <mergeCell ref="B24:G24"/>
  </mergeCells>
  <dataValidations count="1">
    <dataValidation type="list" allowBlank="1" showInputMessage="1" showErrorMessage="1" sqref="H34:I44 JD34:JE44 SZ34:TA44 ACV34:ACW44 AMR34:AMS44 AWN34:AWO44 BGJ34:BGK44 BQF34:BQG44 CAB34:CAC44 CJX34:CJY44 CTT34:CTU44 DDP34:DDQ44 DNL34:DNM44 DXH34:DXI44 EHD34:EHE44 EQZ34:ERA44 FAV34:FAW44 FKR34:FKS44 FUN34:FUO44 GEJ34:GEK44 GOF34:GOG44 GYB34:GYC44 HHX34:HHY44 HRT34:HRU44 IBP34:IBQ44 ILL34:ILM44 IVH34:IVI44 JFD34:JFE44 JOZ34:JPA44 JYV34:JYW44 KIR34:KIS44 KSN34:KSO44 LCJ34:LCK44 LMF34:LMG44 LWB34:LWC44 MFX34:MFY44 MPT34:MPU44 MZP34:MZQ44 NJL34:NJM44 NTH34:NTI44 ODD34:ODE44 OMZ34:ONA44 OWV34:OWW44 PGR34:PGS44 PQN34:PQO44 QAJ34:QAK44 QKF34:QKG44 QUB34:QUC44 RDX34:RDY44 RNT34:RNU44 RXP34:RXQ44 SHL34:SHM44 SRH34:SRI44 TBD34:TBE44 TKZ34:TLA44 TUV34:TUW44 UER34:UES44 UON34:UOO44 UYJ34:UYK44 VIF34:VIG44 VSB34:VSC44 WBX34:WBY44 WLT34:WLU44 WVP34:WVQ44 H65570:I65580 JD65570:JE65580 SZ65570:TA65580 ACV65570:ACW65580 AMR65570:AMS65580 AWN65570:AWO65580 BGJ65570:BGK65580 BQF65570:BQG65580 CAB65570:CAC65580 CJX65570:CJY65580 CTT65570:CTU65580 DDP65570:DDQ65580 DNL65570:DNM65580 DXH65570:DXI65580 EHD65570:EHE65580 EQZ65570:ERA65580 FAV65570:FAW65580 FKR65570:FKS65580 FUN65570:FUO65580 GEJ65570:GEK65580 GOF65570:GOG65580 GYB65570:GYC65580 HHX65570:HHY65580 HRT65570:HRU65580 IBP65570:IBQ65580 ILL65570:ILM65580 IVH65570:IVI65580 JFD65570:JFE65580 JOZ65570:JPA65580 JYV65570:JYW65580 KIR65570:KIS65580 KSN65570:KSO65580 LCJ65570:LCK65580 LMF65570:LMG65580 LWB65570:LWC65580 MFX65570:MFY65580 MPT65570:MPU65580 MZP65570:MZQ65580 NJL65570:NJM65580 NTH65570:NTI65580 ODD65570:ODE65580 OMZ65570:ONA65580 OWV65570:OWW65580 PGR65570:PGS65580 PQN65570:PQO65580 QAJ65570:QAK65580 QKF65570:QKG65580 QUB65570:QUC65580 RDX65570:RDY65580 RNT65570:RNU65580 RXP65570:RXQ65580 SHL65570:SHM65580 SRH65570:SRI65580 TBD65570:TBE65580 TKZ65570:TLA65580 TUV65570:TUW65580 UER65570:UES65580 UON65570:UOO65580 UYJ65570:UYK65580 VIF65570:VIG65580 VSB65570:VSC65580 WBX65570:WBY65580 WLT65570:WLU65580 WVP65570:WVQ65580 H131106:I131116 JD131106:JE131116 SZ131106:TA131116 ACV131106:ACW131116 AMR131106:AMS131116 AWN131106:AWO131116 BGJ131106:BGK131116 BQF131106:BQG131116 CAB131106:CAC131116 CJX131106:CJY131116 CTT131106:CTU131116 DDP131106:DDQ131116 DNL131106:DNM131116 DXH131106:DXI131116 EHD131106:EHE131116 EQZ131106:ERA131116 FAV131106:FAW131116 FKR131106:FKS131116 FUN131106:FUO131116 GEJ131106:GEK131116 GOF131106:GOG131116 GYB131106:GYC131116 HHX131106:HHY131116 HRT131106:HRU131116 IBP131106:IBQ131116 ILL131106:ILM131116 IVH131106:IVI131116 JFD131106:JFE131116 JOZ131106:JPA131116 JYV131106:JYW131116 KIR131106:KIS131116 KSN131106:KSO131116 LCJ131106:LCK131116 LMF131106:LMG131116 LWB131106:LWC131116 MFX131106:MFY131116 MPT131106:MPU131116 MZP131106:MZQ131116 NJL131106:NJM131116 NTH131106:NTI131116 ODD131106:ODE131116 OMZ131106:ONA131116 OWV131106:OWW131116 PGR131106:PGS131116 PQN131106:PQO131116 QAJ131106:QAK131116 QKF131106:QKG131116 QUB131106:QUC131116 RDX131106:RDY131116 RNT131106:RNU131116 RXP131106:RXQ131116 SHL131106:SHM131116 SRH131106:SRI131116 TBD131106:TBE131116 TKZ131106:TLA131116 TUV131106:TUW131116 UER131106:UES131116 UON131106:UOO131116 UYJ131106:UYK131116 VIF131106:VIG131116 VSB131106:VSC131116 WBX131106:WBY131116 WLT131106:WLU131116 WVP131106:WVQ131116 H196642:I196652 JD196642:JE196652 SZ196642:TA196652 ACV196642:ACW196652 AMR196642:AMS196652 AWN196642:AWO196652 BGJ196642:BGK196652 BQF196642:BQG196652 CAB196642:CAC196652 CJX196642:CJY196652 CTT196642:CTU196652 DDP196642:DDQ196652 DNL196642:DNM196652 DXH196642:DXI196652 EHD196642:EHE196652 EQZ196642:ERA196652 FAV196642:FAW196652 FKR196642:FKS196652 FUN196642:FUO196652 GEJ196642:GEK196652 GOF196642:GOG196652 GYB196642:GYC196652 HHX196642:HHY196652 HRT196642:HRU196652 IBP196642:IBQ196652 ILL196642:ILM196652 IVH196642:IVI196652 JFD196642:JFE196652 JOZ196642:JPA196652 JYV196642:JYW196652 KIR196642:KIS196652 KSN196642:KSO196652 LCJ196642:LCK196652 LMF196642:LMG196652 LWB196642:LWC196652 MFX196642:MFY196652 MPT196642:MPU196652 MZP196642:MZQ196652 NJL196642:NJM196652 NTH196642:NTI196652 ODD196642:ODE196652 OMZ196642:ONA196652 OWV196642:OWW196652 PGR196642:PGS196652 PQN196642:PQO196652 QAJ196642:QAK196652 QKF196642:QKG196652 QUB196642:QUC196652 RDX196642:RDY196652 RNT196642:RNU196652 RXP196642:RXQ196652 SHL196642:SHM196652 SRH196642:SRI196652 TBD196642:TBE196652 TKZ196642:TLA196652 TUV196642:TUW196652 UER196642:UES196652 UON196642:UOO196652 UYJ196642:UYK196652 VIF196642:VIG196652 VSB196642:VSC196652 WBX196642:WBY196652 WLT196642:WLU196652 WVP196642:WVQ196652 H262178:I262188 JD262178:JE262188 SZ262178:TA262188 ACV262178:ACW262188 AMR262178:AMS262188 AWN262178:AWO262188 BGJ262178:BGK262188 BQF262178:BQG262188 CAB262178:CAC262188 CJX262178:CJY262188 CTT262178:CTU262188 DDP262178:DDQ262188 DNL262178:DNM262188 DXH262178:DXI262188 EHD262178:EHE262188 EQZ262178:ERA262188 FAV262178:FAW262188 FKR262178:FKS262188 FUN262178:FUO262188 GEJ262178:GEK262188 GOF262178:GOG262188 GYB262178:GYC262188 HHX262178:HHY262188 HRT262178:HRU262188 IBP262178:IBQ262188 ILL262178:ILM262188 IVH262178:IVI262188 JFD262178:JFE262188 JOZ262178:JPA262188 JYV262178:JYW262188 KIR262178:KIS262188 KSN262178:KSO262188 LCJ262178:LCK262188 LMF262178:LMG262188 LWB262178:LWC262188 MFX262178:MFY262188 MPT262178:MPU262188 MZP262178:MZQ262188 NJL262178:NJM262188 NTH262178:NTI262188 ODD262178:ODE262188 OMZ262178:ONA262188 OWV262178:OWW262188 PGR262178:PGS262188 PQN262178:PQO262188 QAJ262178:QAK262188 QKF262178:QKG262188 QUB262178:QUC262188 RDX262178:RDY262188 RNT262178:RNU262188 RXP262178:RXQ262188 SHL262178:SHM262188 SRH262178:SRI262188 TBD262178:TBE262188 TKZ262178:TLA262188 TUV262178:TUW262188 UER262178:UES262188 UON262178:UOO262188 UYJ262178:UYK262188 VIF262178:VIG262188 VSB262178:VSC262188 WBX262178:WBY262188 WLT262178:WLU262188 WVP262178:WVQ262188 H327714:I327724 JD327714:JE327724 SZ327714:TA327724 ACV327714:ACW327724 AMR327714:AMS327724 AWN327714:AWO327724 BGJ327714:BGK327724 BQF327714:BQG327724 CAB327714:CAC327724 CJX327714:CJY327724 CTT327714:CTU327724 DDP327714:DDQ327724 DNL327714:DNM327724 DXH327714:DXI327724 EHD327714:EHE327724 EQZ327714:ERA327724 FAV327714:FAW327724 FKR327714:FKS327724 FUN327714:FUO327724 GEJ327714:GEK327724 GOF327714:GOG327724 GYB327714:GYC327724 HHX327714:HHY327724 HRT327714:HRU327724 IBP327714:IBQ327724 ILL327714:ILM327724 IVH327714:IVI327724 JFD327714:JFE327724 JOZ327714:JPA327724 JYV327714:JYW327724 KIR327714:KIS327724 KSN327714:KSO327724 LCJ327714:LCK327724 LMF327714:LMG327724 LWB327714:LWC327724 MFX327714:MFY327724 MPT327714:MPU327724 MZP327714:MZQ327724 NJL327714:NJM327724 NTH327714:NTI327724 ODD327714:ODE327724 OMZ327714:ONA327724 OWV327714:OWW327724 PGR327714:PGS327724 PQN327714:PQO327724 QAJ327714:QAK327724 QKF327714:QKG327724 QUB327714:QUC327724 RDX327714:RDY327724 RNT327714:RNU327724 RXP327714:RXQ327724 SHL327714:SHM327724 SRH327714:SRI327724 TBD327714:TBE327724 TKZ327714:TLA327724 TUV327714:TUW327724 UER327714:UES327724 UON327714:UOO327724 UYJ327714:UYK327724 VIF327714:VIG327724 VSB327714:VSC327724 WBX327714:WBY327724 WLT327714:WLU327724 WVP327714:WVQ327724 H393250:I393260 JD393250:JE393260 SZ393250:TA393260 ACV393250:ACW393260 AMR393250:AMS393260 AWN393250:AWO393260 BGJ393250:BGK393260 BQF393250:BQG393260 CAB393250:CAC393260 CJX393250:CJY393260 CTT393250:CTU393260 DDP393250:DDQ393260 DNL393250:DNM393260 DXH393250:DXI393260 EHD393250:EHE393260 EQZ393250:ERA393260 FAV393250:FAW393260 FKR393250:FKS393260 FUN393250:FUO393260 GEJ393250:GEK393260 GOF393250:GOG393260 GYB393250:GYC393260 HHX393250:HHY393260 HRT393250:HRU393260 IBP393250:IBQ393260 ILL393250:ILM393260 IVH393250:IVI393260 JFD393250:JFE393260 JOZ393250:JPA393260 JYV393250:JYW393260 KIR393250:KIS393260 KSN393250:KSO393260 LCJ393250:LCK393260 LMF393250:LMG393260 LWB393250:LWC393260 MFX393250:MFY393260 MPT393250:MPU393260 MZP393250:MZQ393260 NJL393250:NJM393260 NTH393250:NTI393260 ODD393250:ODE393260 OMZ393250:ONA393260 OWV393250:OWW393260 PGR393250:PGS393260 PQN393250:PQO393260 QAJ393250:QAK393260 QKF393250:QKG393260 QUB393250:QUC393260 RDX393250:RDY393260 RNT393250:RNU393260 RXP393250:RXQ393260 SHL393250:SHM393260 SRH393250:SRI393260 TBD393250:TBE393260 TKZ393250:TLA393260 TUV393250:TUW393260 UER393250:UES393260 UON393250:UOO393260 UYJ393250:UYK393260 VIF393250:VIG393260 VSB393250:VSC393260 WBX393250:WBY393260 WLT393250:WLU393260 WVP393250:WVQ393260 H458786:I458796 JD458786:JE458796 SZ458786:TA458796 ACV458786:ACW458796 AMR458786:AMS458796 AWN458786:AWO458796 BGJ458786:BGK458796 BQF458786:BQG458796 CAB458786:CAC458796 CJX458786:CJY458796 CTT458786:CTU458796 DDP458786:DDQ458796 DNL458786:DNM458796 DXH458786:DXI458796 EHD458786:EHE458796 EQZ458786:ERA458796 FAV458786:FAW458796 FKR458786:FKS458796 FUN458786:FUO458796 GEJ458786:GEK458796 GOF458786:GOG458796 GYB458786:GYC458796 HHX458786:HHY458796 HRT458786:HRU458796 IBP458786:IBQ458796 ILL458786:ILM458796 IVH458786:IVI458796 JFD458786:JFE458796 JOZ458786:JPA458796 JYV458786:JYW458796 KIR458786:KIS458796 KSN458786:KSO458796 LCJ458786:LCK458796 LMF458786:LMG458796 LWB458786:LWC458796 MFX458786:MFY458796 MPT458786:MPU458796 MZP458786:MZQ458796 NJL458786:NJM458796 NTH458786:NTI458796 ODD458786:ODE458796 OMZ458786:ONA458796 OWV458786:OWW458796 PGR458786:PGS458796 PQN458786:PQO458796 QAJ458786:QAK458796 QKF458786:QKG458796 QUB458786:QUC458796 RDX458786:RDY458796 RNT458786:RNU458796 RXP458786:RXQ458796 SHL458786:SHM458796 SRH458786:SRI458796 TBD458786:TBE458796 TKZ458786:TLA458796 TUV458786:TUW458796 UER458786:UES458796 UON458786:UOO458796 UYJ458786:UYK458796 VIF458786:VIG458796 VSB458786:VSC458796 WBX458786:WBY458796 WLT458786:WLU458796 WVP458786:WVQ458796 H524322:I524332 JD524322:JE524332 SZ524322:TA524332 ACV524322:ACW524332 AMR524322:AMS524332 AWN524322:AWO524332 BGJ524322:BGK524332 BQF524322:BQG524332 CAB524322:CAC524332 CJX524322:CJY524332 CTT524322:CTU524332 DDP524322:DDQ524332 DNL524322:DNM524332 DXH524322:DXI524332 EHD524322:EHE524332 EQZ524322:ERA524332 FAV524322:FAW524332 FKR524322:FKS524332 FUN524322:FUO524332 GEJ524322:GEK524332 GOF524322:GOG524332 GYB524322:GYC524332 HHX524322:HHY524332 HRT524322:HRU524332 IBP524322:IBQ524332 ILL524322:ILM524332 IVH524322:IVI524332 JFD524322:JFE524332 JOZ524322:JPA524332 JYV524322:JYW524332 KIR524322:KIS524332 KSN524322:KSO524332 LCJ524322:LCK524332 LMF524322:LMG524332 LWB524322:LWC524332 MFX524322:MFY524332 MPT524322:MPU524332 MZP524322:MZQ524332 NJL524322:NJM524332 NTH524322:NTI524332 ODD524322:ODE524332 OMZ524322:ONA524332 OWV524322:OWW524332 PGR524322:PGS524332 PQN524322:PQO524332 QAJ524322:QAK524332 QKF524322:QKG524332 QUB524322:QUC524332 RDX524322:RDY524332 RNT524322:RNU524332 RXP524322:RXQ524332 SHL524322:SHM524332 SRH524322:SRI524332 TBD524322:TBE524332 TKZ524322:TLA524332 TUV524322:TUW524332 UER524322:UES524332 UON524322:UOO524332 UYJ524322:UYK524332 VIF524322:VIG524332 VSB524322:VSC524332 WBX524322:WBY524332 WLT524322:WLU524332 WVP524322:WVQ524332 H589858:I589868 JD589858:JE589868 SZ589858:TA589868 ACV589858:ACW589868 AMR589858:AMS589868 AWN589858:AWO589868 BGJ589858:BGK589868 BQF589858:BQG589868 CAB589858:CAC589868 CJX589858:CJY589868 CTT589858:CTU589868 DDP589858:DDQ589868 DNL589858:DNM589868 DXH589858:DXI589868 EHD589858:EHE589868 EQZ589858:ERA589868 FAV589858:FAW589868 FKR589858:FKS589868 FUN589858:FUO589868 GEJ589858:GEK589868 GOF589858:GOG589868 GYB589858:GYC589868 HHX589858:HHY589868 HRT589858:HRU589868 IBP589858:IBQ589868 ILL589858:ILM589868 IVH589858:IVI589868 JFD589858:JFE589868 JOZ589858:JPA589868 JYV589858:JYW589868 KIR589858:KIS589868 KSN589858:KSO589868 LCJ589858:LCK589868 LMF589858:LMG589868 LWB589858:LWC589868 MFX589858:MFY589868 MPT589858:MPU589868 MZP589858:MZQ589868 NJL589858:NJM589868 NTH589858:NTI589868 ODD589858:ODE589868 OMZ589858:ONA589868 OWV589858:OWW589868 PGR589858:PGS589868 PQN589858:PQO589868 QAJ589858:QAK589868 QKF589858:QKG589868 QUB589858:QUC589868 RDX589858:RDY589868 RNT589858:RNU589868 RXP589858:RXQ589868 SHL589858:SHM589868 SRH589858:SRI589868 TBD589858:TBE589868 TKZ589858:TLA589868 TUV589858:TUW589868 UER589858:UES589868 UON589858:UOO589868 UYJ589858:UYK589868 VIF589858:VIG589868 VSB589858:VSC589868 WBX589858:WBY589868 WLT589858:WLU589868 WVP589858:WVQ589868 H655394:I655404 JD655394:JE655404 SZ655394:TA655404 ACV655394:ACW655404 AMR655394:AMS655404 AWN655394:AWO655404 BGJ655394:BGK655404 BQF655394:BQG655404 CAB655394:CAC655404 CJX655394:CJY655404 CTT655394:CTU655404 DDP655394:DDQ655404 DNL655394:DNM655404 DXH655394:DXI655404 EHD655394:EHE655404 EQZ655394:ERA655404 FAV655394:FAW655404 FKR655394:FKS655404 FUN655394:FUO655404 GEJ655394:GEK655404 GOF655394:GOG655404 GYB655394:GYC655404 HHX655394:HHY655404 HRT655394:HRU655404 IBP655394:IBQ655404 ILL655394:ILM655404 IVH655394:IVI655404 JFD655394:JFE655404 JOZ655394:JPA655404 JYV655394:JYW655404 KIR655394:KIS655404 KSN655394:KSO655404 LCJ655394:LCK655404 LMF655394:LMG655404 LWB655394:LWC655404 MFX655394:MFY655404 MPT655394:MPU655404 MZP655394:MZQ655404 NJL655394:NJM655404 NTH655394:NTI655404 ODD655394:ODE655404 OMZ655394:ONA655404 OWV655394:OWW655404 PGR655394:PGS655404 PQN655394:PQO655404 QAJ655394:QAK655404 QKF655394:QKG655404 QUB655394:QUC655404 RDX655394:RDY655404 RNT655394:RNU655404 RXP655394:RXQ655404 SHL655394:SHM655404 SRH655394:SRI655404 TBD655394:TBE655404 TKZ655394:TLA655404 TUV655394:TUW655404 UER655394:UES655404 UON655394:UOO655404 UYJ655394:UYK655404 VIF655394:VIG655404 VSB655394:VSC655404 WBX655394:WBY655404 WLT655394:WLU655404 WVP655394:WVQ655404 H720930:I720940 JD720930:JE720940 SZ720930:TA720940 ACV720930:ACW720940 AMR720930:AMS720940 AWN720930:AWO720940 BGJ720930:BGK720940 BQF720930:BQG720940 CAB720930:CAC720940 CJX720930:CJY720940 CTT720930:CTU720940 DDP720930:DDQ720940 DNL720930:DNM720940 DXH720930:DXI720940 EHD720930:EHE720940 EQZ720930:ERA720940 FAV720930:FAW720940 FKR720930:FKS720940 FUN720930:FUO720940 GEJ720930:GEK720940 GOF720930:GOG720940 GYB720930:GYC720940 HHX720930:HHY720940 HRT720930:HRU720940 IBP720930:IBQ720940 ILL720930:ILM720940 IVH720930:IVI720940 JFD720930:JFE720940 JOZ720930:JPA720940 JYV720930:JYW720940 KIR720930:KIS720940 KSN720930:KSO720940 LCJ720930:LCK720940 LMF720930:LMG720940 LWB720930:LWC720940 MFX720930:MFY720940 MPT720930:MPU720940 MZP720930:MZQ720940 NJL720930:NJM720940 NTH720930:NTI720940 ODD720930:ODE720940 OMZ720930:ONA720940 OWV720930:OWW720940 PGR720930:PGS720940 PQN720930:PQO720940 QAJ720930:QAK720940 QKF720930:QKG720940 QUB720930:QUC720940 RDX720930:RDY720940 RNT720930:RNU720940 RXP720930:RXQ720940 SHL720930:SHM720940 SRH720930:SRI720940 TBD720930:TBE720940 TKZ720930:TLA720940 TUV720930:TUW720940 UER720930:UES720940 UON720930:UOO720940 UYJ720930:UYK720940 VIF720930:VIG720940 VSB720930:VSC720940 WBX720930:WBY720940 WLT720930:WLU720940 WVP720930:WVQ720940 H786466:I786476 JD786466:JE786476 SZ786466:TA786476 ACV786466:ACW786476 AMR786466:AMS786476 AWN786466:AWO786476 BGJ786466:BGK786476 BQF786466:BQG786476 CAB786466:CAC786476 CJX786466:CJY786476 CTT786466:CTU786476 DDP786466:DDQ786476 DNL786466:DNM786476 DXH786466:DXI786476 EHD786466:EHE786476 EQZ786466:ERA786476 FAV786466:FAW786476 FKR786466:FKS786476 FUN786466:FUO786476 GEJ786466:GEK786476 GOF786466:GOG786476 GYB786466:GYC786476 HHX786466:HHY786476 HRT786466:HRU786476 IBP786466:IBQ786476 ILL786466:ILM786476 IVH786466:IVI786476 JFD786466:JFE786476 JOZ786466:JPA786476 JYV786466:JYW786476 KIR786466:KIS786476 KSN786466:KSO786476 LCJ786466:LCK786476 LMF786466:LMG786476 LWB786466:LWC786476 MFX786466:MFY786476 MPT786466:MPU786476 MZP786466:MZQ786476 NJL786466:NJM786476 NTH786466:NTI786476 ODD786466:ODE786476 OMZ786466:ONA786476 OWV786466:OWW786476 PGR786466:PGS786476 PQN786466:PQO786476 QAJ786466:QAK786476 QKF786466:QKG786476 QUB786466:QUC786476 RDX786466:RDY786476 RNT786466:RNU786476 RXP786466:RXQ786476 SHL786466:SHM786476 SRH786466:SRI786476 TBD786466:TBE786476 TKZ786466:TLA786476 TUV786466:TUW786476 UER786466:UES786476 UON786466:UOO786476 UYJ786466:UYK786476 VIF786466:VIG786476 VSB786466:VSC786476 WBX786466:WBY786476 WLT786466:WLU786476 WVP786466:WVQ786476 H852002:I852012 JD852002:JE852012 SZ852002:TA852012 ACV852002:ACW852012 AMR852002:AMS852012 AWN852002:AWO852012 BGJ852002:BGK852012 BQF852002:BQG852012 CAB852002:CAC852012 CJX852002:CJY852012 CTT852002:CTU852012 DDP852002:DDQ852012 DNL852002:DNM852012 DXH852002:DXI852012 EHD852002:EHE852012 EQZ852002:ERA852012 FAV852002:FAW852012 FKR852002:FKS852012 FUN852002:FUO852012 GEJ852002:GEK852012 GOF852002:GOG852012 GYB852002:GYC852012 HHX852002:HHY852012 HRT852002:HRU852012 IBP852002:IBQ852012 ILL852002:ILM852012 IVH852002:IVI852012 JFD852002:JFE852012 JOZ852002:JPA852012 JYV852002:JYW852012 KIR852002:KIS852012 KSN852002:KSO852012 LCJ852002:LCK852012 LMF852002:LMG852012 LWB852002:LWC852012 MFX852002:MFY852012 MPT852002:MPU852012 MZP852002:MZQ852012 NJL852002:NJM852012 NTH852002:NTI852012 ODD852002:ODE852012 OMZ852002:ONA852012 OWV852002:OWW852012 PGR852002:PGS852012 PQN852002:PQO852012 QAJ852002:QAK852012 QKF852002:QKG852012 QUB852002:QUC852012 RDX852002:RDY852012 RNT852002:RNU852012 RXP852002:RXQ852012 SHL852002:SHM852012 SRH852002:SRI852012 TBD852002:TBE852012 TKZ852002:TLA852012 TUV852002:TUW852012 UER852002:UES852012 UON852002:UOO852012 UYJ852002:UYK852012 VIF852002:VIG852012 VSB852002:VSC852012 WBX852002:WBY852012 WLT852002:WLU852012 WVP852002:WVQ852012 H917538:I917548 JD917538:JE917548 SZ917538:TA917548 ACV917538:ACW917548 AMR917538:AMS917548 AWN917538:AWO917548 BGJ917538:BGK917548 BQF917538:BQG917548 CAB917538:CAC917548 CJX917538:CJY917548 CTT917538:CTU917548 DDP917538:DDQ917548 DNL917538:DNM917548 DXH917538:DXI917548 EHD917538:EHE917548 EQZ917538:ERA917548 FAV917538:FAW917548 FKR917538:FKS917548 FUN917538:FUO917548 GEJ917538:GEK917548 GOF917538:GOG917548 GYB917538:GYC917548 HHX917538:HHY917548 HRT917538:HRU917548 IBP917538:IBQ917548 ILL917538:ILM917548 IVH917538:IVI917548 JFD917538:JFE917548 JOZ917538:JPA917548 JYV917538:JYW917548 KIR917538:KIS917548 KSN917538:KSO917548 LCJ917538:LCK917548 LMF917538:LMG917548 LWB917538:LWC917548 MFX917538:MFY917548 MPT917538:MPU917548 MZP917538:MZQ917548 NJL917538:NJM917548 NTH917538:NTI917548 ODD917538:ODE917548 OMZ917538:ONA917548 OWV917538:OWW917548 PGR917538:PGS917548 PQN917538:PQO917548 QAJ917538:QAK917548 QKF917538:QKG917548 QUB917538:QUC917548 RDX917538:RDY917548 RNT917538:RNU917548 RXP917538:RXQ917548 SHL917538:SHM917548 SRH917538:SRI917548 TBD917538:TBE917548 TKZ917538:TLA917548 TUV917538:TUW917548 UER917538:UES917548 UON917538:UOO917548 UYJ917538:UYK917548 VIF917538:VIG917548 VSB917538:VSC917548 WBX917538:WBY917548 WLT917538:WLU917548 WVP917538:WVQ917548 H983074:I983084 JD983074:JE983084 SZ983074:TA983084 ACV983074:ACW983084 AMR983074:AMS983084 AWN983074:AWO983084 BGJ983074:BGK983084 BQF983074:BQG983084 CAB983074:CAC983084 CJX983074:CJY983084 CTT983074:CTU983084 DDP983074:DDQ983084 DNL983074:DNM983084 DXH983074:DXI983084 EHD983074:EHE983084 EQZ983074:ERA983084 FAV983074:FAW983084 FKR983074:FKS983084 FUN983074:FUO983084 GEJ983074:GEK983084 GOF983074:GOG983084 GYB983074:GYC983084 HHX983074:HHY983084 HRT983074:HRU983084 IBP983074:IBQ983084 ILL983074:ILM983084 IVH983074:IVI983084 JFD983074:JFE983084 JOZ983074:JPA983084 JYV983074:JYW983084 KIR983074:KIS983084 KSN983074:KSO983084 LCJ983074:LCK983084 LMF983074:LMG983084 LWB983074:LWC983084 MFX983074:MFY983084 MPT983074:MPU983084 MZP983074:MZQ983084 NJL983074:NJM983084 NTH983074:NTI983084 ODD983074:ODE983084 OMZ983074:ONA983084 OWV983074:OWW983084 PGR983074:PGS983084 PQN983074:PQO983084 QAJ983074:QAK983084 QKF983074:QKG983084 QUB983074:QUC983084 RDX983074:RDY983084 RNT983074:RNU983084 RXP983074:RXQ983084 SHL983074:SHM983084 SRH983074:SRI983084 TBD983074:TBE983084 TKZ983074:TLA983084 TUV983074:TUW983084 UER983074:UES983084 UON983074:UOO983084 UYJ983074:UYK983084 VIF983074:VIG983084 VSB983074:VSC983084 WBX983074:WBY983084 WLT983074:WLU983084 WVP983074:WVQ983084 H31:H32 JD31:JD32 SZ31:SZ32 ACV31:ACV32 AMR31:AMR32 AWN31:AWN32 BGJ31:BGJ32 BQF31:BQF32 CAB31:CAB32 CJX31:CJX32 CTT31:CTT32 DDP31:DDP32 DNL31:DNL32 DXH31:DXH32 EHD31:EHD32 EQZ31:EQZ32 FAV31:FAV32 FKR31:FKR32 FUN31:FUN32 GEJ31:GEJ32 GOF31:GOF32 GYB31:GYB32 HHX31:HHX32 HRT31:HRT32 IBP31:IBP32 ILL31:ILL32 IVH31:IVH32 JFD31:JFD32 JOZ31:JOZ32 JYV31:JYV32 KIR31:KIR32 KSN31:KSN32 LCJ31:LCJ32 LMF31:LMF32 LWB31:LWB32 MFX31:MFX32 MPT31:MPT32 MZP31:MZP32 NJL31:NJL32 NTH31:NTH32 ODD31:ODD32 OMZ31:OMZ32 OWV31:OWV32 PGR31:PGR32 PQN31:PQN32 QAJ31:QAJ32 QKF31:QKF32 QUB31:QUB32 RDX31:RDX32 RNT31:RNT32 RXP31:RXP32 SHL31:SHL32 SRH31:SRH32 TBD31:TBD32 TKZ31:TKZ32 TUV31:TUV32 UER31:UER32 UON31:UON32 UYJ31:UYJ32 VIF31:VIF32 VSB31:VSB32 WBX31:WBX32 WLT31:WLT32 WVP31:WVP32 H65567:H65568 JD65567:JD65568 SZ65567:SZ65568 ACV65567:ACV65568 AMR65567:AMR65568 AWN65567:AWN65568 BGJ65567:BGJ65568 BQF65567:BQF65568 CAB65567:CAB65568 CJX65567:CJX65568 CTT65567:CTT65568 DDP65567:DDP65568 DNL65567:DNL65568 DXH65567:DXH65568 EHD65567:EHD65568 EQZ65567:EQZ65568 FAV65567:FAV65568 FKR65567:FKR65568 FUN65567:FUN65568 GEJ65567:GEJ65568 GOF65567:GOF65568 GYB65567:GYB65568 HHX65567:HHX65568 HRT65567:HRT65568 IBP65567:IBP65568 ILL65567:ILL65568 IVH65567:IVH65568 JFD65567:JFD65568 JOZ65567:JOZ65568 JYV65567:JYV65568 KIR65567:KIR65568 KSN65567:KSN65568 LCJ65567:LCJ65568 LMF65567:LMF65568 LWB65567:LWB65568 MFX65567:MFX65568 MPT65567:MPT65568 MZP65567:MZP65568 NJL65567:NJL65568 NTH65567:NTH65568 ODD65567:ODD65568 OMZ65567:OMZ65568 OWV65567:OWV65568 PGR65567:PGR65568 PQN65567:PQN65568 QAJ65567:QAJ65568 QKF65567:QKF65568 QUB65567:QUB65568 RDX65567:RDX65568 RNT65567:RNT65568 RXP65567:RXP65568 SHL65567:SHL65568 SRH65567:SRH65568 TBD65567:TBD65568 TKZ65567:TKZ65568 TUV65567:TUV65568 UER65567:UER65568 UON65567:UON65568 UYJ65567:UYJ65568 VIF65567:VIF65568 VSB65567:VSB65568 WBX65567:WBX65568 WLT65567:WLT65568 WVP65567:WVP65568 H131103:H131104 JD131103:JD131104 SZ131103:SZ131104 ACV131103:ACV131104 AMR131103:AMR131104 AWN131103:AWN131104 BGJ131103:BGJ131104 BQF131103:BQF131104 CAB131103:CAB131104 CJX131103:CJX131104 CTT131103:CTT131104 DDP131103:DDP131104 DNL131103:DNL131104 DXH131103:DXH131104 EHD131103:EHD131104 EQZ131103:EQZ131104 FAV131103:FAV131104 FKR131103:FKR131104 FUN131103:FUN131104 GEJ131103:GEJ131104 GOF131103:GOF131104 GYB131103:GYB131104 HHX131103:HHX131104 HRT131103:HRT131104 IBP131103:IBP131104 ILL131103:ILL131104 IVH131103:IVH131104 JFD131103:JFD131104 JOZ131103:JOZ131104 JYV131103:JYV131104 KIR131103:KIR131104 KSN131103:KSN131104 LCJ131103:LCJ131104 LMF131103:LMF131104 LWB131103:LWB131104 MFX131103:MFX131104 MPT131103:MPT131104 MZP131103:MZP131104 NJL131103:NJL131104 NTH131103:NTH131104 ODD131103:ODD131104 OMZ131103:OMZ131104 OWV131103:OWV131104 PGR131103:PGR131104 PQN131103:PQN131104 QAJ131103:QAJ131104 QKF131103:QKF131104 QUB131103:QUB131104 RDX131103:RDX131104 RNT131103:RNT131104 RXP131103:RXP131104 SHL131103:SHL131104 SRH131103:SRH131104 TBD131103:TBD131104 TKZ131103:TKZ131104 TUV131103:TUV131104 UER131103:UER131104 UON131103:UON131104 UYJ131103:UYJ131104 VIF131103:VIF131104 VSB131103:VSB131104 WBX131103:WBX131104 WLT131103:WLT131104 WVP131103:WVP131104 H196639:H196640 JD196639:JD196640 SZ196639:SZ196640 ACV196639:ACV196640 AMR196639:AMR196640 AWN196639:AWN196640 BGJ196639:BGJ196640 BQF196639:BQF196640 CAB196639:CAB196640 CJX196639:CJX196640 CTT196639:CTT196640 DDP196639:DDP196640 DNL196639:DNL196640 DXH196639:DXH196640 EHD196639:EHD196640 EQZ196639:EQZ196640 FAV196639:FAV196640 FKR196639:FKR196640 FUN196639:FUN196640 GEJ196639:GEJ196640 GOF196639:GOF196640 GYB196639:GYB196640 HHX196639:HHX196640 HRT196639:HRT196640 IBP196639:IBP196640 ILL196639:ILL196640 IVH196639:IVH196640 JFD196639:JFD196640 JOZ196639:JOZ196640 JYV196639:JYV196640 KIR196639:KIR196640 KSN196639:KSN196640 LCJ196639:LCJ196640 LMF196639:LMF196640 LWB196639:LWB196640 MFX196639:MFX196640 MPT196639:MPT196640 MZP196639:MZP196640 NJL196639:NJL196640 NTH196639:NTH196640 ODD196639:ODD196640 OMZ196639:OMZ196640 OWV196639:OWV196640 PGR196639:PGR196640 PQN196639:PQN196640 QAJ196639:QAJ196640 QKF196639:QKF196640 QUB196639:QUB196640 RDX196639:RDX196640 RNT196639:RNT196640 RXP196639:RXP196640 SHL196639:SHL196640 SRH196639:SRH196640 TBD196639:TBD196640 TKZ196639:TKZ196640 TUV196639:TUV196640 UER196639:UER196640 UON196639:UON196640 UYJ196639:UYJ196640 VIF196639:VIF196640 VSB196639:VSB196640 WBX196639:WBX196640 WLT196639:WLT196640 WVP196639:WVP196640 H262175:H262176 JD262175:JD262176 SZ262175:SZ262176 ACV262175:ACV262176 AMR262175:AMR262176 AWN262175:AWN262176 BGJ262175:BGJ262176 BQF262175:BQF262176 CAB262175:CAB262176 CJX262175:CJX262176 CTT262175:CTT262176 DDP262175:DDP262176 DNL262175:DNL262176 DXH262175:DXH262176 EHD262175:EHD262176 EQZ262175:EQZ262176 FAV262175:FAV262176 FKR262175:FKR262176 FUN262175:FUN262176 GEJ262175:GEJ262176 GOF262175:GOF262176 GYB262175:GYB262176 HHX262175:HHX262176 HRT262175:HRT262176 IBP262175:IBP262176 ILL262175:ILL262176 IVH262175:IVH262176 JFD262175:JFD262176 JOZ262175:JOZ262176 JYV262175:JYV262176 KIR262175:KIR262176 KSN262175:KSN262176 LCJ262175:LCJ262176 LMF262175:LMF262176 LWB262175:LWB262176 MFX262175:MFX262176 MPT262175:MPT262176 MZP262175:MZP262176 NJL262175:NJL262176 NTH262175:NTH262176 ODD262175:ODD262176 OMZ262175:OMZ262176 OWV262175:OWV262176 PGR262175:PGR262176 PQN262175:PQN262176 QAJ262175:QAJ262176 QKF262175:QKF262176 QUB262175:QUB262176 RDX262175:RDX262176 RNT262175:RNT262176 RXP262175:RXP262176 SHL262175:SHL262176 SRH262175:SRH262176 TBD262175:TBD262176 TKZ262175:TKZ262176 TUV262175:TUV262176 UER262175:UER262176 UON262175:UON262176 UYJ262175:UYJ262176 VIF262175:VIF262176 VSB262175:VSB262176 WBX262175:WBX262176 WLT262175:WLT262176 WVP262175:WVP262176 H327711:H327712 JD327711:JD327712 SZ327711:SZ327712 ACV327711:ACV327712 AMR327711:AMR327712 AWN327711:AWN327712 BGJ327711:BGJ327712 BQF327711:BQF327712 CAB327711:CAB327712 CJX327711:CJX327712 CTT327711:CTT327712 DDP327711:DDP327712 DNL327711:DNL327712 DXH327711:DXH327712 EHD327711:EHD327712 EQZ327711:EQZ327712 FAV327711:FAV327712 FKR327711:FKR327712 FUN327711:FUN327712 GEJ327711:GEJ327712 GOF327711:GOF327712 GYB327711:GYB327712 HHX327711:HHX327712 HRT327711:HRT327712 IBP327711:IBP327712 ILL327711:ILL327712 IVH327711:IVH327712 JFD327711:JFD327712 JOZ327711:JOZ327712 JYV327711:JYV327712 KIR327711:KIR327712 KSN327711:KSN327712 LCJ327711:LCJ327712 LMF327711:LMF327712 LWB327711:LWB327712 MFX327711:MFX327712 MPT327711:MPT327712 MZP327711:MZP327712 NJL327711:NJL327712 NTH327711:NTH327712 ODD327711:ODD327712 OMZ327711:OMZ327712 OWV327711:OWV327712 PGR327711:PGR327712 PQN327711:PQN327712 QAJ327711:QAJ327712 QKF327711:QKF327712 QUB327711:QUB327712 RDX327711:RDX327712 RNT327711:RNT327712 RXP327711:RXP327712 SHL327711:SHL327712 SRH327711:SRH327712 TBD327711:TBD327712 TKZ327711:TKZ327712 TUV327711:TUV327712 UER327711:UER327712 UON327711:UON327712 UYJ327711:UYJ327712 VIF327711:VIF327712 VSB327711:VSB327712 WBX327711:WBX327712 WLT327711:WLT327712 WVP327711:WVP327712 H393247:H393248 JD393247:JD393248 SZ393247:SZ393248 ACV393247:ACV393248 AMR393247:AMR393248 AWN393247:AWN393248 BGJ393247:BGJ393248 BQF393247:BQF393248 CAB393247:CAB393248 CJX393247:CJX393248 CTT393247:CTT393248 DDP393247:DDP393248 DNL393247:DNL393248 DXH393247:DXH393248 EHD393247:EHD393248 EQZ393247:EQZ393248 FAV393247:FAV393248 FKR393247:FKR393248 FUN393247:FUN393248 GEJ393247:GEJ393248 GOF393247:GOF393248 GYB393247:GYB393248 HHX393247:HHX393248 HRT393247:HRT393248 IBP393247:IBP393248 ILL393247:ILL393248 IVH393247:IVH393248 JFD393247:JFD393248 JOZ393247:JOZ393248 JYV393247:JYV393248 KIR393247:KIR393248 KSN393247:KSN393248 LCJ393247:LCJ393248 LMF393247:LMF393248 LWB393247:LWB393248 MFX393247:MFX393248 MPT393247:MPT393248 MZP393247:MZP393248 NJL393247:NJL393248 NTH393247:NTH393248 ODD393247:ODD393248 OMZ393247:OMZ393248 OWV393247:OWV393248 PGR393247:PGR393248 PQN393247:PQN393248 QAJ393247:QAJ393248 QKF393247:QKF393248 QUB393247:QUB393248 RDX393247:RDX393248 RNT393247:RNT393248 RXP393247:RXP393248 SHL393247:SHL393248 SRH393247:SRH393248 TBD393247:TBD393248 TKZ393247:TKZ393248 TUV393247:TUV393248 UER393247:UER393248 UON393247:UON393248 UYJ393247:UYJ393248 VIF393247:VIF393248 VSB393247:VSB393248 WBX393247:WBX393248 WLT393247:WLT393248 WVP393247:WVP393248 H458783:H458784 JD458783:JD458784 SZ458783:SZ458784 ACV458783:ACV458784 AMR458783:AMR458784 AWN458783:AWN458784 BGJ458783:BGJ458784 BQF458783:BQF458784 CAB458783:CAB458784 CJX458783:CJX458784 CTT458783:CTT458784 DDP458783:DDP458784 DNL458783:DNL458784 DXH458783:DXH458784 EHD458783:EHD458784 EQZ458783:EQZ458784 FAV458783:FAV458784 FKR458783:FKR458784 FUN458783:FUN458784 GEJ458783:GEJ458784 GOF458783:GOF458784 GYB458783:GYB458784 HHX458783:HHX458784 HRT458783:HRT458784 IBP458783:IBP458784 ILL458783:ILL458784 IVH458783:IVH458784 JFD458783:JFD458784 JOZ458783:JOZ458784 JYV458783:JYV458784 KIR458783:KIR458784 KSN458783:KSN458784 LCJ458783:LCJ458784 LMF458783:LMF458784 LWB458783:LWB458784 MFX458783:MFX458784 MPT458783:MPT458784 MZP458783:MZP458784 NJL458783:NJL458784 NTH458783:NTH458784 ODD458783:ODD458784 OMZ458783:OMZ458784 OWV458783:OWV458784 PGR458783:PGR458784 PQN458783:PQN458784 QAJ458783:QAJ458784 QKF458783:QKF458784 QUB458783:QUB458784 RDX458783:RDX458784 RNT458783:RNT458784 RXP458783:RXP458784 SHL458783:SHL458784 SRH458783:SRH458784 TBD458783:TBD458784 TKZ458783:TKZ458784 TUV458783:TUV458784 UER458783:UER458784 UON458783:UON458784 UYJ458783:UYJ458784 VIF458783:VIF458784 VSB458783:VSB458784 WBX458783:WBX458784 WLT458783:WLT458784 WVP458783:WVP458784 H524319:H524320 JD524319:JD524320 SZ524319:SZ524320 ACV524319:ACV524320 AMR524319:AMR524320 AWN524319:AWN524320 BGJ524319:BGJ524320 BQF524319:BQF524320 CAB524319:CAB524320 CJX524319:CJX524320 CTT524319:CTT524320 DDP524319:DDP524320 DNL524319:DNL524320 DXH524319:DXH524320 EHD524319:EHD524320 EQZ524319:EQZ524320 FAV524319:FAV524320 FKR524319:FKR524320 FUN524319:FUN524320 GEJ524319:GEJ524320 GOF524319:GOF524320 GYB524319:GYB524320 HHX524319:HHX524320 HRT524319:HRT524320 IBP524319:IBP524320 ILL524319:ILL524320 IVH524319:IVH524320 JFD524319:JFD524320 JOZ524319:JOZ524320 JYV524319:JYV524320 KIR524319:KIR524320 KSN524319:KSN524320 LCJ524319:LCJ524320 LMF524319:LMF524320 LWB524319:LWB524320 MFX524319:MFX524320 MPT524319:MPT524320 MZP524319:MZP524320 NJL524319:NJL524320 NTH524319:NTH524320 ODD524319:ODD524320 OMZ524319:OMZ524320 OWV524319:OWV524320 PGR524319:PGR524320 PQN524319:PQN524320 QAJ524319:QAJ524320 QKF524319:QKF524320 QUB524319:QUB524320 RDX524319:RDX524320 RNT524319:RNT524320 RXP524319:RXP524320 SHL524319:SHL524320 SRH524319:SRH524320 TBD524319:TBD524320 TKZ524319:TKZ524320 TUV524319:TUV524320 UER524319:UER524320 UON524319:UON524320 UYJ524319:UYJ524320 VIF524319:VIF524320 VSB524319:VSB524320 WBX524319:WBX524320 WLT524319:WLT524320 WVP524319:WVP524320 H589855:H589856 JD589855:JD589856 SZ589855:SZ589856 ACV589855:ACV589856 AMR589855:AMR589856 AWN589855:AWN589856 BGJ589855:BGJ589856 BQF589855:BQF589856 CAB589855:CAB589856 CJX589855:CJX589856 CTT589855:CTT589856 DDP589855:DDP589856 DNL589855:DNL589856 DXH589855:DXH589856 EHD589855:EHD589856 EQZ589855:EQZ589856 FAV589855:FAV589856 FKR589855:FKR589856 FUN589855:FUN589856 GEJ589855:GEJ589856 GOF589855:GOF589856 GYB589855:GYB589856 HHX589855:HHX589856 HRT589855:HRT589856 IBP589855:IBP589856 ILL589855:ILL589856 IVH589855:IVH589856 JFD589855:JFD589856 JOZ589855:JOZ589856 JYV589855:JYV589856 KIR589855:KIR589856 KSN589855:KSN589856 LCJ589855:LCJ589856 LMF589855:LMF589856 LWB589855:LWB589856 MFX589855:MFX589856 MPT589855:MPT589856 MZP589855:MZP589856 NJL589855:NJL589856 NTH589855:NTH589856 ODD589855:ODD589856 OMZ589855:OMZ589856 OWV589855:OWV589856 PGR589855:PGR589856 PQN589855:PQN589856 QAJ589855:QAJ589856 QKF589855:QKF589856 QUB589855:QUB589856 RDX589855:RDX589856 RNT589855:RNT589856 RXP589855:RXP589856 SHL589855:SHL589856 SRH589855:SRH589856 TBD589855:TBD589856 TKZ589855:TKZ589856 TUV589855:TUV589856 UER589855:UER589856 UON589855:UON589856 UYJ589855:UYJ589856 VIF589855:VIF589856 VSB589855:VSB589856 WBX589855:WBX589856 WLT589855:WLT589856 WVP589855:WVP589856 H655391:H655392 JD655391:JD655392 SZ655391:SZ655392 ACV655391:ACV655392 AMR655391:AMR655392 AWN655391:AWN655392 BGJ655391:BGJ655392 BQF655391:BQF655392 CAB655391:CAB655392 CJX655391:CJX655392 CTT655391:CTT655392 DDP655391:DDP655392 DNL655391:DNL655392 DXH655391:DXH655392 EHD655391:EHD655392 EQZ655391:EQZ655392 FAV655391:FAV655392 FKR655391:FKR655392 FUN655391:FUN655392 GEJ655391:GEJ655392 GOF655391:GOF655392 GYB655391:GYB655392 HHX655391:HHX655392 HRT655391:HRT655392 IBP655391:IBP655392 ILL655391:ILL655392 IVH655391:IVH655392 JFD655391:JFD655392 JOZ655391:JOZ655392 JYV655391:JYV655392 KIR655391:KIR655392 KSN655391:KSN655392 LCJ655391:LCJ655392 LMF655391:LMF655392 LWB655391:LWB655392 MFX655391:MFX655392 MPT655391:MPT655392 MZP655391:MZP655392 NJL655391:NJL655392 NTH655391:NTH655392 ODD655391:ODD655392 OMZ655391:OMZ655392 OWV655391:OWV655392 PGR655391:PGR655392 PQN655391:PQN655392 QAJ655391:QAJ655392 QKF655391:QKF655392 QUB655391:QUB655392 RDX655391:RDX655392 RNT655391:RNT655392 RXP655391:RXP655392 SHL655391:SHL655392 SRH655391:SRH655392 TBD655391:TBD655392 TKZ655391:TKZ655392 TUV655391:TUV655392 UER655391:UER655392 UON655391:UON655392 UYJ655391:UYJ655392 VIF655391:VIF655392 VSB655391:VSB655392 WBX655391:WBX655392 WLT655391:WLT655392 WVP655391:WVP655392 H720927:H720928 JD720927:JD720928 SZ720927:SZ720928 ACV720927:ACV720928 AMR720927:AMR720928 AWN720927:AWN720928 BGJ720927:BGJ720928 BQF720927:BQF720928 CAB720927:CAB720928 CJX720927:CJX720928 CTT720927:CTT720928 DDP720927:DDP720928 DNL720927:DNL720928 DXH720927:DXH720928 EHD720927:EHD720928 EQZ720927:EQZ720928 FAV720927:FAV720928 FKR720927:FKR720928 FUN720927:FUN720928 GEJ720927:GEJ720928 GOF720927:GOF720928 GYB720927:GYB720928 HHX720927:HHX720928 HRT720927:HRT720928 IBP720927:IBP720928 ILL720927:ILL720928 IVH720927:IVH720928 JFD720927:JFD720928 JOZ720927:JOZ720928 JYV720927:JYV720928 KIR720927:KIR720928 KSN720927:KSN720928 LCJ720927:LCJ720928 LMF720927:LMF720928 LWB720927:LWB720928 MFX720927:MFX720928 MPT720927:MPT720928 MZP720927:MZP720928 NJL720927:NJL720928 NTH720927:NTH720928 ODD720927:ODD720928 OMZ720927:OMZ720928 OWV720927:OWV720928 PGR720927:PGR720928 PQN720927:PQN720928 QAJ720927:QAJ720928 QKF720927:QKF720928 QUB720927:QUB720928 RDX720927:RDX720928 RNT720927:RNT720928 RXP720927:RXP720928 SHL720927:SHL720928 SRH720927:SRH720928 TBD720927:TBD720928 TKZ720927:TKZ720928 TUV720927:TUV720928 UER720927:UER720928 UON720927:UON720928 UYJ720927:UYJ720928 VIF720927:VIF720928 VSB720927:VSB720928 WBX720927:WBX720928 WLT720927:WLT720928 WVP720927:WVP720928 H786463:H786464 JD786463:JD786464 SZ786463:SZ786464 ACV786463:ACV786464 AMR786463:AMR786464 AWN786463:AWN786464 BGJ786463:BGJ786464 BQF786463:BQF786464 CAB786463:CAB786464 CJX786463:CJX786464 CTT786463:CTT786464 DDP786463:DDP786464 DNL786463:DNL786464 DXH786463:DXH786464 EHD786463:EHD786464 EQZ786463:EQZ786464 FAV786463:FAV786464 FKR786463:FKR786464 FUN786463:FUN786464 GEJ786463:GEJ786464 GOF786463:GOF786464 GYB786463:GYB786464 HHX786463:HHX786464 HRT786463:HRT786464 IBP786463:IBP786464 ILL786463:ILL786464 IVH786463:IVH786464 JFD786463:JFD786464 JOZ786463:JOZ786464 JYV786463:JYV786464 KIR786463:KIR786464 KSN786463:KSN786464 LCJ786463:LCJ786464 LMF786463:LMF786464 LWB786463:LWB786464 MFX786463:MFX786464 MPT786463:MPT786464 MZP786463:MZP786464 NJL786463:NJL786464 NTH786463:NTH786464 ODD786463:ODD786464 OMZ786463:OMZ786464 OWV786463:OWV786464 PGR786463:PGR786464 PQN786463:PQN786464 QAJ786463:QAJ786464 QKF786463:QKF786464 QUB786463:QUB786464 RDX786463:RDX786464 RNT786463:RNT786464 RXP786463:RXP786464 SHL786463:SHL786464 SRH786463:SRH786464 TBD786463:TBD786464 TKZ786463:TKZ786464 TUV786463:TUV786464 UER786463:UER786464 UON786463:UON786464 UYJ786463:UYJ786464 VIF786463:VIF786464 VSB786463:VSB786464 WBX786463:WBX786464 WLT786463:WLT786464 WVP786463:WVP786464 H851999:H852000 JD851999:JD852000 SZ851999:SZ852000 ACV851999:ACV852000 AMR851999:AMR852000 AWN851999:AWN852000 BGJ851999:BGJ852000 BQF851999:BQF852000 CAB851999:CAB852000 CJX851999:CJX852000 CTT851999:CTT852000 DDP851999:DDP852000 DNL851999:DNL852000 DXH851999:DXH852000 EHD851999:EHD852000 EQZ851999:EQZ852000 FAV851999:FAV852000 FKR851999:FKR852000 FUN851999:FUN852000 GEJ851999:GEJ852000 GOF851999:GOF852000 GYB851999:GYB852000 HHX851999:HHX852000 HRT851999:HRT852000 IBP851999:IBP852000 ILL851999:ILL852000 IVH851999:IVH852000 JFD851999:JFD852000 JOZ851999:JOZ852000 JYV851999:JYV852000 KIR851999:KIR852000 KSN851999:KSN852000 LCJ851999:LCJ852000 LMF851999:LMF852000 LWB851999:LWB852000 MFX851999:MFX852000 MPT851999:MPT852000 MZP851999:MZP852000 NJL851999:NJL852000 NTH851999:NTH852000 ODD851999:ODD852000 OMZ851999:OMZ852000 OWV851999:OWV852000 PGR851999:PGR852000 PQN851999:PQN852000 QAJ851999:QAJ852000 QKF851999:QKF852000 QUB851999:QUB852000 RDX851999:RDX852000 RNT851999:RNT852000 RXP851999:RXP852000 SHL851999:SHL852000 SRH851999:SRH852000 TBD851999:TBD852000 TKZ851999:TKZ852000 TUV851999:TUV852000 UER851999:UER852000 UON851999:UON852000 UYJ851999:UYJ852000 VIF851999:VIF852000 VSB851999:VSB852000 WBX851999:WBX852000 WLT851999:WLT852000 WVP851999:WVP852000 H917535:H917536 JD917535:JD917536 SZ917535:SZ917536 ACV917535:ACV917536 AMR917535:AMR917536 AWN917535:AWN917536 BGJ917535:BGJ917536 BQF917535:BQF917536 CAB917535:CAB917536 CJX917535:CJX917536 CTT917535:CTT917536 DDP917535:DDP917536 DNL917535:DNL917536 DXH917535:DXH917536 EHD917535:EHD917536 EQZ917535:EQZ917536 FAV917535:FAV917536 FKR917535:FKR917536 FUN917535:FUN917536 GEJ917535:GEJ917536 GOF917535:GOF917536 GYB917535:GYB917536 HHX917535:HHX917536 HRT917535:HRT917536 IBP917535:IBP917536 ILL917535:ILL917536 IVH917535:IVH917536 JFD917535:JFD917536 JOZ917535:JOZ917536 JYV917535:JYV917536 KIR917535:KIR917536 KSN917535:KSN917536 LCJ917535:LCJ917536 LMF917535:LMF917536 LWB917535:LWB917536 MFX917535:MFX917536 MPT917535:MPT917536 MZP917535:MZP917536 NJL917535:NJL917536 NTH917535:NTH917536 ODD917535:ODD917536 OMZ917535:OMZ917536 OWV917535:OWV917536 PGR917535:PGR917536 PQN917535:PQN917536 QAJ917535:QAJ917536 QKF917535:QKF917536 QUB917535:QUB917536 RDX917535:RDX917536 RNT917535:RNT917536 RXP917535:RXP917536 SHL917535:SHL917536 SRH917535:SRH917536 TBD917535:TBD917536 TKZ917535:TKZ917536 TUV917535:TUV917536 UER917535:UER917536 UON917535:UON917536 UYJ917535:UYJ917536 VIF917535:VIF917536 VSB917535:VSB917536 WBX917535:WBX917536 WLT917535:WLT917536 WVP917535:WVP917536 H983071:H983072 JD983071:JD983072 SZ983071:SZ983072 ACV983071:ACV983072 AMR983071:AMR983072 AWN983071:AWN983072 BGJ983071:BGJ983072 BQF983071:BQF983072 CAB983071:CAB983072 CJX983071:CJX983072 CTT983071:CTT983072 DDP983071:DDP983072 DNL983071:DNL983072 DXH983071:DXH983072 EHD983071:EHD983072 EQZ983071:EQZ983072 FAV983071:FAV983072 FKR983071:FKR983072 FUN983071:FUN983072 GEJ983071:GEJ983072 GOF983071:GOF983072 GYB983071:GYB983072 HHX983071:HHX983072 HRT983071:HRT983072 IBP983071:IBP983072 ILL983071:ILL983072 IVH983071:IVH983072 JFD983071:JFD983072 JOZ983071:JOZ983072 JYV983071:JYV983072 KIR983071:KIR983072 KSN983071:KSN983072 LCJ983071:LCJ983072 LMF983071:LMF983072 LWB983071:LWB983072 MFX983071:MFX983072 MPT983071:MPT983072 MZP983071:MZP983072 NJL983071:NJL983072 NTH983071:NTH983072 ODD983071:ODD983072 OMZ983071:OMZ983072 OWV983071:OWV983072 PGR983071:PGR983072 PQN983071:PQN983072 QAJ983071:QAJ983072 QKF983071:QKF983072 QUB983071:QUB983072 RDX983071:RDX983072 RNT983071:RNT983072 RXP983071:RXP983072 SHL983071:SHL983072 SRH983071:SRH983072 TBD983071:TBD983072 TKZ983071:TKZ983072 TUV983071:TUV983072 UER983071:UER983072 UON983071:UON983072 UYJ983071:UYJ983072 VIF983071:VIF983072 VSB983071:VSB983072 WBX983071:WBX983072 WLT983071:WLT983072 WVP983071:WVP983072 H47:I72 JD47:JE72 SZ47:TA72 ACV47:ACW72 AMR47:AMS72 AWN47:AWO72 BGJ47:BGK72 BQF47:BQG72 CAB47:CAC72 CJX47:CJY72 CTT47:CTU72 DDP47:DDQ72 DNL47:DNM72 DXH47:DXI72 EHD47:EHE72 EQZ47:ERA72 FAV47:FAW72 FKR47:FKS72 FUN47:FUO72 GEJ47:GEK72 GOF47:GOG72 GYB47:GYC72 HHX47:HHY72 HRT47:HRU72 IBP47:IBQ72 ILL47:ILM72 IVH47:IVI72 JFD47:JFE72 JOZ47:JPA72 JYV47:JYW72 KIR47:KIS72 KSN47:KSO72 LCJ47:LCK72 LMF47:LMG72 LWB47:LWC72 MFX47:MFY72 MPT47:MPU72 MZP47:MZQ72 NJL47:NJM72 NTH47:NTI72 ODD47:ODE72 OMZ47:ONA72 OWV47:OWW72 PGR47:PGS72 PQN47:PQO72 QAJ47:QAK72 QKF47:QKG72 QUB47:QUC72 RDX47:RDY72 RNT47:RNU72 RXP47:RXQ72 SHL47:SHM72 SRH47:SRI72 TBD47:TBE72 TKZ47:TLA72 TUV47:TUW72 UER47:UES72 UON47:UOO72 UYJ47:UYK72 VIF47:VIG72 VSB47:VSC72 WBX47:WBY72 WLT47:WLU72 WVP47:WVQ72 H65583:I65608 JD65583:JE65608 SZ65583:TA65608 ACV65583:ACW65608 AMR65583:AMS65608 AWN65583:AWO65608 BGJ65583:BGK65608 BQF65583:BQG65608 CAB65583:CAC65608 CJX65583:CJY65608 CTT65583:CTU65608 DDP65583:DDQ65608 DNL65583:DNM65608 DXH65583:DXI65608 EHD65583:EHE65608 EQZ65583:ERA65608 FAV65583:FAW65608 FKR65583:FKS65608 FUN65583:FUO65608 GEJ65583:GEK65608 GOF65583:GOG65608 GYB65583:GYC65608 HHX65583:HHY65608 HRT65583:HRU65608 IBP65583:IBQ65608 ILL65583:ILM65608 IVH65583:IVI65608 JFD65583:JFE65608 JOZ65583:JPA65608 JYV65583:JYW65608 KIR65583:KIS65608 KSN65583:KSO65608 LCJ65583:LCK65608 LMF65583:LMG65608 LWB65583:LWC65608 MFX65583:MFY65608 MPT65583:MPU65608 MZP65583:MZQ65608 NJL65583:NJM65608 NTH65583:NTI65608 ODD65583:ODE65608 OMZ65583:ONA65608 OWV65583:OWW65608 PGR65583:PGS65608 PQN65583:PQO65608 QAJ65583:QAK65608 QKF65583:QKG65608 QUB65583:QUC65608 RDX65583:RDY65608 RNT65583:RNU65608 RXP65583:RXQ65608 SHL65583:SHM65608 SRH65583:SRI65608 TBD65583:TBE65608 TKZ65583:TLA65608 TUV65583:TUW65608 UER65583:UES65608 UON65583:UOO65608 UYJ65583:UYK65608 VIF65583:VIG65608 VSB65583:VSC65608 WBX65583:WBY65608 WLT65583:WLU65608 WVP65583:WVQ65608 H131119:I131144 JD131119:JE131144 SZ131119:TA131144 ACV131119:ACW131144 AMR131119:AMS131144 AWN131119:AWO131144 BGJ131119:BGK131144 BQF131119:BQG131144 CAB131119:CAC131144 CJX131119:CJY131144 CTT131119:CTU131144 DDP131119:DDQ131144 DNL131119:DNM131144 DXH131119:DXI131144 EHD131119:EHE131144 EQZ131119:ERA131144 FAV131119:FAW131144 FKR131119:FKS131144 FUN131119:FUO131144 GEJ131119:GEK131144 GOF131119:GOG131144 GYB131119:GYC131144 HHX131119:HHY131144 HRT131119:HRU131144 IBP131119:IBQ131144 ILL131119:ILM131144 IVH131119:IVI131144 JFD131119:JFE131144 JOZ131119:JPA131144 JYV131119:JYW131144 KIR131119:KIS131144 KSN131119:KSO131144 LCJ131119:LCK131144 LMF131119:LMG131144 LWB131119:LWC131144 MFX131119:MFY131144 MPT131119:MPU131144 MZP131119:MZQ131144 NJL131119:NJM131144 NTH131119:NTI131144 ODD131119:ODE131144 OMZ131119:ONA131144 OWV131119:OWW131144 PGR131119:PGS131144 PQN131119:PQO131144 QAJ131119:QAK131144 QKF131119:QKG131144 QUB131119:QUC131144 RDX131119:RDY131144 RNT131119:RNU131144 RXP131119:RXQ131144 SHL131119:SHM131144 SRH131119:SRI131144 TBD131119:TBE131144 TKZ131119:TLA131144 TUV131119:TUW131144 UER131119:UES131144 UON131119:UOO131144 UYJ131119:UYK131144 VIF131119:VIG131144 VSB131119:VSC131144 WBX131119:WBY131144 WLT131119:WLU131144 WVP131119:WVQ131144 H196655:I196680 JD196655:JE196680 SZ196655:TA196680 ACV196655:ACW196680 AMR196655:AMS196680 AWN196655:AWO196680 BGJ196655:BGK196680 BQF196655:BQG196680 CAB196655:CAC196680 CJX196655:CJY196680 CTT196655:CTU196680 DDP196655:DDQ196680 DNL196655:DNM196680 DXH196655:DXI196680 EHD196655:EHE196680 EQZ196655:ERA196680 FAV196655:FAW196680 FKR196655:FKS196680 FUN196655:FUO196680 GEJ196655:GEK196680 GOF196655:GOG196680 GYB196655:GYC196680 HHX196655:HHY196680 HRT196655:HRU196680 IBP196655:IBQ196680 ILL196655:ILM196680 IVH196655:IVI196680 JFD196655:JFE196680 JOZ196655:JPA196680 JYV196655:JYW196680 KIR196655:KIS196680 KSN196655:KSO196680 LCJ196655:LCK196680 LMF196655:LMG196680 LWB196655:LWC196680 MFX196655:MFY196680 MPT196655:MPU196680 MZP196655:MZQ196680 NJL196655:NJM196680 NTH196655:NTI196680 ODD196655:ODE196680 OMZ196655:ONA196680 OWV196655:OWW196680 PGR196655:PGS196680 PQN196655:PQO196680 QAJ196655:QAK196680 QKF196655:QKG196680 QUB196655:QUC196680 RDX196655:RDY196680 RNT196655:RNU196680 RXP196655:RXQ196680 SHL196655:SHM196680 SRH196655:SRI196680 TBD196655:TBE196680 TKZ196655:TLA196680 TUV196655:TUW196680 UER196655:UES196680 UON196655:UOO196680 UYJ196655:UYK196680 VIF196655:VIG196680 VSB196655:VSC196680 WBX196655:WBY196680 WLT196655:WLU196680 WVP196655:WVQ196680 H262191:I262216 JD262191:JE262216 SZ262191:TA262216 ACV262191:ACW262216 AMR262191:AMS262216 AWN262191:AWO262216 BGJ262191:BGK262216 BQF262191:BQG262216 CAB262191:CAC262216 CJX262191:CJY262216 CTT262191:CTU262216 DDP262191:DDQ262216 DNL262191:DNM262216 DXH262191:DXI262216 EHD262191:EHE262216 EQZ262191:ERA262216 FAV262191:FAW262216 FKR262191:FKS262216 FUN262191:FUO262216 GEJ262191:GEK262216 GOF262191:GOG262216 GYB262191:GYC262216 HHX262191:HHY262216 HRT262191:HRU262216 IBP262191:IBQ262216 ILL262191:ILM262216 IVH262191:IVI262216 JFD262191:JFE262216 JOZ262191:JPA262216 JYV262191:JYW262216 KIR262191:KIS262216 KSN262191:KSO262216 LCJ262191:LCK262216 LMF262191:LMG262216 LWB262191:LWC262216 MFX262191:MFY262216 MPT262191:MPU262216 MZP262191:MZQ262216 NJL262191:NJM262216 NTH262191:NTI262216 ODD262191:ODE262216 OMZ262191:ONA262216 OWV262191:OWW262216 PGR262191:PGS262216 PQN262191:PQO262216 QAJ262191:QAK262216 QKF262191:QKG262216 QUB262191:QUC262216 RDX262191:RDY262216 RNT262191:RNU262216 RXP262191:RXQ262216 SHL262191:SHM262216 SRH262191:SRI262216 TBD262191:TBE262216 TKZ262191:TLA262216 TUV262191:TUW262216 UER262191:UES262216 UON262191:UOO262216 UYJ262191:UYK262216 VIF262191:VIG262216 VSB262191:VSC262216 WBX262191:WBY262216 WLT262191:WLU262216 WVP262191:WVQ262216 H327727:I327752 JD327727:JE327752 SZ327727:TA327752 ACV327727:ACW327752 AMR327727:AMS327752 AWN327727:AWO327752 BGJ327727:BGK327752 BQF327727:BQG327752 CAB327727:CAC327752 CJX327727:CJY327752 CTT327727:CTU327752 DDP327727:DDQ327752 DNL327727:DNM327752 DXH327727:DXI327752 EHD327727:EHE327752 EQZ327727:ERA327752 FAV327727:FAW327752 FKR327727:FKS327752 FUN327727:FUO327752 GEJ327727:GEK327752 GOF327727:GOG327752 GYB327727:GYC327752 HHX327727:HHY327752 HRT327727:HRU327752 IBP327727:IBQ327752 ILL327727:ILM327752 IVH327727:IVI327752 JFD327727:JFE327752 JOZ327727:JPA327752 JYV327727:JYW327752 KIR327727:KIS327752 KSN327727:KSO327752 LCJ327727:LCK327752 LMF327727:LMG327752 LWB327727:LWC327752 MFX327727:MFY327752 MPT327727:MPU327752 MZP327727:MZQ327752 NJL327727:NJM327752 NTH327727:NTI327752 ODD327727:ODE327752 OMZ327727:ONA327752 OWV327727:OWW327752 PGR327727:PGS327752 PQN327727:PQO327752 QAJ327727:QAK327752 QKF327727:QKG327752 QUB327727:QUC327752 RDX327727:RDY327752 RNT327727:RNU327752 RXP327727:RXQ327752 SHL327727:SHM327752 SRH327727:SRI327752 TBD327727:TBE327752 TKZ327727:TLA327752 TUV327727:TUW327752 UER327727:UES327752 UON327727:UOO327752 UYJ327727:UYK327752 VIF327727:VIG327752 VSB327727:VSC327752 WBX327727:WBY327752 WLT327727:WLU327752 WVP327727:WVQ327752 H393263:I393288 JD393263:JE393288 SZ393263:TA393288 ACV393263:ACW393288 AMR393263:AMS393288 AWN393263:AWO393288 BGJ393263:BGK393288 BQF393263:BQG393288 CAB393263:CAC393288 CJX393263:CJY393288 CTT393263:CTU393288 DDP393263:DDQ393288 DNL393263:DNM393288 DXH393263:DXI393288 EHD393263:EHE393288 EQZ393263:ERA393288 FAV393263:FAW393288 FKR393263:FKS393288 FUN393263:FUO393288 GEJ393263:GEK393288 GOF393263:GOG393288 GYB393263:GYC393288 HHX393263:HHY393288 HRT393263:HRU393288 IBP393263:IBQ393288 ILL393263:ILM393288 IVH393263:IVI393288 JFD393263:JFE393288 JOZ393263:JPA393288 JYV393263:JYW393288 KIR393263:KIS393288 KSN393263:KSO393288 LCJ393263:LCK393288 LMF393263:LMG393288 LWB393263:LWC393288 MFX393263:MFY393288 MPT393263:MPU393288 MZP393263:MZQ393288 NJL393263:NJM393288 NTH393263:NTI393288 ODD393263:ODE393288 OMZ393263:ONA393288 OWV393263:OWW393288 PGR393263:PGS393288 PQN393263:PQO393288 QAJ393263:QAK393288 QKF393263:QKG393288 QUB393263:QUC393288 RDX393263:RDY393288 RNT393263:RNU393288 RXP393263:RXQ393288 SHL393263:SHM393288 SRH393263:SRI393288 TBD393263:TBE393288 TKZ393263:TLA393288 TUV393263:TUW393288 UER393263:UES393288 UON393263:UOO393288 UYJ393263:UYK393288 VIF393263:VIG393288 VSB393263:VSC393288 WBX393263:WBY393288 WLT393263:WLU393288 WVP393263:WVQ393288 H458799:I458824 JD458799:JE458824 SZ458799:TA458824 ACV458799:ACW458824 AMR458799:AMS458824 AWN458799:AWO458824 BGJ458799:BGK458824 BQF458799:BQG458824 CAB458799:CAC458824 CJX458799:CJY458824 CTT458799:CTU458824 DDP458799:DDQ458824 DNL458799:DNM458824 DXH458799:DXI458824 EHD458799:EHE458824 EQZ458799:ERA458824 FAV458799:FAW458824 FKR458799:FKS458824 FUN458799:FUO458824 GEJ458799:GEK458824 GOF458799:GOG458824 GYB458799:GYC458824 HHX458799:HHY458824 HRT458799:HRU458824 IBP458799:IBQ458824 ILL458799:ILM458824 IVH458799:IVI458824 JFD458799:JFE458824 JOZ458799:JPA458824 JYV458799:JYW458824 KIR458799:KIS458824 KSN458799:KSO458824 LCJ458799:LCK458824 LMF458799:LMG458824 LWB458799:LWC458824 MFX458799:MFY458824 MPT458799:MPU458824 MZP458799:MZQ458824 NJL458799:NJM458824 NTH458799:NTI458824 ODD458799:ODE458824 OMZ458799:ONA458824 OWV458799:OWW458824 PGR458799:PGS458824 PQN458799:PQO458824 QAJ458799:QAK458824 QKF458799:QKG458824 QUB458799:QUC458824 RDX458799:RDY458824 RNT458799:RNU458824 RXP458799:RXQ458824 SHL458799:SHM458824 SRH458799:SRI458824 TBD458799:TBE458824 TKZ458799:TLA458824 TUV458799:TUW458824 UER458799:UES458824 UON458799:UOO458824 UYJ458799:UYK458824 VIF458799:VIG458824 VSB458799:VSC458824 WBX458799:WBY458824 WLT458799:WLU458824 WVP458799:WVQ458824 H524335:I524360 JD524335:JE524360 SZ524335:TA524360 ACV524335:ACW524360 AMR524335:AMS524360 AWN524335:AWO524360 BGJ524335:BGK524360 BQF524335:BQG524360 CAB524335:CAC524360 CJX524335:CJY524360 CTT524335:CTU524360 DDP524335:DDQ524360 DNL524335:DNM524360 DXH524335:DXI524360 EHD524335:EHE524360 EQZ524335:ERA524360 FAV524335:FAW524360 FKR524335:FKS524360 FUN524335:FUO524360 GEJ524335:GEK524360 GOF524335:GOG524360 GYB524335:GYC524360 HHX524335:HHY524360 HRT524335:HRU524360 IBP524335:IBQ524360 ILL524335:ILM524360 IVH524335:IVI524360 JFD524335:JFE524360 JOZ524335:JPA524360 JYV524335:JYW524360 KIR524335:KIS524360 KSN524335:KSO524360 LCJ524335:LCK524360 LMF524335:LMG524360 LWB524335:LWC524360 MFX524335:MFY524360 MPT524335:MPU524360 MZP524335:MZQ524360 NJL524335:NJM524360 NTH524335:NTI524360 ODD524335:ODE524360 OMZ524335:ONA524360 OWV524335:OWW524360 PGR524335:PGS524360 PQN524335:PQO524360 QAJ524335:QAK524360 QKF524335:QKG524360 QUB524335:QUC524360 RDX524335:RDY524360 RNT524335:RNU524360 RXP524335:RXQ524360 SHL524335:SHM524360 SRH524335:SRI524360 TBD524335:TBE524360 TKZ524335:TLA524360 TUV524335:TUW524360 UER524335:UES524360 UON524335:UOO524360 UYJ524335:UYK524360 VIF524335:VIG524360 VSB524335:VSC524360 WBX524335:WBY524360 WLT524335:WLU524360 WVP524335:WVQ524360 H589871:I589896 JD589871:JE589896 SZ589871:TA589896 ACV589871:ACW589896 AMR589871:AMS589896 AWN589871:AWO589896 BGJ589871:BGK589896 BQF589871:BQG589896 CAB589871:CAC589896 CJX589871:CJY589896 CTT589871:CTU589896 DDP589871:DDQ589896 DNL589871:DNM589896 DXH589871:DXI589896 EHD589871:EHE589896 EQZ589871:ERA589896 FAV589871:FAW589896 FKR589871:FKS589896 FUN589871:FUO589896 GEJ589871:GEK589896 GOF589871:GOG589896 GYB589871:GYC589896 HHX589871:HHY589896 HRT589871:HRU589896 IBP589871:IBQ589896 ILL589871:ILM589896 IVH589871:IVI589896 JFD589871:JFE589896 JOZ589871:JPA589896 JYV589871:JYW589896 KIR589871:KIS589896 KSN589871:KSO589896 LCJ589871:LCK589896 LMF589871:LMG589896 LWB589871:LWC589896 MFX589871:MFY589896 MPT589871:MPU589896 MZP589871:MZQ589896 NJL589871:NJM589896 NTH589871:NTI589896 ODD589871:ODE589896 OMZ589871:ONA589896 OWV589871:OWW589896 PGR589871:PGS589896 PQN589871:PQO589896 QAJ589871:QAK589896 QKF589871:QKG589896 QUB589871:QUC589896 RDX589871:RDY589896 RNT589871:RNU589896 RXP589871:RXQ589896 SHL589871:SHM589896 SRH589871:SRI589896 TBD589871:TBE589896 TKZ589871:TLA589896 TUV589871:TUW589896 UER589871:UES589896 UON589871:UOO589896 UYJ589871:UYK589896 VIF589871:VIG589896 VSB589871:VSC589896 WBX589871:WBY589896 WLT589871:WLU589896 WVP589871:WVQ589896 H655407:I655432 JD655407:JE655432 SZ655407:TA655432 ACV655407:ACW655432 AMR655407:AMS655432 AWN655407:AWO655432 BGJ655407:BGK655432 BQF655407:BQG655432 CAB655407:CAC655432 CJX655407:CJY655432 CTT655407:CTU655432 DDP655407:DDQ655432 DNL655407:DNM655432 DXH655407:DXI655432 EHD655407:EHE655432 EQZ655407:ERA655432 FAV655407:FAW655432 FKR655407:FKS655432 FUN655407:FUO655432 GEJ655407:GEK655432 GOF655407:GOG655432 GYB655407:GYC655432 HHX655407:HHY655432 HRT655407:HRU655432 IBP655407:IBQ655432 ILL655407:ILM655432 IVH655407:IVI655432 JFD655407:JFE655432 JOZ655407:JPA655432 JYV655407:JYW655432 KIR655407:KIS655432 KSN655407:KSO655432 LCJ655407:LCK655432 LMF655407:LMG655432 LWB655407:LWC655432 MFX655407:MFY655432 MPT655407:MPU655432 MZP655407:MZQ655432 NJL655407:NJM655432 NTH655407:NTI655432 ODD655407:ODE655432 OMZ655407:ONA655432 OWV655407:OWW655432 PGR655407:PGS655432 PQN655407:PQO655432 QAJ655407:QAK655432 QKF655407:QKG655432 QUB655407:QUC655432 RDX655407:RDY655432 RNT655407:RNU655432 RXP655407:RXQ655432 SHL655407:SHM655432 SRH655407:SRI655432 TBD655407:TBE655432 TKZ655407:TLA655432 TUV655407:TUW655432 UER655407:UES655432 UON655407:UOO655432 UYJ655407:UYK655432 VIF655407:VIG655432 VSB655407:VSC655432 WBX655407:WBY655432 WLT655407:WLU655432 WVP655407:WVQ655432 H720943:I720968 JD720943:JE720968 SZ720943:TA720968 ACV720943:ACW720968 AMR720943:AMS720968 AWN720943:AWO720968 BGJ720943:BGK720968 BQF720943:BQG720968 CAB720943:CAC720968 CJX720943:CJY720968 CTT720943:CTU720968 DDP720943:DDQ720968 DNL720943:DNM720968 DXH720943:DXI720968 EHD720943:EHE720968 EQZ720943:ERA720968 FAV720943:FAW720968 FKR720943:FKS720968 FUN720943:FUO720968 GEJ720943:GEK720968 GOF720943:GOG720968 GYB720943:GYC720968 HHX720943:HHY720968 HRT720943:HRU720968 IBP720943:IBQ720968 ILL720943:ILM720968 IVH720943:IVI720968 JFD720943:JFE720968 JOZ720943:JPA720968 JYV720943:JYW720968 KIR720943:KIS720968 KSN720943:KSO720968 LCJ720943:LCK720968 LMF720943:LMG720968 LWB720943:LWC720968 MFX720943:MFY720968 MPT720943:MPU720968 MZP720943:MZQ720968 NJL720943:NJM720968 NTH720943:NTI720968 ODD720943:ODE720968 OMZ720943:ONA720968 OWV720943:OWW720968 PGR720943:PGS720968 PQN720943:PQO720968 QAJ720943:QAK720968 QKF720943:QKG720968 QUB720943:QUC720968 RDX720943:RDY720968 RNT720943:RNU720968 RXP720943:RXQ720968 SHL720943:SHM720968 SRH720943:SRI720968 TBD720943:TBE720968 TKZ720943:TLA720968 TUV720943:TUW720968 UER720943:UES720968 UON720943:UOO720968 UYJ720943:UYK720968 VIF720943:VIG720968 VSB720943:VSC720968 WBX720943:WBY720968 WLT720943:WLU720968 WVP720943:WVQ720968 H786479:I786504 JD786479:JE786504 SZ786479:TA786504 ACV786479:ACW786504 AMR786479:AMS786504 AWN786479:AWO786504 BGJ786479:BGK786504 BQF786479:BQG786504 CAB786479:CAC786504 CJX786479:CJY786504 CTT786479:CTU786504 DDP786479:DDQ786504 DNL786479:DNM786504 DXH786479:DXI786504 EHD786479:EHE786504 EQZ786479:ERA786504 FAV786479:FAW786504 FKR786479:FKS786504 FUN786479:FUO786504 GEJ786479:GEK786504 GOF786479:GOG786504 GYB786479:GYC786504 HHX786479:HHY786504 HRT786479:HRU786504 IBP786479:IBQ786504 ILL786479:ILM786504 IVH786479:IVI786504 JFD786479:JFE786504 JOZ786479:JPA786504 JYV786479:JYW786504 KIR786479:KIS786504 KSN786479:KSO786504 LCJ786479:LCK786504 LMF786479:LMG786504 LWB786479:LWC786504 MFX786479:MFY786504 MPT786479:MPU786504 MZP786479:MZQ786504 NJL786479:NJM786504 NTH786479:NTI786504 ODD786479:ODE786504 OMZ786479:ONA786504 OWV786479:OWW786504 PGR786479:PGS786504 PQN786479:PQO786504 QAJ786479:QAK786504 QKF786479:QKG786504 QUB786479:QUC786504 RDX786479:RDY786504 RNT786479:RNU786504 RXP786479:RXQ786504 SHL786479:SHM786504 SRH786479:SRI786504 TBD786479:TBE786504 TKZ786479:TLA786504 TUV786479:TUW786504 UER786479:UES786504 UON786479:UOO786504 UYJ786479:UYK786504 VIF786479:VIG786504 VSB786479:VSC786504 WBX786479:WBY786504 WLT786479:WLU786504 WVP786479:WVQ786504 H852015:I852040 JD852015:JE852040 SZ852015:TA852040 ACV852015:ACW852040 AMR852015:AMS852040 AWN852015:AWO852040 BGJ852015:BGK852040 BQF852015:BQG852040 CAB852015:CAC852040 CJX852015:CJY852040 CTT852015:CTU852040 DDP852015:DDQ852040 DNL852015:DNM852040 DXH852015:DXI852040 EHD852015:EHE852040 EQZ852015:ERA852040 FAV852015:FAW852040 FKR852015:FKS852040 FUN852015:FUO852040 GEJ852015:GEK852040 GOF852015:GOG852040 GYB852015:GYC852040 HHX852015:HHY852040 HRT852015:HRU852040 IBP852015:IBQ852040 ILL852015:ILM852040 IVH852015:IVI852040 JFD852015:JFE852040 JOZ852015:JPA852040 JYV852015:JYW852040 KIR852015:KIS852040 KSN852015:KSO852040 LCJ852015:LCK852040 LMF852015:LMG852040 LWB852015:LWC852040 MFX852015:MFY852040 MPT852015:MPU852040 MZP852015:MZQ852040 NJL852015:NJM852040 NTH852015:NTI852040 ODD852015:ODE852040 OMZ852015:ONA852040 OWV852015:OWW852040 PGR852015:PGS852040 PQN852015:PQO852040 QAJ852015:QAK852040 QKF852015:QKG852040 QUB852015:QUC852040 RDX852015:RDY852040 RNT852015:RNU852040 RXP852015:RXQ852040 SHL852015:SHM852040 SRH852015:SRI852040 TBD852015:TBE852040 TKZ852015:TLA852040 TUV852015:TUW852040 UER852015:UES852040 UON852015:UOO852040 UYJ852015:UYK852040 VIF852015:VIG852040 VSB852015:VSC852040 WBX852015:WBY852040 WLT852015:WLU852040 WVP852015:WVQ852040 H917551:I917576 JD917551:JE917576 SZ917551:TA917576 ACV917551:ACW917576 AMR917551:AMS917576 AWN917551:AWO917576 BGJ917551:BGK917576 BQF917551:BQG917576 CAB917551:CAC917576 CJX917551:CJY917576 CTT917551:CTU917576 DDP917551:DDQ917576 DNL917551:DNM917576 DXH917551:DXI917576 EHD917551:EHE917576 EQZ917551:ERA917576 FAV917551:FAW917576 FKR917551:FKS917576 FUN917551:FUO917576 GEJ917551:GEK917576 GOF917551:GOG917576 GYB917551:GYC917576 HHX917551:HHY917576 HRT917551:HRU917576 IBP917551:IBQ917576 ILL917551:ILM917576 IVH917551:IVI917576 JFD917551:JFE917576 JOZ917551:JPA917576 JYV917551:JYW917576 KIR917551:KIS917576 KSN917551:KSO917576 LCJ917551:LCK917576 LMF917551:LMG917576 LWB917551:LWC917576 MFX917551:MFY917576 MPT917551:MPU917576 MZP917551:MZQ917576 NJL917551:NJM917576 NTH917551:NTI917576 ODD917551:ODE917576 OMZ917551:ONA917576 OWV917551:OWW917576 PGR917551:PGS917576 PQN917551:PQO917576 QAJ917551:QAK917576 QKF917551:QKG917576 QUB917551:QUC917576 RDX917551:RDY917576 RNT917551:RNU917576 RXP917551:RXQ917576 SHL917551:SHM917576 SRH917551:SRI917576 TBD917551:TBE917576 TKZ917551:TLA917576 TUV917551:TUW917576 UER917551:UES917576 UON917551:UOO917576 UYJ917551:UYK917576 VIF917551:VIG917576 VSB917551:VSC917576 WBX917551:WBY917576 WLT917551:WLU917576 WVP917551:WVQ917576 H983087:I983112 JD983087:JE983112 SZ983087:TA983112 ACV983087:ACW983112 AMR983087:AMS983112 AWN983087:AWO983112 BGJ983087:BGK983112 BQF983087:BQG983112 CAB983087:CAC983112 CJX983087:CJY983112 CTT983087:CTU983112 DDP983087:DDQ983112 DNL983087:DNM983112 DXH983087:DXI983112 EHD983087:EHE983112 EQZ983087:ERA983112 FAV983087:FAW983112 FKR983087:FKS983112 FUN983087:FUO983112 GEJ983087:GEK983112 GOF983087:GOG983112 GYB983087:GYC983112 HHX983087:HHY983112 HRT983087:HRU983112 IBP983087:IBQ983112 ILL983087:ILM983112 IVH983087:IVI983112 JFD983087:JFE983112 JOZ983087:JPA983112 JYV983087:JYW983112 KIR983087:KIS983112 KSN983087:KSO983112 LCJ983087:LCK983112 LMF983087:LMG983112 LWB983087:LWC983112 MFX983087:MFY983112 MPT983087:MPU983112 MZP983087:MZQ983112 NJL983087:NJM983112 NTH983087:NTI983112 ODD983087:ODE983112 OMZ983087:ONA983112 OWV983087:OWW983112 PGR983087:PGS983112 PQN983087:PQO983112 QAJ983087:QAK983112 QKF983087:QKG983112 QUB983087:QUC983112 RDX983087:RDY983112 RNT983087:RNU983112 RXP983087:RXQ983112 SHL983087:SHM983112 SRH983087:SRI983112 TBD983087:TBE983112 TKZ983087:TLA983112 TUV983087:TUW983112 UER983087:UES983112 UON983087:UOO983112 UYJ983087:UYK983112 VIF983087:VIG983112 VSB983087:VSC983112 WBX983087:WBY983112 WLT983087:WLU983112 WVP983087:WVQ983112">
      <formula1>"Yes,No,NA"</formula1>
    </dataValidation>
  </dataValidations>
  <hyperlinks>
    <hyperlink ref="A1" location="'Table Of Contents'!A1" display="TOC"/>
  </hyperlinks>
  <pageMargins left="0.75" right="0.75" top="1" bottom="1" header="0.5" footer="0.5"/>
  <pageSetup scale="60" fitToHeight="0" orientation="portrait" r:id="rId1"/>
  <headerFooter alignWithMargins="0">
    <oddFooter>Page &amp;P of &amp;N</oddFooter>
  </headerFooter>
  <rowBreaks count="4" manualBreakCount="4">
    <brk id="29" min="1" max="9" man="1"/>
    <brk id="45" min="1" max="9" man="1"/>
    <brk id="57" min="1" max="9" man="1"/>
    <brk id="69" min="1" max="9" man="1"/>
  </rowBreaks>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99FF99"/>
    <pageSetUpPr fitToPage="1"/>
  </sheetPr>
  <dimension ref="A1:N176"/>
  <sheetViews>
    <sheetView showGridLines="0" view="pageBreakPreview" topLeftCell="A31" zoomScale="90" zoomScaleNormal="75" zoomScaleSheetLayoutView="90" workbookViewId="0">
      <selection activeCell="B37" sqref="B37:H37"/>
    </sheetView>
  </sheetViews>
  <sheetFormatPr defaultRowHeight="12.75"/>
  <cols>
    <col min="1" max="1" width="9.140625" style="1324" customWidth="1"/>
    <col min="2" max="2" width="20" style="1324" customWidth="1"/>
    <col min="3" max="3" width="16.140625" style="1324" customWidth="1"/>
    <col min="4" max="5" width="15.140625" style="1324" customWidth="1"/>
    <col min="6" max="6" width="30.7109375" style="1324" customWidth="1"/>
    <col min="7" max="7" width="10.7109375" style="1324" customWidth="1"/>
    <col min="8" max="8" width="5.7109375" style="1324" customWidth="1"/>
    <col min="9" max="9" width="11" style="1324" customWidth="1"/>
    <col min="10" max="10" width="32.42578125" style="1324" customWidth="1"/>
    <col min="11" max="13" width="9.140625" style="1324"/>
    <col min="14" max="14" width="9" style="1324" hidden="1" customWidth="1"/>
    <col min="15" max="16384" width="9.140625" style="1324"/>
  </cols>
  <sheetData>
    <row r="1" spans="1:11" ht="26.25" customHeight="1">
      <c r="A1" s="1534" t="s">
        <v>1408</v>
      </c>
      <c r="B1" s="1138"/>
      <c r="C1" s="1137"/>
      <c r="D1" s="1138"/>
      <c r="E1" s="1138"/>
      <c r="F1" s="1140"/>
      <c r="G1" s="1138"/>
      <c r="H1" s="795"/>
      <c r="I1" s="795"/>
      <c r="J1" s="795"/>
    </row>
    <row r="2" spans="1:11" ht="26.25" customHeight="1">
      <c r="B2" s="1138"/>
      <c r="C2" s="1137" t="str">
        <f>'1.1 - APPLIANCES'!C2</f>
        <v>MULTIFAMILY PERFORMANCE PROGRAM</v>
      </c>
      <c r="D2" s="1138"/>
      <c r="E2" s="1138"/>
      <c r="F2" s="1140"/>
      <c r="G2" s="1138"/>
      <c r="H2" s="795"/>
      <c r="I2" s="795"/>
      <c r="J2" s="795"/>
    </row>
    <row r="3" spans="1:11" ht="26.25" customHeight="1">
      <c r="B3" s="1138"/>
      <c r="C3" s="1139" t="s">
        <v>368</v>
      </c>
      <c r="D3" s="1139">
        <f>'Project Info'!C3</f>
        <v>0</v>
      </c>
      <c r="E3" s="1138"/>
      <c r="F3" s="1140"/>
      <c r="G3" s="1138"/>
      <c r="H3" s="795"/>
      <c r="I3" s="795"/>
      <c r="J3" s="795"/>
    </row>
    <row r="4" spans="1:11" ht="26.25" customHeight="1">
      <c r="B4" s="1138"/>
      <c r="C4" s="1139"/>
      <c r="D4" s="1139"/>
      <c r="E4" s="1138"/>
      <c r="F4" s="1140"/>
      <c r="G4" s="1138"/>
      <c r="H4" s="795"/>
      <c r="I4" s="795"/>
      <c r="J4" s="795"/>
    </row>
    <row r="5" spans="1:11" ht="15.75">
      <c r="B5" s="1141" t="s">
        <v>1757</v>
      </c>
      <c r="C5" s="1142"/>
      <c r="D5" s="1142"/>
      <c r="E5" s="1143"/>
      <c r="F5" s="1214"/>
      <c r="G5" s="1214"/>
      <c r="H5" s="2723" t="s">
        <v>1411</v>
      </c>
      <c r="I5" s="2723"/>
      <c r="J5" s="1352" t="s">
        <v>1412</v>
      </c>
    </row>
    <row r="6" spans="1:11">
      <c r="B6" s="1144"/>
      <c r="C6" s="1144"/>
      <c r="D6" s="1144"/>
      <c r="E6" s="1144"/>
      <c r="F6" s="1144"/>
      <c r="G6" s="1144"/>
      <c r="H6" s="2756" t="s">
        <v>1413</v>
      </c>
      <c r="I6" s="2719"/>
      <c r="J6" s="913"/>
    </row>
    <row r="7" spans="1:11">
      <c r="A7" s="1430"/>
      <c r="B7" s="1146" t="s">
        <v>1414</v>
      </c>
      <c r="C7" s="1144"/>
      <c r="D7" s="1144"/>
      <c r="E7" s="1144"/>
      <c r="F7" s="1144"/>
      <c r="G7" s="1144"/>
      <c r="H7" s="2719"/>
      <c r="I7" s="2719"/>
      <c r="J7" s="936"/>
      <c r="K7" s="1430"/>
    </row>
    <row r="8" spans="1:11" ht="42.75" customHeight="1">
      <c r="A8" s="1430"/>
      <c r="B8" s="2673" t="s">
        <v>1707</v>
      </c>
      <c r="C8" s="2673"/>
      <c r="D8" s="2673"/>
      <c r="E8" s="2673"/>
      <c r="F8" s="2673"/>
      <c r="G8" s="2673"/>
      <c r="H8" s="2719"/>
      <c r="I8" s="2719"/>
      <c r="J8" s="890"/>
      <c r="K8" s="1552"/>
    </row>
    <row r="9" spans="1:11" ht="13.5" customHeight="1">
      <c r="A9" s="1430"/>
      <c r="B9" s="2673" t="s">
        <v>1708</v>
      </c>
      <c r="C9" s="2673"/>
      <c r="D9" s="2673"/>
      <c r="E9" s="2673"/>
      <c r="F9" s="2673"/>
      <c r="G9" s="2673"/>
      <c r="H9" s="1529"/>
      <c r="I9" s="1529"/>
      <c r="J9" s="1530"/>
      <c r="K9" s="1552"/>
    </row>
    <row r="10" spans="1:11" ht="13.5" customHeight="1">
      <c r="A10" s="1430"/>
      <c r="B10" s="2673" t="s">
        <v>1709</v>
      </c>
      <c r="C10" s="2673"/>
      <c r="D10" s="2673"/>
      <c r="E10" s="2673"/>
      <c r="F10" s="2673"/>
      <c r="G10" s="2673"/>
      <c r="H10" s="1529"/>
      <c r="I10" s="1529"/>
      <c r="J10" s="1530"/>
      <c r="K10" s="1552"/>
    </row>
    <row r="11" spans="1:11" ht="13.5" customHeight="1">
      <c r="A11" s="1430"/>
      <c r="B11" s="2673" t="s">
        <v>1710</v>
      </c>
      <c r="C11" s="2673"/>
      <c r="D11" s="2673"/>
      <c r="E11" s="2673"/>
      <c r="F11" s="2673"/>
      <c r="G11" s="2673"/>
      <c r="H11" s="1529"/>
      <c r="I11" s="1529"/>
      <c r="J11" s="1530"/>
      <c r="K11" s="1552"/>
    </row>
    <row r="12" spans="1:11" ht="13.5" customHeight="1">
      <c r="A12" s="1430"/>
      <c r="B12" s="2673" t="s">
        <v>1711</v>
      </c>
      <c r="C12" s="2673"/>
      <c r="D12" s="2673"/>
      <c r="E12" s="2673"/>
      <c r="F12" s="2673"/>
      <c r="G12" s="2673"/>
      <c r="H12" s="1529"/>
      <c r="I12" s="1529"/>
      <c r="J12" s="1530"/>
      <c r="K12" s="1552"/>
    </row>
    <row r="13" spans="1:11" ht="13.5" customHeight="1">
      <c r="A13" s="1430"/>
      <c r="B13" s="2673" t="s">
        <v>1712</v>
      </c>
      <c r="C13" s="2673"/>
      <c r="D13" s="2673"/>
      <c r="E13" s="2673"/>
      <c r="F13" s="2673"/>
      <c r="G13" s="2673"/>
      <c r="H13" s="1529"/>
      <c r="I13" s="1529"/>
      <c r="J13" s="1530"/>
      <c r="K13" s="1552"/>
    </row>
    <row r="14" spans="1:11" ht="13.5" customHeight="1">
      <c r="A14" s="1430"/>
      <c r="B14" s="2673" t="s">
        <v>1713</v>
      </c>
      <c r="C14" s="2673"/>
      <c r="D14" s="2673"/>
      <c r="E14" s="2673"/>
      <c r="F14" s="2673"/>
      <c r="G14" s="2673"/>
      <c r="H14" s="1529"/>
      <c r="I14" s="1529"/>
      <c r="J14" s="1530"/>
      <c r="K14" s="1552"/>
    </row>
    <row r="15" spans="1:11" ht="13.5" customHeight="1">
      <c r="A15" s="1430"/>
      <c r="B15" s="1340" t="s">
        <v>1714</v>
      </c>
      <c r="C15" s="1144"/>
      <c r="D15" s="1144"/>
      <c r="E15" s="1144"/>
      <c r="F15" s="1144"/>
      <c r="G15" s="1144"/>
      <c r="H15" s="1529"/>
      <c r="I15" s="1529"/>
      <c r="J15" s="1530"/>
      <c r="K15" s="1430"/>
    </row>
    <row r="16" spans="1:11">
      <c r="A16" s="1430"/>
      <c r="B16" s="1146" t="s">
        <v>1416</v>
      </c>
      <c r="C16" s="1144"/>
      <c r="D16" s="1144"/>
      <c r="E16" s="1144"/>
      <c r="F16" s="1144"/>
      <c r="G16" s="1144"/>
      <c r="H16" s="1529"/>
      <c r="I16" s="1529"/>
      <c r="J16" s="1530"/>
      <c r="K16" s="1430"/>
    </row>
    <row r="17" spans="1:11">
      <c r="A17" s="1430"/>
      <c r="B17" s="1144" t="s">
        <v>1417</v>
      </c>
      <c r="C17" s="1144"/>
      <c r="D17" s="1144"/>
      <c r="E17" s="1144"/>
      <c r="F17" s="1144"/>
      <c r="G17" s="1144"/>
      <c r="H17" s="1529"/>
      <c r="I17" s="1529"/>
      <c r="J17" s="1529"/>
      <c r="K17" s="1430"/>
    </row>
    <row r="18" spans="1:11">
      <c r="A18" s="1430"/>
      <c r="B18" s="1149" t="s">
        <v>1466</v>
      </c>
      <c r="C18" s="1144"/>
      <c r="D18" s="1144"/>
      <c r="E18" s="1144"/>
      <c r="F18" s="1144"/>
      <c r="G18" s="1144"/>
      <c r="H18" s="1529"/>
      <c r="I18" s="1529"/>
      <c r="J18" s="1529"/>
      <c r="K18" s="1430"/>
    </row>
    <row r="19" spans="1:11">
      <c r="A19" s="1430"/>
      <c r="B19" s="1149" t="s">
        <v>1758</v>
      </c>
      <c r="C19" s="1144"/>
      <c r="D19" s="1144"/>
      <c r="E19" s="1144"/>
      <c r="F19" s="1144"/>
      <c r="G19" s="1144"/>
      <c r="H19" s="1529"/>
      <c r="I19" s="1529"/>
      <c r="J19" s="1529"/>
      <c r="K19" s="1430"/>
    </row>
    <row r="20" spans="1:11" ht="24" customHeight="1">
      <c r="B20" s="1144"/>
      <c r="C20" s="1144"/>
      <c r="D20" s="1144"/>
      <c r="E20" s="1144"/>
      <c r="F20" s="1144"/>
      <c r="G20" s="1144"/>
      <c r="H20" s="1529"/>
      <c r="I20" s="1529"/>
      <c r="J20" s="1529"/>
    </row>
    <row r="21" spans="1:11" ht="16.5" customHeight="1">
      <c r="A21" s="1430"/>
      <c r="B21" s="1148" t="s">
        <v>1420</v>
      </c>
      <c r="C21" s="1144"/>
      <c r="D21" s="1144"/>
      <c r="E21" s="1144"/>
      <c r="F21" s="1144"/>
      <c r="G21" s="1144"/>
      <c r="H21" s="1529"/>
      <c r="I21" s="1529"/>
      <c r="J21" s="1529"/>
      <c r="K21" s="1430"/>
    </row>
    <row r="22" spans="1:11" ht="67.5" customHeight="1">
      <c r="A22" s="1430"/>
      <c r="B22" s="2673" t="s">
        <v>1759</v>
      </c>
      <c r="C22" s="2673"/>
      <c r="D22" s="2673"/>
      <c r="E22" s="2673"/>
      <c r="F22" s="2673"/>
      <c r="G22" s="2673"/>
      <c r="H22" s="1529"/>
      <c r="I22" s="1529"/>
      <c r="J22" s="1529"/>
      <c r="K22" s="1430"/>
    </row>
    <row r="23" spans="1:11" ht="30" customHeight="1">
      <c r="A23" s="1430"/>
      <c r="B23" s="2673" t="s">
        <v>1760</v>
      </c>
      <c r="C23" s="2673"/>
      <c r="D23" s="2673"/>
      <c r="E23" s="2673"/>
      <c r="F23" s="2673"/>
      <c r="G23" s="2673"/>
      <c r="H23" s="1529"/>
      <c r="I23" s="1529"/>
      <c r="J23" s="1529"/>
      <c r="K23" s="1430"/>
    </row>
    <row r="24" spans="1:11" ht="54.95" customHeight="1">
      <c r="A24" s="1430"/>
      <c r="B24" s="2673" t="s">
        <v>1761</v>
      </c>
      <c r="C24" s="2673"/>
      <c r="D24" s="2673"/>
      <c r="E24" s="2673"/>
      <c r="F24" s="2673"/>
      <c r="G24" s="2673"/>
      <c r="H24" s="1529"/>
      <c r="I24" s="1529"/>
      <c r="J24" s="1529"/>
      <c r="K24" s="1430"/>
    </row>
    <row r="25" spans="1:11" ht="16.5" customHeight="1">
      <c r="A25" s="1430"/>
      <c r="B25" s="2743" t="s">
        <v>1486</v>
      </c>
      <c r="C25" s="2673"/>
      <c r="D25" s="2673"/>
      <c r="E25" s="2673"/>
      <c r="F25" s="2673"/>
      <c r="G25" s="2673"/>
      <c r="H25" s="1529"/>
      <c r="I25" s="1529"/>
      <c r="J25" s="1529"/>
      <c r="K25" s="1430"/>
    </row>
    <row r="26" spans="1:11" ht="32.25" customHeight="1">
      <c r="A26" s="1430"/>
      <c r="B26" s="2673" t="s">
        <v>1762</v>
      </c>
      <c r="C26" s="2673"/>
      <c r="D26" s="2673"/>
      <c r="E26" s="2673"/>
      <c r="F26" s="2673"/>
      <c r="G26" s="2673"/>
      <c r="H26" s="1529"/>
      <c r="I26" s="1529"/>
      <c r="J26" s="1529"/>
      <c r="K26" s="1430"/>
    </row>
    <row r="27" spans="1:11" ht="86.25" customHeight="1">
      <c r="A27" s="1430"/>
      <c r="B27" s="2744" t="s">
        <v>1763</v>
      </c>
      <c r="C27" s="2744"/>
      <c r="D27" s="2744"/>
      <c r="E27" s="2744"/>
      <c r="F27" s="2875"/>
      <c r="G27" s="2744"/>
      <c r="H27" s="1529"/>
      <c r="I27" s="1529"/>
      <c r="J27" s="1529"/>
      <c r="K27" s="1430"/>
    </row>
    <row r="28" spans="1:11" ht="75" customHeight="1">
      <c r="B28" s="1207" t="s">
        <v>1425</v>
      </c>
      <c r="C28" s="1339"/>
      <c r="D28" s="1339"/>
      <c r="E28" s="1339"/>
      <c r="F28" s="1339" t="s">
        <v>1433</v>
      </c>
      <c r="G28" s="1339" t="s">
        <v>1493</v>
      </c>
      <c r="H28" s="1155" t="s">
        <v>1435</v>
      </c>
    </row>
    <row r="29" spans="1:11" ht="114.75" customHeight="1">
      <c r="B29" s="2680" t="s">
        <v>1764</v>
      </c>
      <c r="C29" s="2694"/>
      <c r="D29" s="2694"/>
      <c r="E29" s="2733"/>
      <c r="F29" s="1366"/>
      <c r="G29" s="1359"/>
      <c r="H29" s="1388"/>
    </row>
    <row r="30" spans="1:11" ht="80.099999999999994" customHeight="1">
      <c r="B30" s="1339" t="s">
        <v>1439</v>
      </c>
      <c r="C30" s="1339"/>
      <c r="D30" s="1339"/>
      <c r="E30" s="1339"/>
      <c r="F30" s="1339" t="s">
        <v>1433</v>
      </c>
      <c r="G30" s="1339" t="s">
        <v>1493</v>
      </c>
      <c r="H30" s="1155" t="s">
        <v>1435</v>
      </c>
      <c r="I30" s="1155" t="s">
        <v>1436</v>
      </c>
      <c r="J30" s="1339" t="s">
        <v>1437</v>
      </c>
    </row>
    <row r="31" spans="1:11" ht="60.75" customHeight="1">
      <c r="A31" s="1710"/>
      <c r="B31" s="2703" t="s">
        <v>1765</v>
      </c>
      <c r="C31" s="2739"/>
      <c r="D31" s="2739"/>
      <c r="E31" s="2876"/>
      <c r="F31" s="1366"/>
      <c r="G31" s="1359"/>
      <c r="H31" s="1371"/>
      <c r="I31" s="1370"/>
      <c r="J31" s="1341"/>
    </row>
    <row r="32" spans="1:11" ht="93.75" customHeight="1">
      <c r="B32" s="2752" t="s">
        <v>2257</v>
      </c>
      <c r="C32" s="2765"/>
      <c r="D32" s="2765"/>
      <c r="E32" s="2765"/>
      <c r="F32" s="2765"/>
      <c r="G32" s="2765"/>
      <c r="H32" s="2765"/>
      <c r="I32" s="1370"/>
      <c r="J32" s="1341"/>
    </row>
    <row r="33" spans="1:10" ht="67.5" customHeight="1">
      <c r="B33" s="2682" t="s">
        <v>1766</v>
      </c>
      <c r="C33" s="2765"/>
      <c r="D33" s="2765"/>
      <c r="E33" s="2765"/>
      <c r="F33" s="2765"/>
      <c r="G33" s="2765"/>
      <c r="H33" s="2765"/>
      <c r="I33" s="1370"/>
      <c r="J33" s="1341"/>
    </row>
    <row r="34" spans="1:10" ht="25.5" customHeight="1">
      <c r="B34" s="2752" t="s">
        <v>1767</v>
      </c>
      <c r="C34" s="2765"/>
      <c r="D34" s="2765"/>
      <c r="E34" s="2765"/>
      <c r="F34" s="2765"/>
      <c r="G34" s="2765"/>
      <c r="H34" s="2765"/>
      <c r="I34" s="1370"/>
      <c r="J34" s="1341"/>
    </row>
    <row r="35" spans="1:10" ht="25.5" customHeight="1">
      <c r="B35" s="2752" t="s">
        <v>1768</v>
      </c>
      <c r="C35" s="2765"/>
      <c r="D35" s="2765"/>
      <c r="E35" s="2765"/>
      <c r="F35" s="2765"/>
      <c r="G35" s="2765"/>
      <c r="H35" s="2765"/>
      <c r="I35" s="1370"/>
      <c r="J35" s="1341"/>
    </row>
    <row r="36" spans="1:10" ht="56.25" customHeight="1">
      <c r="B36" s="2752" t="s">
        <v>1769</v>
      </c>
      <c r="C36" s="2765"/>
      <c r="D36" s="2765"/>
      <c r="E36" s="2765"/>
      <c r="F36" s="2765"/>
      <c r="G36" s="2765"/>
      <c r="H36" s="2765"/>
      <c r="I36" s="1370"/>
      <c r="J36" s="1341"/>
    </row>
    <row r="37" spans="1:10" ht="23.25" customHeight="1">
      <c r="A37" s="1637"/>
      <c r="B37" s="2752" t="s">
        <v>1290</v>
      </c>
      <c r="C37" s="2765"/>
      <c r="D37" s="2765"/>
      <c r="E37" s="2765"/>
      <c r="F37" s="2765"/>
      <c r="G37" s="2765"/>
      <c r="H37" s="2765"/>
      <c r="I37" s="1370"/>
      <c r="J37" s="1341"/>
    </row>
    <row r="38" spans="1:10" ht="23.25" customHeight="1">
      <c r="B38" s="2752" t="s">
        <v>1294</v>
      </c>
      <c r="C38" s="2765"/>
      <c r="D38" s="2765"/>
      <c r="E38" s="2765"/>
      <c r="F38" s="2765"/>
      <c r="G38" s="2765"/>
      <c r="H38" s="2765"/>
      <c r="I38" s="1370"/>
      <c r="J38" s="1341"/>
    </row>
    <row r="39" spans="1:10" ht="25.5" customHeight="1">
      <c r="B39" s="2752" t="s">
        <v>1296</v>
      </c>
      <c r="C39" s="2765"/>
      <c r="D39" s="2765"/>
      <c r="E39" s="2765"/>
      <c r="F39" s="2765"/>
      <c r="G39" s="2765"/>
      <c r="H39" s="2765"/>
      <c r="I39" s="1370"/>
      <c r="J39" s="1341"/>
    </row>
    <row r="40" spans="1:10" ht="25.5" customHeight="1">
      <c r="B40" s="2752" t="s">
        <v>1298</v>
      </c>
      <c r="C40" s="2765"/>
      <c r="D40" s="2765"/>
      <c r="E40" s="2765"/>
      <c r="F40" s="2765"/>
      <c r="G40" s="2765"/>
      <c r="H40" s="2765"/>
      <c r="I40" s="1370"/>
      <c r="J40" s="1341"/>
    </row>
    <row r="41" spans="1:10" ht="25.5" customHeight="1">
      <c r="B41" s="2752" t="s">
        <v>1300</v>
      </c>
      <c r="C41" s="2765"/>
      <c r="D41" s="2765"/>
      <c r="E41" s="2765"/>
      <c r="F41" s="2765"/>
      <c r="G41" s="2765"/>
      <c r="H41" s="2765"/>
      <c r="I41" s="1370"/>
      <c r="J41" s="1341"/>
    </row>
    <row r="42" spans="1:10" ht="25.5" customHeight="1">
      <c r="B42" s="2752" t="s">
        <v>1302</v>
      </c>
      <c r="C42" s="2765"/>
      <c r="D42" s="2765"/>
      <c r="E42" s="2765"/>
      <c r="F42" s="2765"/>
      <c r="G42" s="2765"/>
      <c r="H42" s="2765"/>
      <c r="I42" s="1370"/>
      <c r="J42" s="1341"/>
    </row>
    <row r="43" spans="1:10" ht="25.5" customHeight="1">
      <c r="B43" s="2752" t="s">
        <v>1304</v>
      </c>
      <c r="C43" s="2765"/>
      <c r="D43" s="2765"/>
      <c r="E43" s="2765"/>
      <c r="F43" s="2765"/>
      <c r="G43" s="2765"/>
      <c r="H43" s="2765"/>
      <c r="I43" s="1370"/>
      <c r="J43" s="1341"/>
    </row>
    <row r="44" spans="1:10" ht="25.5" customHeight="1">
      <c r="B44" s="2752" t="s">
        <v>1306</v>
      </c>
      <c r="C44" s="2765"/>
      <c r="D44" s="2765"/>
      <c r="E44" s="2765"/>
      <c r="F44" s="2765"/>
      <c r="G44" s="2765"/>
      <c r="H44" s="2765"/>
      <c r="I44" s="1370"/>
      <c r="J44" s="1341"/>
    </row>
    <row r="45" spans="1:10" ht="25.5" customHeight="1">
      <c r="B45" s="2752" t="s">
        <v>1308</v>
      </c>
      <c r="C45" s="2765"/>
      <c r="D45" s="2765"/>
      <c r="E45" s="2765"/>
      <c r="F45" s="2765"/>
      <c r="G45" s="2765"/>
      <c r="H45" s="2765"/>
      <c r="I45" s="1370"/>
      <c r="J45" s="1341"/>
    </row>
    <row r="46" spans="1:10" ht="25.5" customHeight="1">
      <c r="B46" s="2752" t="s">
        <v>1310</v>
      </c>
      <c r="C46" s="2765"/>
      <c r="D46" s="2765"/>
      <c r="E46" s="2765"/>
      <c r="F46" s="2765"/>
      <c r="G46" s="2765"/>
      <c r="H46" s="2765"/>
      <c r="I46" s="1370"/>
      <c r="J46" s="1341"/>
    </row>
    <row r="47" spans="1:10" ht="25.5" customHeight="1">
      <c r="B47" s="2752" t="s">
        <v>1312</v>
      </c>
      <c r="C47" s="2765"/>
      <c r="D47" s="2765"/>
      <c r="E47" s="2765"/>
      <c r="F47" s="2765"/>
      <c r="G47" s="2765"/>
      <c r="H47" s="2765"/>
      <c r="I47" s="1370"/>
      <c r="J47" s="1341"/>
    </row>
    <row r="48" spans="1:10" ht="25.5" customHeight="1">
      <c r="B48" s="2752" t="s">
        <v>1314</v>
      </c>
      <c r="C48" s="2765"/>
      <c r="D48" s="2765"/>
      <c r="E48" s="2765"/>
      <c r="F48" s="2765"/>
      <c r="G48" s="2765"/>
      <c r="H48" s="2765"/>
      <c r="I48" s="1370"/>
      <c r="J48" s="1341"/>
    </row>
    <row r="49" spans="1:14" ht="25.5" customHeight="1">
      <c r="B49" s="2752" t="s">
        <v>1316</v>
      </c>
      <c r="C49" s="2765"/>
      <c r="D49" s="2765"/>
      <c r="E49" s="2765"/>
      <c r="F49" s="2765"/>
      <c r="G49" s="2765"/>
      <c r="H49" s="2765"/>
      <c r="I49" s="1370"/>
      <c r="J49" s="1341"/>
    </row>
    <row r="50" spans="1:14" ht="25.5" customHeight="1">
      <c r="B50" s="2752" t="s">
        <v>1318</v>
      </c>
      <c r="C50" s="2765"/>
      <c r="D50" s="2765"/>
      <c r="E50" s="2765"/>
      <c r="F50" s="2765"/>
      <c r="G50" s="2765"/>
      <c r="H50" s="2765"/>
      <c r="I50" s="1370"/>
      <c r="J50" s="1341"/>
    </row>
    <row r="51" spans="1:14" ht="25.5" customHeight="1">
      <c r="B51" s="2752" t="s">
        <v>1320</v>
      </c>
      <c r="C51" s="2765"/>
      <c r="D51" s="2765"/>
      <c r="E51" s="2765"/>
      <c r="F51" s="2765"/>
      <c r="G51" s="2765"/>
      <c r="H51" s="2765"/>
      <c r="I51" s="1370"/>
      <c r="J51" s="1341"/>
    </row>
    <row r="52" spans="1:14" ht="54.75" customHeight="1">
      <c r="B52" s="2752" t="s">
        <v>1756</v>
      </c>
      <c r="C52" s="2765"/>
      <c r="D52" s="2765"/>
      <c r="E52" s="2765"/>
      <c r="F52" s="2765"/>
      <c r="G52" s="2765"/>
      <c r="H52" s="2765"/>
      <c r="I52" s="1370"/>
      <c r="J52" s="1341"/>
    </row>
    <row r="53" spans="1:14" ht="15">
      <c r="A53" s="2873"/>
      <c r="B53" s="2873"/>
      <c r="C53" s="2873"/>
      <c r="D53" s="2873"/>
      <c r="E53" s="2873"/>
      <c r="N53" s="1426" t="s">
        <v>362</v>
      </c>
    </row>
    <row r="54" spans="1:14" ht="14.25">
      <c r="A54" s="1712"/>
      <c r="B54" s="2874"/>
      <c r="C54" s="2874"/>
      <c r="D54" s="2874"/>
      <c r="E54" s="2874"/>
      <c r="N54" s="1426" t="s">
        <v>364</v>
      </c>
    </row>
    <row r="55" spans="1:14" ht="14.25">
      <c r="A55" s="1712"/>
      <c r="B55" s="2874"/>
      <c r="C55" s="2874"/>
      <c r="D55" s="2874"/>
      <c r="E55" s="2874"/>
      <c r="N55" s="1426" t="s">
        <v>363</v>
      </c>
    </row>
    <row r="56" spans="1:14" ht="14.25">
      <c r="A56" s="1712"/>
      <c r="B56" s="2874"/>
      <c r="C56" s="2874"/>
      <c r="D56" s="2874"/>
      <c r="E56" s="2874"/>
      <c r="N56" s="1426"/>
    </row>
    <row r="57" spans="1:14" ht="14.25">
      <c r="A57" s="1712"/>
      <c r="B57" s="2874"/>
      <c r="C57" s="2874"/>
      <c r="D57" s="2874"/>
      <c r="E57" s="2874"/>
      <c r="N57" s="1426"/>
    </row>
    <row r="58" spans="1:14" ht="14.25">
      <c r="A58" s="1712"/>
      <c r="B58" s="2874"/>
      <c r="C58" s="2874"/>
      <c r="D58" s="2874"/>
      <c r="E58" s="2874"/>
      <c r="N58" s="1426"/>
    </row>
    <row r="59" spans="1:14" ht="14.25">
      <c r="A59" s="1712"/>
      <c r="B59" s="2874"/>
      <c r="C59" s="2874"/>
      <c r="D59" s="2874"/>
      <c r="E59" s="2874"/>
    </row>
    <row r="60" spans="1:14" ht="14.25">
      <c r="A60" s="1712"/>
      <c r="B60" s="2874"/>
      <c r="C60" s="2874"/>
      <c r="D60" s="2874"/>
      <c r="E60" s="2874"/>
    </row>
    <row r="61" spans="1:14" ht="14.25">
      <c r="A61" s="1712"/>
      <c r="B61" s="2874"/>
      <c r="C61" s="2874"/>
      <c r="D61" s="2874"/>
      <c r="E61" s="2874"/>
    </row>
    <row r="62" spans="1:14" ht="14.25">
      <c r="A62" s="1712"/>
      <c r="B62" s="2874"/>
      <c r="C62" s="2874"/>
      <c r="D62" s="2874"/>
      <c r="E62" s="2874"/>
    </row>
    <row r="63" spans="1:14" ht="60" customHeight="1">
      <c r="A63" s="1712"/>
      <c r="B63" s="2874"/>
      <c r="C63" s="2874"/>
      <c r="D63" s="2874"/>
      <c r="E63" s="2874"/>
    </row>
    <row r="64" spans="1:14" ht="69" customHeight="1">
      <c r="A64" s="1712"/>
      <c r="B64" s="2874"/>
      <c r="C64" s="2874"/>
      <c r="D64" s="2874"/>
      <c r="E64" s="2874"/>
    </row>
    <row r="65" spans="1:5" ht="45" customHeight="1">
      <c r="A65" s="1712"/>
      <c r="B65" s="2874"/>
      <c r="C65" s="2874"/>
      <c r="D65" s="2874"/>
      <c r="E65" s="2874"/>
    </row>
    <row r="66" spans="1:5" ht="63" customHeight="1">
      <c r="A66" s="1712"/>
      <c r="B66" s="2874"/>
      <c r="C66" s="2874"/>
      <c r="D66" s="2874"/>
      <c r="E66" s="2874"/>
    </row>
    <row r="67" spans="1:5" ht="61.5" customHeight="1">
      <c r="A67" s="1712"/>
      <c r="B67" s="2874"/>
      <c r="C67" s="2874"/>
      <c r="D67" s="2874"/>
      <c r="E67" s="2874"/>
    </row>
    <row r="68" spans="1:5" ht="33" customHeight="1">
      <c r="A68" s="1712"/>
      <c r="B68" s="2874"/>
      <c r="C68" s="2874"/>
      <c r="D68" s="2874"/>
      <c r="E68" s="2874"/>
    </row>
    <row r="69" spans="1:5" ht="48" customHeight="1">
      <c r="A69" s="1712"/>
      <c r="B69" s="2874"/>
      <c r="C69" s="2874"/>
      <c r="D69" s="2874"/>
      <c r="E69" s="2874"/>
    </row>
    <row r="70" spans="1:5" ht="48.75" customHeight="1"/>
    <row r="71" spans="1:5" ht="81" customHeight="1"/>
    <row r="72" spans="1:5" ht="178.5" customHeight="1"/>
    <row r="73" spans="1:5" ht="45.75" customHeight="1"/>
    <row r="74" spans="1:5" ht="33" customHeight="1"/>
    <row r="75" spans="1:5" ht="36" customHeight="1"/>
    <row r="176" spans="2:2" ht="18">
      <c r="B176" s="794"/>
    </row>
  </sheetData>
  <sheetProtection formatCells="0" formatColumns="0" formatRows="0" insertColumns="0" insertRows="0"/>
  <mergeCells count="57">
    <mergeCell ref="B39:H39"/>
    <mergeCell ref="B35:H35"/>
    <mergeCell ref="B36:H36"/>
    <mergeCell ref="B45:H45"/>
    <mergeCell ref="B52:H52"/>
    <mergeCell ref="B38:H38"/>
    <mergeCell ref="B47:H47"/>
    <mergeCell ref="B48:H48"/>
    <mergeCell ref="B50:H50"/>
    <mergeCell ref="B41:H41"/>
    <mergeCell ref="B42:H42"/>
    <mergeCell ref="B43:H43"/>
    <mergeCell ref="B44:H44"/>
    <mergeCell ref="B46:H46"/>
    <mergeCell ref="B40:H40"/>
    <mergeCell ref="B27:G27"/>
    <mergeCell ref="B32:H32"/>
    <mergeCell ref="B33:H33"/>
    <mergeCell ref="B37:H37"/>
    <mergeCell ref="B34:H34"/>
    <mergeCell ref="B29:E29"/>
    <mergeCell ref="B31:E31"/>
    <mergeCell ref="H5:I5"/>
    <mergeCell ref="H6:I6"/>
    <mergeCell ref="H7:I7"/>
    <mergeCell ref="B26:G26"/>
    <mergeCell ref="B8:G8"/>
    <mergeCell ref="B11:G11"/>
    <mergeCell ref="B12:G12"/>
    <mergeCell ref="H8:I8"/>
    <mergeCell ref="B13:G13"/>
    <mergeCell ref="B9:G9"/>
    <mergeCell ref="B10:G10"/>
    <mergeCell ref="B14:G14"/>
    <mergeCell ref="B24:G24"/>
    <mergeCell ref="B22:G22"/>
    <mergeCell ref="B25:G25"/>
    <mergeCell ref="B23:G23"/>
    <mergeCell ref="B69:E69"/>
    <mergeCell ref="B68:E68"/>
    <mergeCell ref="B67:E67"/>
    <mergeCell ref="B57:E57"/>
    <mergeCell ref="B58:E58"/>
    <mergeCell ref="B59:E59"/>
    <mergeCell ref="B64:E64"/>
    <mergeCell ref="B66:E66"/>
    <mergeCell ref="A53:E53"/>
    <mergeCell ref="B54:E54"/>
    <mergeCell ref="B49:H49"/>
    <mergeCell ref="B51:H51"/>
    <mergeCell ref="B65:E65"/>
    <mergeCell ref="B63:E63"/>
    <mergeCell ref="B55:E55"/>
    <mergeCell ref="B56:E56"/>
    <mergeCell ref="B62:E62"/>
    <mergeCell ref="B60:E60"/>
    <mergeCell ref="B61:E61"/>
  </mergeCells>
  <dataValidations count="2">
    <dataValidation type="list" allowBlank="1" showInputMessage="1" showErrorMessage="1" sqref="I31:I52 JE31:JE52 TA31:TA52 ACW31:ACW52 AMS31:AMS52 AWO31:AWO52 BGK31:BGK52 BQG31:BQG52 CAC31:CAC52 CJY31:CJY52 CTU31:CTU52 DDQ31:DDQ52 DNM31:DNM52 DXI31:DXI52 EHE31:EHE52 ERA31:ERA52 FAW31:FAW52 FKS31:FKS52 FUO31:FUO52 GEK31:GEK52 GOG31:GOG52 GYC31:GYC52 HHY31:HHY52 HRU31:HRU52 IBQ31:IBQ52 ILM31:ILM52 IVI31:IVI52 JFE31:JFE52 JPA31:JPA52 JYW31:JYW52 KIS31:KIS52 KSO31:KSO52 LCK31:LCK52 LMG31:LMG52 LWC31:LWC52 MFY31:MFY52 MPU31:MPU52 MZQ31:MZQ52 NJM31:NJM52 NTI31:NTI52 ODE31:ODE52 ONA31:ONA52 OWW31:OWW52 PGS31:PGS52 PQO31:PQO52 QAK31:QAK52 QKG31:QKG52 QUC31:QUC52 RDY31:RDY52 RNU31:RNU52 RXQ31:RXQ52 SHM31:SHM52 SRI31:SRI52 TBE31:TBE52 TLA31:TLA52 TUW31:TUW52 UES31:UES52 UOO31:UOO52 UYK31:UYK52 VIG31:VIG52 VSC31:VSC52 WBY31:WBY52 WLU31:WLU52 WVQ31:WVQ52 I65567:I65588 JE65567:JE65588 TA65567:TA65588 ACW65567:ACW65588 AMS65567:AMS65588 AWO65567:AWO65588 BGK65567:BGK65588 BQG65567:BQG65588 CAC65567:CAC65588 CJY65567:CJY65588 CTU65567:CTU65588 DDQ65567:DDQ65588 DNM65567:DNM65588 DXI65567:DXI65588 EHE65567:EHE65588 ERA65567:ERA65588 FAW65567:FAW65588 FKS65567:FKS65588 FUO65567:FUO65588 GEK65567:GEK65588 GOG65567:GOG65588 GYC65567:GYC65588 HHY65567:HHY65588 HRU65567:HRU65588 IBQ65567:IBQ65588 ILM65567:ILM65588 IVI65567:IVI65588 JFE65567:JFE65588 JPA65567:JPA65588 JYW65567:JYW65588 KIS65567:KIS65588 KSO65567:KSO65588 LCK65567:LCK65588 LMG65567:LMG65588 LWC65567:LWC65588 MFY65567:MFY65588 MPU65567:MPU65588 MZQ65567:MZQ65588 NJM65567:NJM65588 NTI65567:NTI65588 ODE65567:ODE65588 ONA65567:ONA65588 OWW65567:OWW65588 PGS65567:PGS65588 PQO65567:PQO65588 QAK65567:QAK65588 QKG65567:QKG65588 QUC65567:QUC65588 RDY65567:RDY65588 RNU65567:RNU65588 RXQ65567:RXQ65588 SHM65567:SHM65588 SRI65567:SRI65588 TBE65567:TBE65588 TLA65567:TLA65588 TUW65567:TUW65588 UES65567:UES65588 UOO65567:UOO65588 UYK65567:UYK65588 VIG65567:VIG65588 VSC65567:VSC65588 WBY65567:WBY65588 WLU65567:WLU65588 WVQ65567:WVQ65588 I131103:I131124 JE131103:JE131124 TA131103:TA131124 ACW131103:ACW131124 AMS131103:AMS131124 AWO131103:AWO131124 BGK131103:BGK131124 BQG131103:BQG131124 CAC131103:CAC131124 CJY131103:CJY131124 CTU131103:CTU131124 DDQ131103:DDQ131124 DNM131103:DNM131124 DXI131103:DXI131124 EHE131103:EHE131124 ERA131103:ERA131124 FAW131103:FAW131124 FKS131103:FKS131124 FUO131103:FUO131124 GEK131103:GEK131124 GOG131103:GOG131124 GYC131103:GYC131124 HHY131103:HHY131124 HRU131103:HRU131124 IBQ131103:IBQ131124 ILM131103:ILM131124 IVI131103:IVI131124 JFE131103:JFE131124 JPA131103:JPA131124 JYW131103:JYW131124 KIS131103:KIS131124 KSO131103:KSO131124 LCK131103:LCK131124 LMG131103:LMG131124 LWC131103:LWC131124 MFY131103:MFY131124 MPU131103:MPU131124 MZQ131103:MZQ131124 NJM131103:NJM131124 NTI131103:NTI131124 ODE131103:ODE131124 ONA131103:ONA131124 OWW131103:OWW131124 PGS131103:PGS131124 PQO131103:PQO131124 QAK131103:QAK131124 QKG131103:QKG131124 QUC131103:QUC131124 RDY131103:RDY131124 RNU131103:RNU131124 RXQ131103:RXQ131124 SHM131103:SHM131124 SRI131103:SRI131124 TBE131103:TBE131124 TLA131103:TLA131124 TUW131103:TUW131124 UES131103:UES131124 UOO131103:UOO131124 UYK131103:UYK131124 VIG131103:VIG131124 VSC131103:VSC131124 WBY131103:WBY131124 WLU131103:WLU131124 WVQ131103:WVQ131124 I196639:I196660 JE196639:JE196660 TA196639:TA196660 ACW196639:ACW196660 AMS196639:AMS196660 AWO196639:AWO196660 BGK196639:BGK196660 BQG196639:BQG196660 CAC196639:CAC196660 CJY196639:CJY196660 CTU196639:CTU196660 DDQ196639:DDQ196660 DNM196639:DNM196660 DXI196639:DXI196660 EHE196639:EHE196660 ERA196639:ERA196660 FAW196639:FAW196660 FKS196639:FKS196660 FUO196639:FUO196660 GEK196639:GEK196660 GOG196639:GOG196660 GYC196639:GYC196660 HHY196639:HHY196660 HRU196639:HRU196660 IBQ196639:IBQ196660 ILM196639:ILM196660 IVI196639:IVI196660 JFE196639:JFE196660 JPA196639:JPA196660 JYW196639:JYW196660 KIS196639:KIS196660 KSO196639:KSO196660 LCK196639:LCK196660 LMG196639:LMG196660 LWC196639:LWC196660 MFY196639:MFY196660 MPU196639:MPU196660 MZQ196639:MZQ196660 NJM196639:NJM196660 NTI196639:NTI196660 ODE196639:ODE196660 ONA196639:ONA196660 OWW196639:OWW196660 PGS196639:PGS196660 PQO196639:PQO196660 QAK196639:QAK196660 QKG196639:QKG196660 QUC196639:QUC196660 RDY196639:RDY196660 RNU196639:RNU196660 RXQ196639:RXQ196660 SHM196639:SHM196660 SRI196639:SRI196660 TBE196639:TBE196660 TLA196639:TLA196660 TUW196639:TUW196660 UES196639:UES196660 UOO196639:UOO196660 UYK196639:UYK196660 VIG196639:VIG196660 VSC196639:VSC196660 WBY196639:WBY196660 WLU196639:WLU196660 WVQ196639:WVQ196660 I262175:I262196 JE262175:JE262196 TA262175:TA262196 ACW262175:ACW262196 AMS262175:AMS262196 AWO262175:AWO262196 BGK262175:BGK262196 BQG262175:BQG262196 CAC262175:CAC262196 CJY262175:CJY262196 CTU262175:CTU262196 DDQ262175:DDQ262196 DNM262175:DNM262196 DXI262175:DXI262196 EHE262175:EHE262196 ERA262175:ERA262196 FAW262175:FAW262196 FKS262175:FKS262196 FUO262175:FUO262196 GEK262175:GEK262196 GOG262175:GOG262196 GYC262175:GYC262196 HHY262175:HHY262196 HRU262175:HRU262196 IBQ262175:IBQ262196 ILM262175:ILM262196 IVI262175:IVI262196 JFE262175:JFE262196 JPA262175:JPA262196 JYW262175:JYW262196 KIS262175:KIS262196 KSO262175:KSO262196 LCK262175:LCK262196 LMG262175:LMG262196 LWC262175:LWC262196 MFY262175:MFY262196 MPU262175:MPU262196 MZQ262175:MZQ262196 NJM262175:NJM262196 NTI262175:NTI262196 ODE262175:ODE262196 ONA262175:ONA262196 OWW262175:OWW262196 PGS262175:PGS262196 PQO262175:PQO262196 QAK262175:QAK262196 QKG262175:QKG262196 QUC262175:QUC262196 RDY262175:RDY262196 RNU262175:RNU262196 RXQ262175:RXQ262196 SHM262175:SHM262196 SRI262175:SRI262196 TBE262175:TBE262196 TLA262175:TLA262196 TUW262175:TUW262196 UES262175:UES262196 UOO262175:UOO262196 UYK262175:UYK262196 VIG262175:VIG262196 VSC262175:VSC262196 WBY262175:WBY262196 WLU262175:WLU262196 WVQ262175:WVQ262196 I327711:I327732 JE327711:JE327732 TA327711:TA327732 ACW327711:ACW327732 AMS327711:AMS327732 AWO327711:AWO327732 BGK327711:BGK327732 BQG327711:BQG327732 CAC327711:CAC327732 CJY327711:CJY327732 CTU327711:CTU327732 DDQ327711:DDQ327732 DNM327711:DNM327732 DXI327711:DXI327732 EHE327711:EHE327732 ERA327711:ERA327732 FAW327711:FAW327732 FKS327711:FKS327732 FUO327711:FUO327732 GEK327711:GEK327732 GOG327711:GOG327732 GYC327711:GYC327732 HHY327711:HHY327732 HRU327711:HRU327732 IBQ327711:IBQ327732 ILM327711:ILM327732 IVI327711:IVI327732 JFE327711:JFE327732 JPA327711:JPA327732 JYW327711:JYW327732 KIS327711:KIS327732 KSO327711:KSO327732 LCK327711:LCK327732 LMG327711:LMG327732 LWC327711:LWC327732 MFY327711:MFY327732 MPU327711:MPU327732 MZQ327711:MZQ327732 NJM327711:NJM327732 NTI327711:NTI327732 ODE327711:ODE327732 ONA327711:ONA327732 OWW327711:OWW327732 PGS327711:PGS327732 PQO327711:PQO327732 QAK327711:QAK327732 QKG327711:QKG327732 QUC327711:QUC327732 RDY327711:RDY327732 RNU327711:RNU327732 RXQ327711:RXQ327732 SHM327711:SHM327732 SRI327711:SRI327732 TBE327711:TBE327732 TLA327711:TLA327732 TUW327711:TUW327732 UES327711:UES327732 UOO327711:UOO327732 UYK327711:UYK327732 VIG327711:VIG327732 VSC327711:VSC327732 WBY327711:WBY327732 WLU327711:WLU327732 WVQ327711:WVQ327732 I393247:I393268 JE393247:JE393268 TA393247:TA393268 ACW393247:ACW393268 AMS393247:AMS393268 AWO393247:AWO393268 BGK393247:BGK393268 BQG393247:BQG393268 CAC393247:CAC393268 CJY393247:CJY393268 CTU393247:CTU393268 DDQ393247:DDQ393268 DNM393247:DNM393268 DXI393247:DXI393268 EHE393247:EHE393268 ERA393247:ERA393268 FAW393247:FAW393268 FKS393247:FKS393268 FUO393247:FUO393268 GEK393247:GEK393268 GOG393247:GOG393268 GYC393247:GYC393268 HHY393247:HHY393268 HRU393247:HRU393268 IBQ393247:IBQ393268 ILM393247:ILM393268 IVI393247:IVI393268 JFE393247:JFE393268 JPA393247:JPA393268 JYW393247:JYW393268 KIS393247:KIS393268 KSO393247:KSO393268 LCK393247:LCK393268 LMG393247:LMG393268 LWC393247:LWC393268 MFY393247:MFY393268 MPU393247:MPU393268 MZQ393247:MZQ393268 NJM393247:NJM393268 NTI393247:NTI393268 ODE393247:ODE393268 ONA393247:ONA393268 OWW393247:OWW393268 PGS393247:PGS393268 PQO393247:PQO393268 QAK393247:QAK393268 QKG393247:QKG393268 QUC393247:QUC393268 RDY393247:RDY393268 RNU393247:RNU393268 RXQ393247:RXQ393268 SHM393247:SHM393268 SRI393247:SRI393268 TBE393247:TBE393268 TLA393247:TLA393268 TUW393247:TUW393268 UES393247:UES393268 UOO393247:UOO393268 UYK393247:UYK393268 VIG393247:VIG393268 VSC393247:VSC393268 WBY393247:WBY393268 WLU393247:WLU393268 WVQ393247:WVQ393268 I458783:I458804 JE458783:JE458804 TA458783:TA458804 ACW458783:ACW458804 AMS458783:AMS458804 AWO458783:AWO458804 BGK458783:BGK458804 BQG458783:BQG458804 CAC458783:CAC458804 CJY458783:CJY458804 CTU458783:CTU458804 DDQ458783:DDQ458804 DNM458783:DNM458804 DXI458783:DXI458804 EHE458783:EHE458804 ERA458783:ERA458804 FAW458783:FAW458804 FKS458783:FKS458804 FUO458783:FUO458804 GEK458783:GEK458804 GOG458783:GOG458804 GYC458783:GYC458804 HHY458783:HHY458804 HRU458783:HRU458804 IBQ458783:IBQ458804 ILM458783:ILM458804 IVI458783:IVI458804 JFE458783:JFE458804 JPA458783:JPA458804 JYW458783:JYW458804 KIS458783:KIS458804 KSO458783:KSO458804 LCK458783:LCK458804 LMG458783:LMG458804 LWC458783:LWC458804 MFY458783:MFY458804 MPU458783:MPU458804 MZQ458783:MZQ458804 NJM458783:NJM458804 NTI458783:NTI458804 ODE458783:ODE458804 ONA458783:ONA458804 OWW458783:OWW458804 PGS458783:PGS458804 PQO458783:PQO458804 QAK458783:QAK458804 QKG458783:QKG458804 QUC458783:QUC458804 RDY458783:RDY458804 RNU458783:RNU458804 RXQ458783:RXQ458804 SHM458783:SHM458804 SRI458783:SRI458804 TBE458783:TBE458804 TLA458783:TLA458804 TUW458783:TUW458804 UES458783:UES458804 UOO458783:UOO458804 UYK458783:UYK458804 VIG458783:VIG458804 VSC458783:VSC458804 WBY458783:WBY458804 WLU458783:WLU458804 WVQ458783:WVQ458804 I524319:I524340 JE524319:JE524340 TA524319:TA524340 ACW524319:ACW524340 AMS524319:AMS524340 AWO524319:AWO524340 BGK524319:BGK524340 BQG524319:BQG524340 CAC524319:CAC524340 CJY524319:CJY524340 CTU524319:CTU524340 DDQ524319:DDQ524340 DNM524319:DNM524340 DXI524319:DXI524340 EHE524319:EHE524340 ERA524319:ERA524340 FAW524319:FAW524340 FKS524319:FKS524340 FUO524319:FUO524340 GEK524319:GEK524340 GOG524319:GOG524340 GYC524319:GYC524340 HHY524319:HHY524340 HRU524319:HRU524340 IBQ524319:IBQ524340 ILM524319:ILM524340 IVI524319:IVI524340 JFE524319:JFE524340 JPA524319:JPA524340 JYW524319:JYW524340 KIS524319:KIS524340 KSO524319:KSO524340 LCK524319:LCK524340 LMG524319:LMG524340 LWC524319:LWC524340 MFY524319:MFY524340 MPU524319:MPU524340 MZQ524319:MZQ524340 NJM524319:NJM524340 NTI524319:NTI524340 ODE524319:ODE524340 ONA524319:ONA524340 OWW524319:OWW524340 PGS524319:PGS524340 PQO524319:PQO524340 QAK524319:QAK524340 QKG524319:QKG524340 QUC524319:QUC524340 RDY524319:RDY524340 RNU524319:RNU524340 RXQ524319:RXQ524340 SHM524319:SHM524340 SRI524319:SRI524340 TBE524319:TBE524340 TLA524319:TLA524340 TUW524319:TUW524340 UES524319:UES524340 UOO524319:UOO524340 UYK524319:UYK524340 VIG524319:VIG524340 VSC524319:VSC524340 WBY524319:WBY524340 WLU524319:WLU524340 WVQ524319:WVQ524340 I589855:I589876 JE589855:JE589876 TA589855:TA589876 ACW589855:ACW589876 AMS589855:AMS589876 AWO589855:AWO589876 BGK589855:BGK589876 BQG589855:BQG589876 CAC589855:CAC589876 CJY589855:CJY589876 CTU589855:CTU589876 DDQ589855:DDQ589876 DNM589855:DNM589876 DXI589855:DXI589876 EHE589855:EHE589876 ERA589855:ERA589876 FAW589855:FAW589876 FKS589855:FKS589876 FUO589855:FUO589876 GEK589855:GEK589876 GOG589855:GOG589876 GYC589855:GYC589876 HHY589855:HHY589876 HRU589855:HRU589876 IBQ589855:IBQ589876 ILM589855:ILM589876 IVI589855:IVI589876 JFE589855:JFE589876 JPA589855:JPA589876 JYW589855:JYW589876 KIS589855:KIS589876 KSO589855:KSO589876 LCK589855:LCK589876 LMG589855:LMG589876 LWC589855:LWC589876 MFY589855:MFY589876 MPU589855:MPU589876 MZQ589855:MZQ589876 NJM589855:NJM589876 NTI589855:NTI589876 ODE589855:ODE589876 ONA589855:ONA589876 OWW589855:OWW589876 PGS589855:PGS589876 PQO589855:PQO589876 QAK589855:QAK589876 QKG589855:QKG589876 QUC589855:QUC589876 RDY589855:RDY589876 RNU589855:RNU589876 RXQ589855:RXQ589876 SHM589855:SHM589876 SRI589855:SRI589876 TBE589855:TBE589876 TLA589855:TLA589876 TUW589855:TUW589876 UES589855:UES589876 UOO589855:UOO589876 UYK589855:UYK589876 VIG589855:VIG589876 VSC589855:VSC589876 WBY589855:WBY589876 WLU589855:WLU589876 WVQ589855:WVQ589876 I655391:I655412 JE655391:JE655412 TA655391:TA655412 ACW655391:ACW655412 AMS655391:AMS655412 AWO655391:AWO655412 BGK655391:BGK655412 BQG655391:BQG655412 CAC655391:CAC655412 CJY655391:CJY655412 CTU655391:CTU655412 DDQ655391:DDQ655412 DNM655391:DNM655412 DXI655391:DXI655412 EHE655391:EHE655412 ERA655391:ERA655412 FAW655391:FAW655412 FKS655391:FKS655412 FUO655391:FUO655412 GEK655391:GEK655412 GOG655391:GOG655412 GYC655391:GYC655412 HHY655391:HHY655412 HRU655391:HRU655412 IBQ655391:IBQ655412 ILM655391:ILM655412 IVI655391:IVI655412 JFE655391:JFE655412 JPA655391:JPA655412 JYW655391:JYW655412 KIS655391:KIS655412 KSO655391:KSO655412 LCK655391:LCK655412 LMG655391:LMG655412 LWC655391:LWC655412 MFY655391:MFY655412 MPU655391:MPU655412 MZQ655391:MZQ655412 NJM655391:NJM655412 NTI655391:NTI655412 ODE655391:ODE655412 ONA655391:ONA655412 OWW655391:OWW655412 PGS655391:PGS655412 PQO655391:PQO655412 QAK655391:QAK655412 QKG655391:QKG655412 QUC655391:QUC655412 RDY655391:RDY655412 RNU655391:RNU655412 RXQ655391:RXQ655412 SHM655391:SHM655412 SRI655391:SRI655412 TBE655391:TBE655412 TLA655391:TLA655412 TUW655391:TUW655412 UES655391:UES655412 UOO655391:UOO655412 UYK655391:UYK655412 VIG655391:VIG655412 VSC655391:VSC655412 WBY655391:WBY655412 WLU655391:WLU655412 WVQ655391:WVQ655412 I720927:I720948 JE720927:JE720948 TA720927:TA720948 ACW720927:ACW720948 AMS720927:AMS720948 AWO720927:AWO720948 BGK720927:BGK720948 BQG720927:BQG720948 CAC720927:CAC720948 CJY720927:CJY720948 CTU720927:CTU720948 DDQ720927:DDQ720948 DNM720927:DNM720948 DXI720927:DXI720948 EHE720927:EHE720948 ERA720927:ERA720948 FAW720927:FAW720948 FKS720927:FKS720948 FUO720927:FUO720948 GEK720927:GEK720948 GOG720927:GOG720948 GYC720927:GYC720948 HHY720927:HHY720948 HRU720927:HRU720948 IBQ720927:IBQ720948 ILM720927:ILM720948 IVI720927:IVI720948 JFE720927:JFE720948 JPA720927:JPA720948 JYW720927:JYW720948 KIS720927:KIS720948 KSO720927:KSO720948 LCK720927:LCK720948 LMG720927:LMG720948 LWC720927:LWC720948 MFY720927:MFY720948 MPU720927:MPU720948 MZQ720927:MZQ720948 NJM720927:NJM720948 NTI720927:NTI720948 ODE720927:ODE720948 ONA720927:ONA720948 OWW720927:OWW720948 PGS720927:PGS720948 PQO720927:PQO720948 QAK720927:QAK720948 QKG720927:QKG720948 QUC720927:QUC720948 RDY720927:RDY720948 RNU720927:RNU720948 RXQ720927:RXQ720948 SHM720927:SHM720948 SRI720927:SRI720948 TBE720927:TBE720948 TLA720927:TLA720948 TUW720927:TUW720948 UES720927:UES720948 UOO720927:UOO720948 UYK720927:UYK720948 VIG720927:VIG720948 VSC720927:VSC720948 WBY720927:WBY720948 WLU720927:WLU720948 WVQ720927:WVQ720948 I786463:I786484 JE786463:JE786484 TA786463:TA786484 ACW786463:ACW786484 AMS786463:AMS786484 AWO786463:AWO786484 BGK786463:BGK786484 BQG786463:BQG786484 CAC786463:CAC786484 CJY786463:CJY786484 CTU786463:CTU786484 DDQ786463:DDQ786484 DNM786463:DNM786484 DXI786463:DXI786484 EHE786463:EHE786484 ERA786463:ERA786484 FAW786463:FAW786484 FKS786463:FKS786484 FUO786463:FUO786484 GEK786463:GEK786484 GOG786463:GOG786484 GYC786463:GYC786484 HHY786463:HHY786484 HRU786463:HRU786484 IBQ786463:IBQ786484 ILM786463:ILM786484 IVI786463:IVI786484 JFE786463:JFE786484 JPA786463:JPA786484 JYW786463:JYW786484 KIS786463:KIS786484 KSO786463:KSO786484 LCK786463:LCK786484 LMG786463:LMG786484 LWC786463:LWC786484 MFY786463:MFY786484 MPU786463:MPU786484 MZQ786463:MZQ786484 NJM786463:NJM786484 NTI786463:NTI786484 ODE786463:ODE786484 ONA786463:ONA786484 OWW786463:OWW786484 PGS786463:PGS786484 PQO786463:PQO786484 QAK786463:QAK786484 QKG786463:QKG786484 QUC786463:QUC786484 RDY786463:RDY786484 RNU786463:RNU786484 RXQ786463:RXQ786484 SHM786463:SHM786484 SRI786463:SRI786484 TBE786463:TBE786484 TLA786463:TLA786484 TUW786463:TUW786484 UES786463:UES786484 UOO786463:UOO786484 UYK786463:UYK786484 VIG786463:VIG786484 VSC786463:VSC786484 WBY786463:WBY786484 WLU786463:WLU786484 WVQ786463:WVQ786484 I851999:I852020 JE851999:JE852020 TA851999:TA852020 ACW851999:ACW852020 AMS851999:AMS852020 AWO851999:AWO852020 BGK851999:BGK852020 BQG851999:BQG852020 CAC851999:CAC852020 CJY851999:CJY852020 CTU851999:CTU852020 DDQ851999:DDQ852020 DNM851999:DNM852020 DXI851999:DXI852020 EHE851999:EHE852020 ERA851999:ERA852020 FAW851999:FAW852020 FKS851999:FKS852020 FUO851999:FUO852020 GEK851999:GEK852020 GOG851999:GOG852020 GYC851999:GYC852020 HHY851999:HHY852020 HRU851999:HRU852020 IBQ851999:IBQ852020 ILM851999:ILM852020 IVI851999:IVI852020 JFE851999:JFE852020 JPA851999:JPA852020 JYW851999:JYW852020 KIS851999:KIS852020 KSO851999:KSO852020 LCK851999:LCK852020 LMG851999:LMG852020 LWC851999:LWC852020 MFY851999:MFY852020 MPU851999:MPU852020 MZQ851999:MZQ852020 NJM851999:NJM852020 NTI851999:NTI852020 ODE851999:ODE852020 ONA851999:ONA852020 OWW851999:OWW852020 PGS851999:PGS852020 PQO851999:PQO852020 QAK851999:QAK852020 QKG851999:QKG852020 QUC851999:QUC852020 RDY851999:RDY852020 RNU851999:RNU852020 RXQ851999:RXQ852020 SHM851999:SHM852020 SRI851999:SRI852020 TBE851999:TBE852020 TLA851999:TLA852020 TUW851999:TUW852020 UES851999:UES852020 UOO851999:UOO852020 UYK851999:UYK852020 VIG851999:VIG852020 VSC851999:VSC852020 WBY851999:WBY852020 WLU851999:WLU852020 WVQ851999:WVQ852020 I917535:I917556 JE917535:JE917556 TA917535:TA917556 ACW917535:ACW917556 AMS917535:AMS917556 AWO917535:AWO917556 BGK917535:BGK917556 BQG917535:BQG917556 CAC917535:CAC917556 CJY917535:CJY917556 CTU917535:CTU917556 DDQ917535:DDQ917556 DNM917535:DNM917556 DXI917535:DXI917556 EHE917535:EHE917556 ERA917535:ERA917556 FAW917535:FAW917556 FKS917535:FKS917556 FUO917535:FUO917556 GEK917535:GEK917556 GOG917535:GOG917556 GYC917535:GYC917556 HHY917535:HHY917556 HRU917535:HRU917556 IBQ917535:IBQ917556 ILM917535:ILM917556 IVI917535:IVI917556 JFE917535:JFE917556 JPA917535:JPA917556 JYW917535:JYW917556 KIS917535:KIS917556 KSO917535:KSO917556 LCK917535:LCK917556 LMG917535:LMG917556 LWC917535:LWC917556 MFY917535:MFY917556 MPU917535:MPU917556 MZQ917535:MZQ917556 NJM917535:NJM917556 NTI917535:NTI917556 ODE917535:ODE917556 ONA917535:ONA917556 OWW917535:OWW917556 PGS917535:PGS917556 PQO917535:PQO917556 QAK917535:QAK917556 QKG917535:QKG917556 QUC917535:QUC917556 RDY917535:RDY917556 RNU917535:RNU917556 RXQ917535:RXQ917556 SHM917535:SHM917556 SRI917535:SRI917556 TBE917535:TBE917556 TLA917535:TLA917556 TUW917535:TUW917556 UES917535:UES917556 UOO917535:UOO917556 UYK917535:UYK917556 VIG917535:VIG917556 VSC917535:VSC917556 WBY917535:WBY917556 WLU917535:WLU917556 WVQ917535:WVQ917556 I983071:I983092 JE983071:JE983092 TA983071:TA983092 ACW983071:ACW983092 AMS983071:AMS983092 AWO983071:AWO983092 BGK983071:BGK983092 BQG983071:BQG983092 CAC983071:CAC983092 CJY983071:CJY983092 CTU983071:CTU983092 DDQ983071:DDQ983092 DNM983071:DNM983092 DXI983071:DXI983092 EHE983071:EHE983092 ERA983071:ERA983092 FAW983071:FAW983092 FKS983071:FKS983092 FUO983071:FUO983092 GEK983071:GEK983092 GOG983071:GOG983092 GYC983071:GYC983092 HHY983071:HHY983092 HRU983071:HRU983092 IBQ983071:IBQ983092 ILM983071:ILM983092 IVI983071:IVI983092 JFE983071:JFE983092 JPA983071:JPA983092 JYW983071:JYW983092 KIS983071:KIS983092 KSO983071:KSO983092 LCK983071:LCK983092 LMG983071:LMG983092 LWC983071:LWC983092 MFY983071:MFY983092 MPU983071:MPU983092 MZQ983071:MZQ983092 NJM983071:NJM983092 NTI983071:NTI983092 ODE983071:ODE983092 ONA983071:ONA983092 OWW983071:OWW983092 PGS983071:PGS983092 PQO983071:PQO983092 QAK983071:QAK983092 QKG983071:QKG983092 QUC983071:QUC983092 RDY983071:RDY983092 RNU983071:RNU983092 RXQ983071:RXQ983092 SHM983071:SHM983092 SRI983071:SRI983092 TBE983071:TBE983092 TLA983071:TLA983092 TUW983071:TUW983092 UES983071:UES983092 UOO983071:UOO983092 UYK983071:UYK983092 VIG983071:VIG983092 VSC983071:VSC983092 WBY983071:WBY983092 WLU983071:WLU983092 WVQ983071:WVQ983092 H31 JD31 SZ31 ACV31 AMR31 AWN31 BGJ31 BQF31 CAB31 CJX31 CTT31 DDP31 DNL31 DXH31 EHD31 EQZ31 FAV31 FKR31 FUN31 GEJ31 GOF31 GYB31 HHX31 HRT31 IBP31 ILL31 IVH31 JFD31 JOZ31 JYV31 KIR31 KSN31 LCJ31 LMF31 LWB31 MFX31 MPT31 MZP31 NJL31 NTH31 ODD31 OMZ31 OWV31 PGR31 PQN31 QAJ31 QKF31 QUB31 RDX31 RNT31 RXP31 SHL31 SRH31 TBD31 TKZ31 TUV31 UER31 UON31 UYJ31 VIF31 VSB31 WBX31 WLT31 WVP31 H65567 JD65567 SZ65567 ACV65567 AMR65567 AWN65567 BGJ65567 BQF65567 CAB65567 CJX65567 CTT65567 DDP65567 DNL65567 DXH65567 EHD65567 EQZ65567 FAV65567 FKR65567 FUN65567 GEJ65567 GOF65567 GYB65567 HHX65567 HRT65567 IBP65567 ILL65567 IVH65567 JFD65567 JOZ65567 JYV65567 KIR65567 KSN65567 LCJ65567 LMF65567 LWB65567 MFX65567 MPT65567 MZP65567 NJL65567 NTH65567 ODD65567 OMZ65567 OWV65567 PGR65567 PQN65567 QAJ65567 QKF65567 QUB65567 RDX65567 RNT65567 RXP65567 SHL65567 SRH65567 TBD65567 TKZ65567 TUV65567 UER65567 UON65567 UYJ65567 VIF65567 VSB65567 WBX65567 WLT65567 WVP65567 H131103 JD131103 SZ131103 ACV131103 AMR131103 AWN131103 BGJ131103 BQF131103 CAB131103 CJX131103 CTT131103 DDP131103 DNL131103 DXH131103 EHD131103 EQZ131103 FAV131103 FKR131103 FUN131103 GEJ131103 GOF131103 GYB131103 HHX131103 HRT131103 IBP131103 ILL131103 IVH131103 JFD131103 JOZ131103 JYV131103 KIR131103 KSN131103 LCJ131103 LMF131103 LWB131103 MFX131103 MPT131103 MZP131103 NJL131103 NTH131103 ODD131103 OMZ131103 OWV131103 PGR131103 PQN131103 QAJ131103 QKF131103 QUB131103 RDX131103 RNT131103 RXP131103 SHL131103 SRH131103 TBD131103 TKZ131103 TUV131103 UER131103 UON131103 UYJ131103 VIF131103 VSB131103 WBX131103 WLT131103 WVP131103 H196639 JD196639 SZ196639 ACV196639 AMR196639 AWN196639 BGJ196639 BQF196639 CAB196639 CJX196639 CTT196639 DDP196639 DNL196639 DXH196639 EHD196639 EQZ196639 FAV196639 FKR196639 FUN196639 GEJ196639 GOF196639 GYB196639 HHX196639 HRT196639 IBP196639 ILL196639 IVH196639 JFD196639 JOZ196639 JYV196639 KIR196639 KSN196639 LCJ196639 LMF196639 LWB196639 MFX196639 MPT196639 MZP196639 NJL196639 NTH196639 ODD196639 OMZ196639 OWV196639 PGR196639 PQN196639 QAJ196639 QKF196639 QUB196639 RDX196639 RNT196639 RXP196639 SHL196639 SRH196639 TBD196639 TKZ196639 TUV196639 UER196639 UON196639 UYJ196639 VIF196639 VSB196639 WBX196639 WLT196639 WVP196639 H262175 JD262175 SZ262175 ACV262175 AMR262175 AWN262175 BGJ262175 BQF262175 CAB262175 CJX262175 CTT262175 DDP262175 DNL262175 DXH262175 EHD262175 EQZ262175 FAV262175 FKR262175 FUN262175 GEJ262175 GOF262175 GYB262175 HHX262175 HRT262175 IBP262175 ILL262175 IVH262175 JFD262175 JOZ262175 JYV262175 KIR262175 KSN262175 LCJ262175 LMF262175 LWB262175 MFX262175 MPT262175 MZP262175 NJL262175 NTH262175 ODD262175 OMZ262175 OWV262175 PGR262175 PQN262175 QAJ262175 QKF262175 QUB262175 RDX262175 RNT262175 RXP262175 SHL262175 SRH262175 TBD262175 TKZ262175 TUV262175 UER262175 UON262175 UYJ262175 VIF262175 VSB262175 WBX262175 WLT262175 WVP262175 H327711 JD327711 SZ327711 ACV327711 AMR327711 AWN327711 BGJ327711 BQF327711 CAB327711 CJX327711 CTT327711 DDP327711 DNL327711 DXH327711 EHD327711 EQZ327711 FAV327711 FKR327711 FUN327711 GEJ327711 GOF327711 GYB327711 HHX327711 HRT327711 IBP327711 ILL327711 IVH327711 JFD327711 JOZ327711 JYV327711 KIR327711 KSN327711 LCJ327711 LMF327711 LWB327711 MFX327711 MPT327711 MZP327711 NJL327711 NTH327711 ODD327711 OMZ327711 OWV327711 PGR327711 PQN327711 QAJ327711 QKF327711 QUB327711 RDX327711 RNT327711 RXP327711 SHL327711 SRH327711 TBD327711 TKZ327711 TUV327711 UER327711 UON327711 UYJ327711 VIF327711 VSB327711 WBX327711 WLT327711 WVP327711 H393247 JD393247 SZ393247 ACV393247 AMR393247 AWN393247 BGJ393247 BQF393247 CAB393247 CJX393247 CTT393247 DDP393247 DNL393247 DXH393247 EHD393247 EQZ393247 FAV393247 FKR393247 FUN393247 GEJ393247 GOF393247 GYB393247 HHX393247 HRT393247 IBP393247 ILL393247 IVH393247 JFD393247 JOZ393247 JYV393247 KIR393247 KSN393247 LCJ393247 LMF393247 LWB393247 MFX393247 MPT393247 MZP393247 NJL393247 NTH393247 ODD393247 OMZ393247 OWV393247 PGR393247 PQN393247 QAJ393247 QKF393247 QUB393247 RDX393247 RNT393247 RXP393247 SHL393247 SRH393247 TBD393247 TKZ393247 TUV393247 UER393247 UON393247 UYJ393247 VIF393247 VSB393247 WBX393247 WLT393247 WVP393247 H458783 JD458783 SZ458783 ACV458783 AMR458783 AWN458783 BGJ458783 BQF458783 CAB458783 CJX458783 CTT458783 DDP458783 DNL458783 DXH458783 EHD458783 EQZ458783 FAV458783 FKR458783 FUN458783 GEJ458783 GOF458783 GYB458783 HHX458783 HRT458783 IBP458783 ILL458783 IVH458783 JFD458783 JOZ458783 JYV458783 KIR458783 KSN458783 LCJ458783 LMF458783 LWB458783 MFX458783 MPT458783 MZP458783 NJL458783 NTH458783 ODD458783 OMZ458783 OWV458783 PGR458783 PQN458783 QAJ458783 QKF458783 QUB458783 RDX458783 RNT458783 RXP458783 SHL458783 SRH458783 TBD458783 TKZ458783 TUV458783 UER458783 UON458783 UYJ458783 VIF458783 VSB458783 WBX458783 WLT458783 WVP458783 H524319 JD524319 SZ524319 ACV524319 AMR524319 AWN524319 BGJ524319 BQF524319 CAB524319 CJX524319 CTT524319 DDP524319 DNL524319 DXH524319 EHD524319 EQZ524319 FAV524319 FKR524319 FUN524319 GEJ524319 GOF524319 GYB524319 HHX524319 HRT524319 IBP524319 ILL524319 IVH524319 JFD524319 JOZ524319 JYV524319 KIR524319 KSN524319 LCJ524319 LMF524319 LWB524319 MFX524319 MPT524319 MZP524319 NJL524319 NTH524319 ODD524319 OMZ524319 OWV524319 PGR524319 PQN524319 QAJ524319 QKF524319 QUB524319 RDX524319 RNT524319 RXP524319 SHL524319 SRH524319 TBD524319 TKZ524319 TUV524319 UER524319 UON524319 UYJ524319 VIF524319 VSB524319 WBX524319 WLT524319 WVP524319 H589855 JD589855 SZ589855 ACV589855 AMR589855 AWN589855 BGJ589855 BQF589855 CAB589855 CJX589855 CTT589855 DDP589855 DNL589855 DXH589855 EHD589855 EQZ589855 FAV589855 FKR589855 FUN589855 GEJ589855 GOF589855 GYB589855 HHX589855 HRT589855 IBP589855 ILL589855 IVH589855 JFD589855 JOZ589855 JYV589855 KIR589855 KSN589855 LCJ589855 LMF589855 LWB589855 MFX589855 MPT589855 MZP589855 NJL589855 NTH589855 ODD589855 OMZ589855 OWV589855 PGR589855 PQN589855 QAJ589855 QKF589855 QUB589855 RDX589855 RNT589855 RXP589855 SHL589855 SRH589855 TBD589855 TKZ589855 TUV589855 UER589855 UON589855 UYJ589855 VIF589855 VSB589855 WBX589855 WLT589855 WVP589855 H655391 JD655391 SZ655391 ACV655391 AMR655391 AWN655391 BGJ655391 BQF655391 CAB655391 CJX655391 CTT655391 DDP655391 DNL655391 DXH655391 EHD655391 EQZ655391 FAV655391 FKR655391 FUN655391 GEJ655391 GOF655391 GYB655391 HHX655391 HRT655391 IBP655391 ILL655391 IVH655391 JFD655391 JOZ655391 JYV655391 KIR655391 KSN655391 LCJ655391 LMF655391 LWB655391 MFX655391 MPT655391 MZP655391 NJL655391 NTH655391 ODD655391 OMZ655391 OWV655391 PGR655391 PQN655391 QAJ655391 QKF655391 QUB655391 RDX655391 RNT655391 RXP655391 SHL655391 SRH655391 TBD655391 TKZ655391 TUV655391 UER655391 UON655391 UYJ655391 VIF655391 VSB655391 WBX655391 WLT655391 WVP655391 H720927 JD720927 SZ720927 ACV720927 AMR720927 AWN720927 BGJ720927 BQF720927 CAB720927 CJX720927 CTT720927 DDP720927 DNL720927 DXH720927 EHD720927 EQZ720927 FAV720927 FKR720927 FUN720927 GEJ720927 GOF720927 GYB720927 HHX720927 HRT720927 IBP720927 ILL720927 IVH720927 JFD720927 JOZ720927 JYV720927 KIR720927 KSN720927 LCJ720927 LMF720927 LWB720927 MFX720927 MPT720927 MZP720927 NJL720927 NTH720927 ODD720927 OMZ720927 OWV720927 PGR720927 PQN720927 QAJ720927 QKF720927 QUB720927 RDX720927 RNT720927 RXP720927 SHL720927 SRH720927 TBD720927 TKZ720927 TUV720927 UER720927 UON720927 UYJ720927 VIF720927 VSB720927 WBX720927 WLT720927 WVP720927 H786463 JD786463 SZ786463 ACV786463 AMR786463 AWN786463 BGJ786463 BQF786463 CAB786463 CJX786463 CTT786463 DDP786463 DNL786463 DXH786463 EHD786463 EQZ786463 FAV786463 FKR786463 FUN786463 GEJ786463 GOF786463 GYB786463 HHX786463 HRT786463 IBP786463 ILL786463 IVH786463 JFD786463 JOZ786463 JYV786463 KIR786463 KSN786463 LCJ786463 LMF786463 LWB786463 MFX786463 MPT786463 MZP786463 NJL786463 NTH786463 ODD786463 OMZ786463 OWV786463 PGR786463 PQN786463 QAJ786463 QKF786463 QUB786463 RDX786463 RNT786463 RXP786463 SHL786463 SRH786463 TBD786463 TKZ786463 TUV786463 UER786463 UON786463 UYJ786463 VIF786463 VSB786463 WBX786463 WLT786463 WVP786463 H851999 JD851999 SZ851999 ACV851999 AMR851999 AWN851999 BGJ851999 BQF851999 CAB851999 CJX851999 CTT851999 DDP851999 DNL851999 DXH851999 EHD851999 EQZ851999 FAV851999 FKR851999 FUN851999 GEJ851999 GOF851999 GYB851999 HHX851999 HRT851999 IBP851999 ILL851999 IVH851999 JFD851999 JOZ851999 JYV851999 KIR851999 KSN851999 LCJ851999 LMF851999 LWB851999 MFX851999 MPT851999 MZP851999 NJL851999 NTH851999 ODD851999 OMZ851999 OWV851999 PGR851999 PQN851999 QAJ851999 QKF851999 QUB851999 RDX851999 RNT851999 RXP851999 SHL851999 SRH851999 TBD851999 TKZ851999 TUV851999 UER851999 UON851999 UYJ851999 VIF851999 VSB851999 WBX851999 WLT851999 WVP851999 H917535 JD917535 SZ917535 ACV917535 AMR917535 AWN917535 BGJ917535 BQF917535 CAB917535 CJX917535 CTT917535 DDP917535 DNL917535 DXH917535 EHD917535 EQZ917535 FAV917535 FKR917535 FUN917535 GEJ917535 GOF917535 GYB917535 HHX917535 HRT917535 IBP917535 ILL917535 IVH917535 JFD917535 JOZ917535 JYV917535 KIR917535 KSN917535 LCJ917535 LMF917535 LWB917535 MFX917535 MPT917535 MZP917535 NJL917535 NTH917535 ODD917535 OMZ917535 OWV917535 PGR917535 PQN917535 QAJ917535 QKF917535 QUB917535 RDX917535 RNT917535 RXP917535 SHL917535 SRH917535 TBD917535 TKZ917535 TUV917535 UER917535 UON917535 UYJ917535 VIF917535 VSB917535 WBX917535 WLT917535 WVP917535 H983071 JD983071 SZ983071 ACV983071 AMR983071 AWN983071 BGJ983071 BQF983071 CAB983071 CJX983071 CTT983071 DDP983071 DNL983071 DXH983071 EHD983071 EQZ983071 FAV983071 FKR983071 FUN983071 GEJ983071 GOF983071 GYB983071 HHX983071 HRT983071 IBP983071 ILL983071 IVH983071 JFD983071 JOZ983071 JYV983071 KIR983071 KSN983071 LCJ983071 LMF983071 LWB983071 MFX983071 MPT983071 MZP983071 NJL983071 NTH983071 ODD983071 OMZ983071 OWV983071 PGR983071 PQN983071 QAJ983071 QKF983071 QUB983071 RDX983071 RNT983071 RXP983071 SHL983071 SRH983071 TBD983071 TKZ983071 TUV983071 UER983071 UON983071 UYJ983071 VIF983071 VSB983071 WBX983071 WLT983071 WVP983071 H29 JD29 SZ29 ACV29 AMR29 AWN29 BGJ29 BQF29 CAB29 CJX29 CTT29 DDP29 DNL29 DXH29 EHD29 EQZ29 FAV29 FKR29 FUN29 GEJ29 GOF29 GYB29 HHX29 HRT29 IBP29 ILL29 IVH29 JFD29 JOZ29 JYV29 KIR29 KSN29 LCJ29 LMF29 LWB29 MFX29 MPT29 MZP29 NJL29 NTH29 ODD29 OMZ29 OWV29 PGR29 PQN29 QAJ29 QKF29 QUB29 RDX29 RNT29 RXP29 SHL29 SRH29 TBD29 TKZ29 TUV29 UER29 UON29 UYJ29 VIF29 VSB29 WBX29 WLT29 WVP29 H65565 JD65565 SZ65565 ACV65565 AMR65565 AWN65565 BGJ65565 BQF65565 CAB65565 CJX65565 CTT65565 DDP65565 DNL65565 DXH65565 EHD65565 EQZ65565 FAV65565 FKR65565 FUN65565 GEJ65565 GOF65565 GYB65565 HHX65565 HRT65565 IBP65565 ILL65565 IVH65565 JFD65565 JOZ65565 JYV65565 KIR65565 KSN65565 LCJ65565 LMF65565 LWB65565 MFX65565 MPT65565 MZP65565 NJL65565 NTH65565 ODD65565 OMZ65565 OWV65565 PGR65565 PQN65565 QAJ65565 QKF65565 QUB65565 RDX65565 RNT65565 RXP65565 SHL65565 SRH65565 TBD65565 TKZ65565 TUV65565 UER65565 UON65565 UYJ65565 VIF65565 VSB65565 WBX65565 WLT65565 WVP65565 H131101 JD131101 SZ131101 ACV131101 AMR131101 AWN131101 BGJ131101 BQF131101 CAB131101 CJX131101 CTT131101 DDP131101 DNL131101 DXH131101 EHD131101 EQZ131101 FAV131101 FKR131101 FUN131101 GEJ131101 GOF131101 GYB131101 HHX131101 HRT131101 IBP131101 ILL131101 IVH131101 JFD131101 JOZ131101 JYV131101 KIR131101 KSN131101 LCJ131101 LMF131101 LWB131101 MFX131101 MPT131101 MZP131101 NJL131101 NTH131101 ODD131101 OMZ131101 OWV131101 PGR131101 PQN131101 QAJ131101 QKF131101 QUB131101 RDX131101 RNT131101 RXP131101 SHL131101 SRH131101 TBD131101 TKZ131101 TUV131101 UER131101 UON131101 UYJ131101 VIF131101 VSB131101 WBX131101 WLT131101 WVP131101 H196637 JD196637 SZ196637 ACV196637 AMR196637 AWN196637 BGJ196637 BQF196637 CAB196637 CJX196637 CTT196637 DDP196637 DNL196637 DXH196637 EHD196637 EQZ196637 FAV196637 FKR196637 FUN196637 GEJ196637 GOF196637 GYB196637 HHX196637 HRT196637 IBP196637 ILL196637 IVH196637 JFD196637 JOZ196637 JYV196637 KIR196637 KSN196637 LCJ196637 LMF196637 LWB196637 MFX196637 MPT196637 MZP196637 NJL196637 NTH196637 ODD196637 OMZ196637 OWV196637 PGR196637 PQN196637 QAJ196637 QKF196637 QUB196637 RDX196637 RNT196637 RXP196637 SHL196637 SRH196637 TBD196637 TKZ196637 TUV196637 UER196637 UON196637 UYJ196637 VIF196637 VSB196637 WBX196637 WLT196637 WVP196637 H262173 JD262173 SZ262173 ACV262173 AMR262173 AWN262173 BGJ262173 BQF262173 CAB262173 CJX262173 CTT262173 DDP262173 DNL262173 DXH262173 EHD262173 EQZ262173 FAV262173 FKR262173 FUN262173 GEJ262173 GOF262173 GYB262173 HHX262173 HRT262173 IBP262173 ILL262173 IVH262173 JFD262173 JOZ262173 JYV262173 KIR262173 KSN262173 LCJ262173 LMF262173 LWB262173 MFX262173 MPT262173 MZP262173 NJL262173 NTH262173 ODD262173 OMZ262173 OWV262173 PGR262173 PQN262173 QAJ262173 QKF262173 QUB262173 RDX262173 RNT262173 RXP262173 SHL262173 SRH262173 TBD262173 TKZ262173 TUV262173 UER262173 UON262173 UYJ262173 VIF262173 VSB262173 WBX262173 WLT262173 WVP262173 H327709 JD327709 SZ327709 ACV327709 AMR327709 AWN327709 BGJ327709 BQF327709 CAB327709 CJX327709 CTT327709 DDP327709 DNL327709 DXH327709 EHD327709 EQZ327709 FAV327709 FKR327709 FUN327709 GEJ327709 GOF327709 GYB327709 HHX327709 HRT327709 IBP327709 ILL327709 IVH327709 JFD327709 JOZ327709 JYV327709 KIR327709 KSN327709 LCJ327709 LMF327709 LWB327709 MFX327709 MPT327709 MZP327709 NJL327709 NTH327709 ODD327709 OMZ327709 OWV327709 PGR327709 PQN327709 QAJ327709 QKF327709 QUB327709 RDX327709 RNT327709 RXP327709 SHL327709 SRH327709 TBD327709 TKZ327709 TUV327709 UER327709 UON327709 UYJ327709 VIF327709 VSB327709 WBX327709 WLT327709 WVP327709 H393245 JD393245 SZ393245 ACV393245 AMR393245 AWN393245 BGJ393245 BQF393245 CAB393245 CJX393245 CTT393245 DDP393245 DNL393245 DXH393245 EHD393245 EQZ393245 FAV393245 FKR393245 FUN393245 GEJ393245 GOF393245 GYB393245 HHX393245 HRT393245 IBP393245 ILL393245 IVH393245 JFD393245 JOZ393245 JYV393245 KIR393245 KSN393245 LCJ393245 LMF393245 LWB393245 MFX393245 MPT393245 MZP393245 NJL393245 NTH393245 ODD393245 OMZ393245 OWV393245 PGR393245 PQN393245 QAJ393245 QKF393245 QUB393245 RDX393245 RNT393245 RXP393245 SHL393245 SRH393245 TBD393245 TKZ393245 TUV393245 UER393245 UON393245 UYJ393245 VIF393245 VSB393245 WBX393245 WLT393245 WVP393245 H458781 JD458781 SZ458781 ACV458781 AMR458781 AWN458781 BGJ458781 BQF458781 CAB458781 CJX458781 CTT458781 DDP458781 DNL458781 DXH458781 EHD458781 EQZ458781 FAV458781 FKR458781 FUN458781 GEJ458781 GOF458781 GYB458781 HHX458781 HRT458781 IBP458781 ILL458781 IVH458781 JFD458781 JOZ458781 JYV458781 KIR458781 KSN458781 LCJ458781 LMF458781 LWB458781 MFX458781 MPT458781 MZP458781 NJL458781 NTH458781 ODD458781 OMZ458781 OWV458781 PGR458781 PQN458781 QAJ458781 QKF458781 QUB458781 RDX458781 RNT458781 RXP458781 SHL458781 SRH458781 TBD458781 TKZ458781 TUV458781 UER458781 UON458781 UYJ458781 VIF458781 VSB458781 WBX458781 WLT458781 WVP458781 H524317 JD524317 SZ524317 ACV524317 AMR524317 AWN524317 BGJ524317 BQF524317 CAB524317 CJX524317 CTT524317 DDP524317 DNL524317 DXH524317 EHD524317 EQZ524317 FAV524317 FKR524317 FUN524317 GEJ524317 GOF524317 GYB524317 HHX524317 HRT524317 IBP524317 ILL524317 IVH524317 JFD524317 JOZ524317 JYV524317 KIR524317 KSN524317 LCJ524317 LMF524317 LWB524317 MFX524317 MPT524317 MZP524317 NJL524317 NTH524317 ODD524317 OMZ524317 OWV524317 PGR524317 PQN524317 QAJ524317 QKF524317 QUB524317 RDX524317 RNT524317 RXP524317 SHL524317 SRH524317 TBD524317 TKZ524317 TUV524317 UER524317 UON524317 UYJ524317 VIF524317 VSB524317 WBX524317 WLT524317 WVP524317 H589853 JD589853 SZ589853 ACV589853 AMR589853 AWN589853 BGJ589853 BQF589853 CAB589853 CJX589853 CTT589853 DDP589853 DNL589853 DXH589853 EHD589853 EQZ589853 FAV589853 FKR589853 FUN589853 GEJ589853 GOF589853 GYB589853 HHX589853 HRT589853 IBP589853 ILL589853 IVH589853 JFD589853 JOZ589853 JYV589853 KIR589853 KSN589853 LCJ589853 LMF589853 LWB589853 MFX589853 MPT589853 MZP589853 NJL589853 NTH589853 ODD589853 OMZ589853 OWV589853 PGR589853 PQN589853 QAJ589853 QKF589853 QUB589853 RDX589853 RNT589853 RXP589853 SHL589853 SRH589853 TBD589853 TKZ589853 TUV589853 UER589853 UON589853 UYJ589853 VIF589853 VSB589853 WBX589853 WLT589853 WVP589853 H655389 JD655389 SZ655389 ACV655389 AMR655389 AWN655389 BGJ655389 BQF655389 CAB655389 CJX655389 CTT655389 DDP655389 DNL655389 DXH655389 EHD655389 EQZ655389 FAV655389 FKR655389 FUN655389 GEJ655389 GOF655389 GYB655389 HHX655389 HRT655389 IBP655389 ILL655389 IVH655389 JFD655389 JOZ655389 JYV655389 KIR655389 KSN655389 LCJ655389 LMF655389 LWB655389 MFX655389 MPT655389 MZP655389 NJL655389 NTH655389 ODD655389 OMZ655389 OWV655389 PGR655389 PQN655389 QAJ655389 QKF655389 QUB655389 RDX655389 RNT655389 RXP655389 SHL655389 SRH655389 TBD655389 TKZ655389 TUV655389 UER655389 UON655389 UYJ655389 VIF655389 VSB655389 WBX655389 WLT655389 WVP655389 H720925 JD720925 SZ720925 ACV720925 AMR720925 AWN720925 BGJ720925 BQF720925 CAB720925 CJX720925 CTT720925 DDP720925 DNL720925 DXH720925 EHD720925 EQZ720925 FAV720925 FKR720925 FUN720925 GEJ720925 GOF720925 GYB720925 HHX720925 HRT720925 IBP720925 ILL720925 IVH720925 JFD720925 JOZ720925 JYV720925 KIR720925 KSN720925 LCJ720925 LMF720925 LWB720925 MFX720925 MPT720925 MZP720925 NJL720925 NTH720925 ODD720925 OMZ720925 OWV720925 PGR720925 PQN720925 QAJ720925 QKF720925 QUB720925 RDX720925 RNT720925 RXP720925 SHL720925 SRH720925 TBD720925 TKZ720925 TUV720925 UER720925 UON720925 UYJ720925 VIF720925 VSB720925 WBX720925 WLT720925 WVP720925 H786461 JD786461 SZ786461 ACV786461 AMR786461 AWN786461 BGJ786461 BQF786461 CAB786461 CJX786461 CTT786461 DDP786461 DNL786461 DXH786461 EHD786461 EQZ786461 FAV786461 FKR786461 FUN786461 GEJ786461 GOF786461 GYB786461 HHX786461 HRT786461 IBP786461 ILL786461 IVH786461 JFD786461 JOZ786461 JYV786461 KIR786461 KSN786461 LCJ786461 LMF786461 LWB786461 MFX786461 MPT786461 MZP786461 NJL786461 NTH786461 ODD786461 OMZ786461 OWV786461 PGR786461 PQN786461 QAJ786461 QKF786461 QUB786461 RDX786461 RNT786461 RXP786461 SHL786461 SRH786461 TBD786461 TKZ786461 TUV786461 UER786461 UON786461 UYJ786461 VIF786461 VSB786461 WBX786461 WLT786461 WVP786461 H851997 JD851997 SZ851997 ACV851997 AMR851997 AWN851997 BGJ851997 BQF851997 CAB851997 CJX851997 CTT851997 DDP851997 DNL851997 DXH851997 EHD851997 EQZ851997 FAV851997 FKR851997 FUN851997 GEJ851997 GOF851997 GYB851997 HHX851997 HRT851997 IBP851997 ILL851997 IVH851997 JFD851997 JOZ851997 JYV851997 KIR851997 KSN851997 LCJ851997 LMF851997 LWB851997 MFX851997 MPT851997 MZP851997 NJL851997 NTH851997 ODD851997 OMZ851997 OWV851997 PGR851997 PQN851997 QAJ851997 QKF851997 QUB851997 RDX851997 RNT851997 RXP851997 SHL851997 SRH851997 TBD851997 TKZ851997 TUV851997 UER851997 UON851997 UYJ851997 VIF851997 VSB851997 WBX851997 WLT851997 WVP851997 H917533 JD917533 SZ917533 ACV917533 AMR917533 AWN917533 BGJ917533 BQF917533 CAB917533 CJX917533 CTT917533 DDP917533 DNL917533 DXH917533 EHD917533 EQZ917533 FAV917533 FKR917533 FUN917533 GEJ917533 GOF917533 GYB917533 HHX917533 HRT917533 IBP917533 ILL917533 IVH917533 JFD917533 JOZ917533 JYV917533 KIR917533 KSN917533 LCJ917533 LMF917533 LWB917533 MFX917533 MPT917533 MZP917533 NJL917533 NTH917533 ODD917533 OMZ917533 OWV917533 PGR917533 PQN917533 QAJ917533 QKF917533 QUB917533 RDX917533 RNT917533 RXP917533 SHL917533 SRH917533 TBD917533 TKZ917533 TUV917533 UER917533 UON917533 UYJ917533 VIF917533 VSB917533 WBX917533 WLT917533 WVP917533 H983069 JD983069 SZ983069 ACV983069 AMR983069 AWN983069 BGJ983069 BQF983069 CAB983069 CJX983069 CTT983069 DDP983069 DNL983069 DXH983069 EHD983069 EQZ983069 FAV983069 FKR983069 FUN983069 GEJ983069 GOF983069 GYB983069 HHX983069 HRT983069 IBP983069 ILL983069 IVH983069 JFD983069 JOZ983069 JYV983069 KIR983069 KSN983069 LCJ983069 LMF983069 LWB983069 MFX983069 MPT983069 MZP983069 NJL983069 NTH983069 ODD983069 OMZ983069 OWV983069 PGR983069 PQN983069 QAJ983069 QKF983069 QUB983069 RDX983069 RNT983069 RXP983069 SHL983069 SRH983069 TBD983069 TKZ983069 TUV983069 UER983069 UON983069 UYJ983069 VIF983069 VSB983069 WBX983069 WLT983069 WVP983069">
      <formula1>"Yes,No,NA"</formula1>
    </dataValidation>
    <dataValidation type="list" allowBlank="1" showInputMessage="1" showErrorMessage="1" sqref="H33:H52 JD33:JD52 SZ33:SZ52 ACV33:ACV52 AMR33:AMR52 AWN33:AWN52 BGJ33:BGJ52 BQF33:BQF52 CAB33:CAB52 CJX33:CJX52 CTT33:CTT52 DDP33:DDP52 DNL33:DNL52 DXH33:DXH52 EHD33:EHD52 EQZ33:EQZ52 FAV33:FAV52 FKR33:FKR52 FUN33:FUN52 GEJ33:GEJ52 GOF33:GOF52 GYB33:GYB52 HHX33:HHX52 HRT33:HRT52 IBP33:IBP52 ILL33:ILL52 IVH33:IVH52 JFD33:JFD52 JOZ33:JOZ52 JYV33:JYV52 KIR33:KIR52 KSN33:KSN52 LCJ33:LCJ52 LMF33:LMF52 LWB33:LWB52 MFX33:MFX52 MPT33:MPT52 MZP33:MZP52 NJL33:NJL52 NTH33:NTH52 ODD33:ODD52 OMZ33:OMZ52 OWV33:OWV52 PGR33:PGR52 PQN33:PQN52 QAJ33:QAJ52 QKF33:QKF52 QUB33:QUB52 RDX33:RDX52 RNT33:RNT52 RXP33:RXP52 SHL33:SHL52 SRH33:SRH52 TBD33:TBD52 TKZ33:TKZ52 TUV33:TUV52 UER33:UER52 UON33:UON52 UYJ33:UYJ52 VIF33:VIF52 VSB33:VSB52 WBX33:WBX52 WLT33:WLT52 WVP33:WVP52 H65569:H65588 JD65569:JD65588 SZ65569:SZ65588 ACV65569:ACV65588 AMR65569:AMR65588 AWN65569:AWN65588 BGJ65569:BGJ65588 BQF65569:BQF65588 CAB65569:CAB65588 CJX65569:CJX65588 CTT65569:CTT65588 DDP65569:DDP65588 DNL65569:DNL65588 DXH65569:DXH65588 EHD65569:EHD65588 EQZ65569:EQZ65588 FAV65569:FAV65588 FKR65569:FKR65588 FUN65569:FUN65588 GEJ65569:GEJ65588 GOF65569:GOF65588 GYB65569:GYB65588 HHX65569:HHX65588 HRT65569:HRT65588 IBP65569:IBP65588 ILL65569:ILL65588 IVH65569:IVH65588 JFD65569:JFD65588 JOZ65569:JOZ65588 JYV65569:JYV65588 KIR65569:KIR65588 KSN65569:KSN65588 LCJ65569:LCJ65588 LMF65569:LMF65588 LWB65569:LWB65588 MFX65569:MFX65588 MPT65569:MPT65588 MZP65569:MZP65588 NJL65569:NJL65588 NTH65569:NTH65588 ODD65569:ODD65588 OMZ65569:OMZ65588 OWV65569:OWV65588 PGR65569:PGR65588 PQN65569:PQN65588 QAJ65569:QAJ65588 QKF65569:QKF65588 QUB65569:QUB65588 RDX65569:RDX65588 RNT65569:RNT65588 RXP65569:RXP65588 SHL65569:SHL65588 SRH65569:SRH65588 TBD65569:TBD65588 TKZ65569:TKZ65588 TUV65569:TUV65588 UER65569:UER65588 UON65569:UON65588 UYJ65569:UYJ65588 VIF65569:VIF65588 VSB65569:VSB65588 WBX65569:WBX65588 WLT65569:WLT65588 WVP65569:WVP65588 H131105:H131124 JD131105:JD131124 SZ131105:SZ131124 ACV131105:ACV131124 AMR131105:AMR131124 AWN131105:AWN131124 BGJ131105:BGJ131124 BQF131105:BQF131124 CAB131105:CAB131124 CJX131105:CJX131124 CTT131105:CTT131124 DDP131105:DDP131124 DNL131105:DNL131124 DXH131105:DXH131124 EHD131105:EHD131124 EQZ131105:EQZ131124 FAV131105:FAV131124 FKR131105:FKR131124 FUN131105:FUN131124 GEJ131105:GEJ131124 GOF131105:GOF131124 GYB131105:GYB131124 HHX131105:HHX131124 HRT131105:HRT131124 IBP131105:IBP131124 ILL131105:ILL131124 IVH131105:IVH131124 JFD131105:JFD131124 JOZ131105:JOZ131124 JYV131105:JYV131124 KIR131105:KIR131124 KSN131105:KSN131124 LCJ131105:LCJ131124 LMF131105:LMF131124 LWB131105:LWB131124 MFX131105:MFX131124 MPT131105:MPT131124 MZP131105:MZP131124 NJL131105:NJL131124 NTH131105:NTH131124 ODD131105:ODD131124 OMZ131105:OMZ131124 OWV131105:OWV131124 PGR131105:PGR131124 PQN131105:PQN131124 QAJ131105:QAJ131124 QKF131105:QKF131124 QUB131105:QUB131124 RDX131105:RDX131124 RNT131105:RNT131124 RXP131105:RXP131124 SHL131105:SHL131124 SRH131105:SRH131124 TBD131105:TBD131124 TKZ131105:TKZ131124 TUV131105:TUV131124 UER131105:UER131124 UON131105:UON131124 UYJ131105:UYJ131124 VIF131105:VIF131124 VSB131105:VSB131124 WBX131105:WBX131124 WLT131105:WLT131124 WVP131105:WVP131124 H196641:H196660 JD196641:JD196660 SZ196641:SZ196660 ACV196641:ACV196660 AMR196641:AMR196660 AWN196641:AWN196660 BGJ196641:BGJ196660 BQF196641:BQF196660 CAB196641:CAB196660 CJX196641:CJX196660 CTT196641:CTT196660 DDP196641:DDP196660 DNL196641:DNL196660 DXH196641:DXH196660 EHD196641:EHD196660 EQZ196641:EQZ196660 FAV196641:FAV196660 FKR196641:FKR196660 FUN196641:FUN196660 GEJ196641:GEJ196660 GOF196641:GOF196660 GYB196641:GYB196660 HHX196641:HHX196660 HRT196641:HRT196660 IBP196641:IBP196660 ILL196641:ILL196660 IVH196641:IVH196660 JFD196641:JFD196660 JOZ196641:JOZ196660 JYV196641:JYV196660 KIR196641:KIR196660 KSN196641:KSN196660 LCJ196641:LCJ196660 LMF196641:LMF196660 LWB196641:LWB196660 MFX196641:MFX196660 MPT196641:MPT196660 MZP196641:MZP196660 NJL196641:NJL196660 NTH196641:NTH196660 ODD196641:ODD196660 OMZ196641:OMZ196660 OWV196641:OWV196660 PGR196641:PGR196660 PQN196641:PQN196660 QAJ196641:QAJ196660 QKF196641:QKF196660 QUB196641:QUB196660 RDX196641:RDX196660 RNT196641:RNT196660 RXP196641:RXP196660 SHL196641:SHL196660 SRH196641:SRH196660 TBD196641:TBD196660 TKZ196641:TKZ196660 TUV196641:TUV196660 UER196641:UER196660 UON196641:UON196660 UYJ196641:UYJ196660 VIF196641:VIF196660 VSB196641:VSB196660 WBX196641:WBX196660 WLT196641:WLT196660 WVP196641:WVP196660 H262177:H262196 JD262177:JD262196 SZ262177:SZ262196 ACV262177:ACV262196 AMR262177:AMR262196 AWN262177:AWN262196 BGJ262177:BGJ262196 BQF262177:BQF262196 CAB262177:CAB262196 CJX262177:CJX262196 CTT262177:CTT262196 DDP262177:DDP262196 DNL262177:DNL262196 DXH262177:DXH262196 EHD262177:EHD262196 EQZ262177:EQZ262196 FAV262177:FAV262196 FKR262177:FKR262196 FUN262177:FUN262196 GEJ262177:GEJ262196 GOF262177:GOF262196 GYB262177:GYB262196 HHX262177:HHX262196 HRT262177:HRT262196 IBP262177:IBP262196 ILL262177:ILL262196 IVH262177:IVH262196 JFD262177:JFD262196 JOZ262177:JOZ262196 JYV262177:JYV262196 KIR262177:KIR262196 KSN262177:KSN262196 LCJ262177:LCJ262196 LMF262177:LMF262196 LWB262177:LWB262196 MFX262177:MFX262196 MPT262177:MPT262196 MZP262177:MZP262196 NJL262177:NJL262196 NTH262177:NTH262196 ODD262177:ODD262196 OMZ262177:OMZ262196 OWV262177:OWV262196 PGR262177:PGR262196 PQN262177:PQN262196 QAJ262177:QAJ262196 QKF262177:QKF262196 QUB262177:QUB262196 RDX262177:RDX262196 RNT262177:RNT262196 RXP262177:RXP262196 SHL262177:SHL262196 SRH262177:SRH262196 TBD262177:TBD262196 TKZ262177:TKZ262196 TUV262177:TUV262196 UER262177:UER262196 UON262177:UON262196 UYJ262177:UYJ262196 VIF262177:VIF262196 VSB262177:VSB262196 WBX262177:WBX262196 WLT262177:WLT262196 WVP262177:WVP262196 H327713:H327732 JD327713:JD327732 SZ327713:SZ327732 ACV327713:ACV327732 AMR327713:AMR327732 AWN327713:AWN327732 BGJ327713:BGJ327732 BQF327713:BQF327732 CAB327713:CAB327732 CJX327713:CJX327732 CTT327713:CTT327732 DDP327713:DDP327732 DNL327713:DNL327732 DXH327713:DXH327732 EHD327713:EHD327732 EQZ327713:EQZ327732 FAV327713:FAV327732 FKR327713:FKR327732 FUN327713:FUN327732 GEJ327713:GEJ327732 GOF327713:GOF327732 GYB327713:GYB327732 HHX327713:HHX327732 HRT327713:HRT327732 IBP327713:IBP327732 ILL327713:ILL327732 IVH327713:IVH327732 JFD327713:JFD327732 JOZ327713:JOZ327732 JYV327713:JYV327732 KIR327713:KIR327732 KSN327713:KSN327732 LCJ327713:LCJ327732 LMF327713:LMF327732 LWB327713:LWB327732 MFX327713:MFX327732 MPT327713:MPT327732 MZP327713:MZP327732 NJL327713:NJL327732 NTH327713:NTH327732 ODD327713:ODD327732 OMZ327713:OMZ327732 OWV327713:OWV327732 PGR327713:PGR327732 PQN327713:PQN327732 QAJ327713:QAJ327732 QKF327713:QKF327732 QUB327713:QUB327732 RDX327713:RDX327732 RNT327713:RNT327732 RXP327713:RXP327732 SHL327713:SHL327732 SRH327713:SRH327732 TBD327713:TBD327732 TKZ327713:TKZ327732 TUV327713:TUV327732 UER327713:UER327732 UON327713:UON327732 UYJ327713:UYJ327732 VIF327713:VIF327732 VSB327713:VSB327732 WBX327713:WBX327732 WLT327713:WLT327732 WVP327713:WVP327732 H393249:H393268 JD393249:JD393268 SZ393249:SZ393268 ACV393249:ACV393268 AMR393249:AMR393268 AWN393249:AWN393268 BGJ393249:BGJ393268 BQF393249:BQF393268 CAB393249:CAB393268 CJX393249:CJX393268 CTT393249:CTT393268 DDP393249:DDP393268 DNL393249:DNL393268 DXH393249:DXH393268 EHD393249:EHD393268 EQZ393249:EQZ393268 FAV393249:FAV393268 FKR393249:FKR393268 FUN393249:FUN393268 GEJ393249:GEJ393268 GOF393249:GOF393268 GYB393249:GYB393268 HHX393249:HHX393268 HRT393249:HRT393268 IBP393249:IBP393268 ILL393249:ILL393268 IVH393249:IVH393268 JFD393249:JFD393268 JOZ393249:JOZ393268 JYV393249:JYV393268 KIR393249:KIR393268 KSN393249:KSN393268 LCJ393249:LCJ393268 LMF393249:LMF393268 LWB393249:LWB393268 MFX393249:MFX393268 MPT393249:MPT393268 MZP393249:MZP393268 NJL393249:NJL393268 NTH393249:NTH393268 ODD393249:ODD393268 OMZ393249:OMZ393268 OWV393249:OWV393268 PGR393249:PGR393268 PQN393249:PQN393268 QAJ393249:QAJ393268 QKF393249:QKF393268 QUB393249:QUB393268 RDX393249:RDX393268 RNT393249:RNT393268 RXP393249:RXP393268 SHL393249:SHL393268 SRH393249:SRH393268 TBD393249:TBD393268 TKZ393249:TKZ393268 TUV393249:TUV393268 UER393249:UER393268 UON393249:UON393268 UYJ393249:UYJ393268 VIF393249:VIF393268 VSB393249:VSB393268 WBX393249:WBX393268 WLT393249:WLT393268 WVP393249:WVP393268 H458785:H458804 JD458785:JD458804 SZ458785:SZ458804 ACV458785:ACV458804 AMR458785:AMR458804 AWN458785:AWN458804 BGJ458785:BGJ458804 BQF458785:BQF458804 CAB458785:CAB458804 CJX458785:CJX458804 CTT458785:CTT458804 DDP458785:DDP458804 DNL458785:DNL458804 DXH458785:DXH458804 EHD458785:EHD458804 EQZ458785:EQZ458804 FAV458785:FAV458804 FKR458785:FKR458804 FUN458785:FUN458804 GEJ458785:GEJ458804 GOF458785:GOF458804 GYB458785:GYB458804 HHX458785:HHX458804 HRT458785:HRT458804 IBP458785:IBP458804 ILL458785:ILL458804 IVH458785:IVH458804 JFD458785:JFD458804 JOZ458785:JOZ458804 JYV458785:JYV458804 KIR458785:KIR458804 KSN458785:KSN458804 LCJ458785:LCJ458804 LMF458785:LMF458804 LWB458785:LWB458804 MFX458785:MFX458804 MPT458785:MPT458804 MZP458785:MZP458804 NJL458785:NJL458804 NTH458785:NTH458804 ODD458785:ODD458804 OMZ458785:OMZ458804 OWV458785:OWV458804 PGR458785:PGR458804 PQN458785:PQN458804 QAJ458785:QAJ458804 QKF458785:QKF458804 QUB458785:QUB458804 RDX458785:RDX458804 RNT458785:RNT458804 RXP458785:RXP458804 SHL458785:SHL458804 SRH458785:SRH458804 TBD458785:TBD458804 TKZ458785:TKZ458804 TUV458785:TUV458804 UER458785:UER458804 UON458785:UON458804 UYJ458785:UYJ458804 VIF458785:VIF458804 VSB458785:VSB458804 WBX458785:WBX458804 WLT458785:WLT458804 WVP458785:WVP458804 H524321:H524340 JD524321:JD524340 SZ524321:SZ524340 ACV524321:ACV524340 AMR524321:AMR524340 AWN524321:AWN524340 BGJ524321:BGJ524340 BQF524321:BQF524340 CAB524321:CAB524340 CJX524321:CJX524340 CTT524321:CTT524340 DDP524321:DDP524340 DNL524321:DNL524340 DXH524321:DXH524340 EHD524321:EHD524340 EQZ524321:EQZ524340 FAV524321:FAV524340 FKR524321:FKR524340 FUN524321:FUN524340 GEJ524321:GEJ524340 GOF524321:GOF524340 GYB524321:GYB524340 HHX524321:HHX524340 HRT524321:HRT524340 IBP524321:IBP524340 ILL524321:ILL524340 IVH524321:IVH524340 JFD524321:JFD524340 JOZ524321:JOZ524340 JYV524321:JYV524340 KIR524321:KIR524340 KSN524321:KSN524340 LCJ524321:LCJ524340 LMF524321:LMF524340 LWB524321:LWB524340 MFX524321:MFX524340 MPT524321:MPT524340 MZP524321:MZP524340 NJL524321:NJL524340 NTH524321:NTH524340 ODD524321:ODD524340 OMZ524321:OMZ524340 OWV524321:OWV524340 PGR524321:PGR524340 PQN524321:PQN524340 QAJ524321:QAJ524340 QKF524321:QKF524340 QUB524321:QUB524340 RDX524321:RDX524340 RNT524321:RNT524340 RXP524321:RXP524340 SHL524321:SHL524340 SRH524321:SRH524340 TBD524321:TBD524340 TKZ524321:TKZ524340 TUV524321:TUV524340 UER524321:UER524340 UON524321:UON524340 UYJ524321:UYJ524340 VIF524321:VIF524340 VSB524321:VSB524340 WBX524321:WBX524340 WLT524321:WLT524340 WVP524321:WVP524340 H589857:H589876 JD589857:JD589876 SZ589857:SZ589876 ACV589857:ACV589876 AMR589857:AMR589876 AWN589857:AWN589876 BGJ589857:BGJ589876 BQF589857:BQF589876 CAB589857:CAB589876 CJX589857:CJX589876 CTT589857:CTT589876 DDP589857:DDP589876 DNL589857:DNL589876 DXH589857:DXH589876 EHD589857:EHD589876 EQZ589857:EQZ589876 FAV589857:FAV589876 FKR589857:FKR589876 FUN589857:FUN589876 GEJ589857:GEJ589876 GOF589857:GOF589876 GYB589857:GYB589876 HHX589857:HHX589876 HRT589857:HRT589876 IBP589857:IBP589876 ILL589857:ILL589876 IVH589857:IVH589876 JFD589857:JFD589876 JOZ589857:JOZ589876 JYV589857:JYV589876 KIR589857:KIR589876 KSN589857:KSN589876 LCJ589857:LCJ589876 LMF589857:LMF589876 LWB589857:LWB589876 MFX589857:MFX589876 MPT589857:MPT589876 MZP589857:MZP589876 NJL589857:NJL589876 NTH589857:NTH589876 ODD589857:ODD589876 OMZ589857:OMZ589876 OWV589857:OWV589876 PGR589857:PGR589876 PQN589857:PQN589876 QAJ589857:QAJ589876 QKF589857:QKF589876 QUB589857:QUB589876 RDX589857:RDX589876 RNT589857:RNT589876 RXP589857:RXP589876 SHL589857:SHL589876 SRH589857:SRH589876 TBD589857:TBD589876 TKZ589857:TKZ589876 TUV589857:TUV589876 UER589857:UER589876 UON589857:UON589876 UYJ589857:UYJ589876 VIF589857:VIF589876 VSB589857:VSB589876 WBX589857:WBX589876 WLT589857:WLT589876 WVP589857:WVP589876 H655393:H655412 JD655393:JD655412 SZ655393:SZ655412 ACV655393:ACV655412 AMR655393:AMR655412 AWN655393:AWN655412 BGJ655393:BGJ655412 BQF655393:BQF655412 CAB655393:CAB655412 CJX655393:CJX655412 CTT655393:CTT655412 DDP655393:DDP655412 DNL655393:DNL655412 DXH655393:DXH655412 EHD655393:EHD655412 EQZ655393:EQZ655412 FAV655393:FAV655412 FKR655393:FKR655412 FUN655393:FUN655412 GEJ655393:GEJ655412 GOF655393:GOF655412 GYB655393:GYB655412 HHX655393:HHX655412 HRT655393:HRT655412 IBP655393:IBP655412 ILL655393:ILL655412 IVH655393:IVH655412 JFD655393:JFD655412 JOZ655393:JOZ655412 JYV655393:JYV655412 KIR655393:KIR655412 KSN655393:KSN655412 LCJ655393:LCJ655412 LMF655393:LMF655412 LWB655393:LWB655412 MFX655393:MFX655412 MPT655393:MPT655412 MZP655393:MZP655412 NJL655393:NJL655412 NTH655393:NTH655412 ODD655393:ODD655412 OMZ655393:OMZ655412 OWV655393:OWV655412 PGR655393:PGR655412 PQN655393:PQN655412 QAJ655393:QAJ655412 QKF655393:QKF655412 QUB655393:QUB655412 RDX655393:RDX655412 RNT655393:RNT655412 RXP655393:RXP655412 SHL655393:SHL655412 SRH655393:SRH655412 TBD655393:TBD655412 TKZ655393:TKZ655412 TUV655393:TUV655412 UER655393:UER655412 UON655393:UON655412 UYJ655393:UYJ655412 VIF655393:VIF655412 VSB655393:VSB655412 WBX655393:WBX655412 WLT655393:WLT655412 WVP655393:WVP655412 H720929:H720948 JD720929:JD720948 SZ720929:SZ720948 ACV720929:ACV720948 AMR720929:AMR720948 AWN720929:AWN720948 BGJ720929:BGJ720948 BQF720929:BQF720948 CAB720929:CAB720948 CJX720929:CJX720948 CTT720929:CTT720948 DDP720929:DDP720948 DNL720929:DNL720948 DXH720929:DXH720948 EHD720929:EHD720948 EQZ720929:EQZ720948 FAV720929:FAV720948 FKR720929:FKR720948 FUN720929:FUN720948 GEJ720929:GEJ720948 GOF720929:GOF720948 GYB720929:GYB720948 HHX720929:HHX720948 HRT720929:HRT720948 IBP720929:IBP720948 ILL720929:ILL720948 IVH720929:IVH720948 JFD720929:JFD720948 JOZ720929:JOZ720948 JYV720929:JYV720948 KIR720929:KIR720948 KSN720929:KSN720948 LCJ720929:LCJ720948 LMF720929:LMF720948 LWB720929:LWB720948 MFX720929:MFX720948 MPT720929:MPT720948 MZP720929:MZP720948 NJL720929:NJL720948 NTH720929:NTH720948 ODD720929:ODD720948 OMZ720929:OMZ720948 OWV720929:OWV720948 PGR720929:PGR720948 PQN720929:PQN720948 QAJ720929:QAJ720948 QKF720929:QKF720948 QUB720929:QUB720948 RDX720929:RDX720948 RNT720929:RNT720948 RXP720929:RXP720948 SHL720929:SHL720948 SRH720929:SRH720948 TBD720929:TBD720948 TKZ720929:TKZ720948 TUV720929:TUV720948 UER720929:UER720948 UON720929:UON720948 UYJ720929:UYJ720948 VIF720929:VIF720948 VSB720929:VSB720948 WBX720929:WBX720948 WLT720929:WLT720948 WVP720929:WVP720948 H786465:H786484 JD786465:JD786484 SZ786465:SZ786484 ACV786465:ACV786484 AMR786465:AMR786484 AWN786465:AWN786484 BGJ786465:BGJ786484 BQF786465:BQF786484 CAB786465:CAB786484 CJX786465:CJX786484 CTT786465:CTT786484 DDP786465:DDP786484 DNL786465:DNL786484 DXH786465:DXH786484 EHD786465:EHD786484 EQZ786465:EQZ786484 FAV786465:FAV786484 FKR786465:FKR786484 FUN786465:FUN786484 GEJ786465:GEJ786484 GOF786465:GOF786484 GYB786465:GYB786484 HHX786465:HHX786484 HRT786465:HRT786484 IBP786465:IBP786484 ILL786465:ILL786484 IVH786465:IVH786484 JFD786465:JFD786484 JOZ786465:JOZ786484 JYV786465:JYV786484 KIR786465:KIR786484 KSN786465:KSN786484 LCJ786465:LCJ786484 LMF786465:LMF786484 LWB786465:LWB786484 MFX786465:MFX786484 MPT786465:MPT786484 MZP786465:MZP786484 NJL786465:NJL786484 NTH786465:NTH786484 ODD786465:ODD786484 OMZ786465:OMZ786484 OWV786465:OWV786484 PGR786465:PGR786484 PQN786465:PQN786484 QAJ786465:QAJ786484 QKF786465:QKF786484 QUB786465:QUB786484 RDX786465:RDX786484 RNT786465:RNT786484 RXP786465:RXP786484 SHL786465:SHL786484 SRH786465:SRH786484 TBD786465:TBD786484 TKZ786465:TKZ786484 TUV786465:TUV786484 UER786465:UER786484 UON786465:UON786484 UYJ786465:UYJ786484 VIF786465:VIF786484 VSB786465:VSB786484 WBX786465:WBX786484 WLT786465:WLT786484 WVP786465:WVP786484 H852001:H852020 JD852001:JD852020 SZ852001:SZ852020 ACV852001:ACV852020 AMR852001:AMR852020 AWN852001:AWN852020 BGJ852001:BGJ852020 BQF852001:BQF852020 CAB852001:CAB852020 CJX852001:CJX852020 CTT852001:CTT852020 DDP852001:DDP852020 DNL852001:DNL852020 DXH852001:DXH852020 EHD852001:EHD852020 EQZ852001:EQZ852020 FAV852001:FAV852020 FKR852001:FKR852020 FUN852001:FUN852020 GEJ852001:GEJ852020 GOF852001:GOF852020 GYB852001:GYB852020 HHX852001:HHX852020 HRT852001:HRT852020 IBP852001:IBP852020 ILL852001:ILL852020 IVH852001:IVH852020 JFD852001:JFD852020 JOZ852001:JOZ852020 JYV852001:JYV852020 KIR852001:KIR852020 KSN852001:KSN852020 LCJ852001:LCJ852020 LMF852001:LMF852020 LWB852001:LWB852020 MFX852001:MFX852020 MPT852001:MPT852020 MZP852001:MZP852020 NJL852001:NJL852020 NTH852001:NTH852020 ODD852001:ODD852020 OMZ852001:OMZ852020 OWV852001:OWV852020 PGR852001:PGR852020 PQN852001:PQN852020 QAJ852001:QAJ852020 QKF852001:QKF852020 QUB852001:QUB852020 RDX852001:RDX852020 RNT852001:RNT852020 RXP852001:RXP852020 SHL852001:SHL852020 SRH852001:SRH852020 TBD852001:TBD852020 TKZ852001:TKZ852020 TUV852001:TUV852020 UER852001:UER852020 UON852001:UON852020 UYJ852001:UYJ852020 VIF852001:VIF852020 VSB852001:VSB852020 WBX852001:WBX852020 WLT852001:WLT852020 WVP852001:WVP852020 H917537:H917556 JD917537:JD917556 SZ917537:SZ917556 ACV917537:ACV917556 AMR917537:AMR917556 AWN917537:AWN917556 BGJ917537:BGJ917556 BQF917537:BQF917556 CAB917537:CAB917556 CJX917537:CJX917556 CTT917537:CTT917556 DDP917537:DDP917556 DNL917537:DNL917556 DXH917537:DXH917556 EHD917537:EHD917556 EQZ917537:EQZ917556 FAV917537:FAV917556 FKR917537:FKR917556 FUN917537:FUN917556 GEJ917537:GEJ917556 GOF917537:GOF917556 GYB917537:GYB917556 HHX917537:HHX917556 HRT917537:HRT917556 IBP917537:IBP917556 ILL917537:ILL917556 IVH917537:IVH917556 JFD917537:JFD917556 JOZ917537:JOZ917556 JYV917537:JYV917556 KIR917537:KIR917556 KSN917537:KSN917556 LCJ917537:LCJ917556 LMF917537:LMF917556 LWB917537:LWB917556 MFX917537:MFX917556 MPT917537:MPT917556 MZP917537:MZP917556 NJL917537:NJL917556 NTH917537:NTH917556 ODD917537:ODD917556 OMZ917537:OMZ917556 OWV917537:OWV917556 PGR917537:PGR917556 PQN917537:PQN917556 QAJ917537:QAJ917556 QKF917537:QKF917556 QUB917537:QUB917556 RDX917537:RDX917556 RNT917537:RNT917556 RXP917537:RXP917556 SHL917537:SHL917556 SRH917537:SRH917556 TBD917537:TBD917556 TKZ917537:TKZ917556 TUV917537:TUV917556 UER917537:UER917556 UON917537:UON917556 UYJ917537:UYJ917556 VIF917537:VIF917556 VSB917537:VSB917556 WBX917537:WBX917556 WLT917537:WLT917556 WVP917537:WVP917556 H983073:H983092 JD983073:JD983092 SZ983073:SZ983092 ACV983073:ACV983092 AMR983073:AMR983092 AWN983073:AWN983092 BGJ983073:BGJ983092 BQF983073:BQF983092 CAB983073:CAB983092 CJX983073:CJX983092 CTT983073:CTT983092 DDP983073:DDP983092 DNL983073:DNL983092 DXH983073:DXH983092 EHD983073:EHD983092 EQZ983073:EQZ983092 FAV983073:FAV983092 FKR983073:FKR983092 FUN983073:FUN983092 GEJ983073:GEJ983092 GOF983073:GOF983092 GYB983073:GYB983092 HHX983073:HHX983092 HRT983073:HRT983092 IBP983073:IBP983092 ILL983073:ILL983092 IVH983073:IVH983092 JFD983073:JFD983092 JOZ983073:JOZ983092 JYV983073:JYV983092 KIR983073:KIR983092 KSN983073:KSN983092 LCJ983073:LCJ983092 LMF983073:LMF983092 LWB983073:LWB983092 MFX983073:MFX983092 MPT983073:MPT983092 MZP983073:MZP983092 NJL983073:NJL983092 NTH983073:NTH983092 ODD983073:ODD983092 OMZ983073:OMZ983092 OWV983073:OWV983092 PGR983073:PGR983092 PQN983073:PQN983092 QAJ983073:QAJ983092 QKF983073:QKF983092 QUB983073:QUB983092 RDX983073:RDX983092 RNT983073:RNT983092 RXP983073:RXP983092 SHL983073:SHL983092 SRH983073:SRH983092 TBD983073:TBD983092 TKZ983073:TKZ983092 TUV983073:TUV983092 UER983073:UER983092 UON983073:UON983092 UYJ983073:UYJ983092 VIF983073:VIF983092 VSB983073:VSB983092 WBX983073:WBX983092 WLT983073:WLT983092 WVP983073:WVP983092">
      <formula1>$N$53:$N$55</formula1>
    </dataValidation>
  </dataValidations>
  <hyperlinks>
    <hyperlink ref="A1" location="'Table Of Contents'!A1" display="TOC"/>
  </hyperlinks>
  <pageMargins left="0.75" right="0.75" top="1" bottom="1" header="0.5" footer="0.5"/>
  <pageSetup scale="57" fitToHeight="0" orientation="portrait" r:id="rId1"/>
  <headerFooter alignWithMargins="0">
    <oddFooter>Page &amp;P of &amp;N</oddFooter>
  </headerFooter>
  <rowBreaks count="1" manualBreakCount="1">
    <brk id="29" min="1" max="9" man="1"/>
  </rowBreaks>
  <drawing r:id="rId2"/>
  <legacyDrawingHF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00FF00"/>
    <pageSetUpPr fitToPage="1"/>
  </sheetPr>
  <dimension ref="A1:BZ173"/>
  <sheetViews>
    <sheetView showGridLines="0" view="pageBreakPreview" topLeftCell="A28" zoomScale="90" zoomScaleNormal="100" zoomScaleSheetLayoutView="90" zoomScalePageLayoutView="40" workbookViewId="0">
      <selection activeCell="B1" sqref="B1"/>
    </sheetView>
  </sheetViews>
  <sheetFormatPr defaultRowHeight="12.75"/>
  <cols>
    <col min="1" max="1" width="9.140625" style="795" customWidth="1"/>
    <col min="2" max="2" width="20" style="1324" customWidth="1"/>
    <col min="3" max="3" width="9.7109375" style="1324" customWidth="1"/>
    <col min="4" max="4" width="14.42578125" style="1324" customWidth="1"/>
    <col min="5" max="5" width="12.42578125" style="1324" customWidth="1"/>
    <col min="6" max="7" width="11.140625" style="1324" customWidth="1"/>
    <col min="8" max="8" width="26.28515625" style="1324" customWidth="1"/>
    <col min="9" max="9" width="15.5703125" style="1324" customWidth="1"/>
    <col min="10" max="11" width="11" style="1324" customWidth="1"/>
    <col min="12" max="12" width="12.140625" style="1324" customWidth="1"/>
    <col min="13" max="13" width="9.42578125" style="1324" customWidth="1"/>
    <col min="14" max="14" width="18.5703125" style="795" customWidth="1"/>
    <col min="15" max="15" width="9.140625" style="795"/>
    <col min="16" max="16" width="9.140625" style="795" customWidth="1"/>
    <col min="17" max="78" width="9.140625" style="795"/>
    <col min="79" max="16384" width="9.140625" style="1324"/>
  </cols>
  <sheetData>
    <row r="1" spans="1:78" ht="26.25" customHeight="1">
      <c r="A1" s="1534" t="s">
        <v>1408</v>
      </c>
      <c r="B1" s="1138"/>
      <c r="C1" s="1137"/>
      <c r="D1" s="1138"/>
      <c r="E1" s="1138"/>
      <c r="F1" s="1138"/>
      <c r="G1" s="1138"/>
      <c r="H1" s="1140"/>
      <c r="I1" s="1138"/>
      <c r="J1" s="795"/>
      <c r="K1" s="795"/>
      <c r="L1" s="795"/>
      <c r="N1" s="1324"/>
      <c r="O1" s="1324"/>
      <c r="P1" s="1324"/>
      <c r="Q1" s="1324"/>
      <c r="R1" s="1324"/>
      <c r="S1" s="1324"/>
      <c r="T1" s="1324"/>
      <c r="U1" s="1324"/>
      <c r="V1" s="1324"/>
      <c r="W1" s="1324"/>
      <c r="X1" s="1324"/>
      <c r="Y1" s="1324"/>
      <c r="Z1" s="1324"/>
      <c r="AA1" s="1324"/>
      <c r="AB1" s="1324"/>
      <c r="AC1" s="1324"/>
      <c r="AD1" s="1324"/>
      <c r="AE1" s="1324"/>
      <c r="AF1" s="1324"/>
      <c r="AG1" s="1324"/>
      <c r="AH1" s="1324"/>
      <c r="AI1" s="1324"/>
      <c r="AJ1" s="1324"/>
      <c r="AK1" s="1324"/>
      <c r="AL1" s="1324"/>
      <c r="AM1" s="1324"/>
      <c r="AN1" s="1324"/>
      <c r="AO1" s="1324"/>
      <c r="AP1" s="1324"/>
      <c r="AQ1" s="1324"/>
      <c r="AR1" s="1324"/>
      <c r="AS1" s="1324"/>
      <c r="AT1" s="1324"/>
      <c r="AU1" s="1324"/>
      <c r="AV1" s="1324"/>
      <c r="AW1" s="1324"/>
      <c r="AX1" s="1324"/>
      <c r="AY1" s="1324"/>
      <c r="AZ1" s="1324"/>
      <c r="BA1" s="1324"/>
      <c r="BB1" s="1324"/>
      <c r="BC1" s="1324"/>
      <c r="BD1" s="1324"/>
      <c r="BE1" s="1324"/>
      <c r="BF1" s="1324"/>
      <c r="BG1" s="1324"/>
      <c r="BH1" s="1324"/>
      <c r="BI1" s="1324"/>
      <c r="BJ1" s="1324"/>
      <c r="BK1" s="1324"/>
      <c r="BL1" s="1324"/>
      <c r="BM1" s="1324"/>
      <c r="BN1" s="1324"/>
      <c r="BO1" s="1324"/>
      <c r="BP1" s="1324"/>
      <c r="BQ1" s="1324"/>
      <c r="BR1" s="1324"/>
      <c r="BS1" s="1324"/>
      <c r="BT1" s="1324"/>
      <c r="BU1" s="1324"/>
      <c r="BV1" s="1324"/>
      <c r="BW1" s="1324"/>
      <c r="BX1" s="1324"/>
      <c r="BY1" s="1324"/>
      <c r="BZ1" s="1324"/>
    </row>
    <row r="2" spans="1:78" ht="26.25" customHeight="1">
      <c r="A2" s="1324"/>
      <c r="B2" s="1138"/>
      <c r="C2" s="1137" t="str">
        <f>'1.1 - APPLIANCES'!C2</f>
        <v>MULTIFAMILY PERFORMANCE PROGRAM</v>
      </c>
      <c r="D2" s="1138"/>
      <c r="E2" s="1138"/>
      <c r="F2" s="1138"/>
      <c r="G2" s="1138"/>
      <c r="H2" s="1140"/>
      <c r="I2" s="1138"/>
      <c r="J2" s="795"/>
      <c r="K2" s="795"/>
      <c r="L2" s="795"/>
      <c r="N2" s="1324"/>
      <c r="O2" s="1324"/>
      <c r="P2" s="1324"/>
      <c r="Q2" s="1324"/>
      <c r="R2" s="1324"/>
      <c r="S2" s="1324"/>
      <c r="T2" s="1324"/>
      <c r="U2" s="1324"/>
      <c r="V2" s="1324"/>
      <c r="W2" s="1324"/>
      <c r="X2" s="1324"/>
      <c r="Y2" s="1324"/>
      <c r="Z2" s="1324"/>
      <c r="AA2" s="1324"/>
      <c r="AB2" s="1324"/>
      <c r="AC2" s="1324"/>
      <c r="AD2" s="1324"/>
      <c r="AE2" s="1324"/>
      <c r="AF2" s="1324"/>
      <c r="AG2" s="1324"/>
      <c r="AH2" s="1324"/>
      <c r="AI2" s="1324"/>
      <c r="AJ2" s="1324"/>
      <c r="AK2" s="1324"/>
      <c r="AL2" s="1324"/>
      <c r="AM2" s="1324"/>
      <c r="AN2" s="1324"/>
      <c r="AO2" s="1324"/>
      <c r="AP2" s="1324"/>
      <c r="AQ2" s="1324"/>
      <c r="AR2" s="1324"/>
      <c r="AS2" s="1324"/>
      <c r="AT2" s="1324"/>
      <c r="AU2" s="1324"/>
      <c r="AV2" s="1324"/>
      <c r="AW2" s="1324"/>
      <c r="AX2" s="1324"/>
      <c r="AY2" s="1324"/>
      <c r="AZ2" s="1324"/>
      <c r="BA2" s="1324"/>
      <c r="BB2" s="1324"/>
      <c r="BC2" s="1324"/>
      <c r="BD2" s="1324"/>
      <c r="BE2" s="1324"/>
      <c r="BF2" s="1324"/>
      <c r="BG2" s="1324"/>
      <c r="BH2" s="1324"/>
      <c r="BI2" s="1324"/>
      <c r="BJ2" s="1324"/>
      <c r="BK2" s="1324"/>
      <c r="BL2" s="1324"/>
      <c r="BM2" s="1324"/>
      <c r="BN2" s="1324"/>
      <c r="BO2" s="1324"/>
      <c r="BP2" s="1324"/>
      <c r="BQ2" s="1324"/>
      <c r="BR2" s="1324"/>
      <c r="BS2" s="1324"/>
      <c r="BT2" s="1324"/>
      <c r="BU2" s="1324"/>
      <c r="BV2" s="1324"/>
      <c r="BW2" s="1324"/>
      <c r="BX2" s="1324"/>
      <c r="BY2" s="1324"/>
      <c r="BZ2" s="1324"/>
    </row>
    <row r="3" spans="1:78" ht="26.25" customHeight="1">
      <c r="A3" s="1324"/>
      <c r="B3" s="1138"/>
      <c r="C3" s="1139" t="str">
        <f>'Project Info'!B3</f>
        <v xml:space="preserve">Project Name: </v>
      </c>
      <c r="D3" s="790"/>
      <c r="E3" s="1139">
        <f>'Project Info'!C3</f>
        <v>0</v>
      </c>
      <c r="F3" s="790"/>
      <c r="G3" s="1138"/>
      <c r="H3" s="1140"/>
      <c r="I3" s="1138"/>
      <c r="J3" s="795"/>
      <c r="K3" s="795"/>
      <c r="L3" s="795"/>
      <c r="N3" s="1324"/>
      <c r="O3" s="1324"/>
      <c r="P3" s="1324"/>
      <c r="Q3" s="1324"/>
      <c r="R3" s="1324"/>
      <c r="S3" s="1324"/>
      <c r="T3" s="1324"/>
      <c r="U3" s="1324"/>
      <c r="V3" s="1324"/>
      <c r="W3" s="1324"/>
      <c r="X3" s="1324"/>
      <c r="Y3" s="1324"/>
      <c r="Z3" s="1324"/>
      <c r="AA3" s="1324"/>
      <c r="AB3" s="1324"/>
      <c r="AC3" s="1324"/>
      <c r="AD3" s="1324"/>
      <c r="AE3" s="1324"/>
      <c r="AF3" s="1324"/>
      <c r="AG3" s="1324"/>
      <c r="AH3" s="1324"/>
      <c r="AI3" s="1324"/>
      <c r="AJ3" s="1324"/>
      <c r="AK3" s="1324"/>
      <c r="AL3" s="1324"/>
      <c r="AM3" s="1324"/>
      <c r="AN3" s="1324"/>
      <c r="AO3" s="1324"/>
      <c r="AP3" s="1324"/>
      <c r="AQ3" s="1324"/>
      <c r="AR3" s="1324"/>
      <c r="AS3" s="1324"/>
      <c r="AT3" s="1324"/>
      <c r="AU3" s="1324"/>
      <c r="AV3" s="1324"/>
      <c r="AW3" s="1324"/>
      <c r="AX3" s="1324"/>
      <c r="AY3" s="1324"/>
      <c r="AZ3" s="1324"/>
      <c r="BA3" s="1324"/>
      <c r="BB3" s="1324"/>
      <c r="BC3" s="1324"/>
      <c r="BD3" s="1324"/>
      <c r="BE3" s="1324"/>
      <c r="BF3" s="1324"/>
      <c r="BG3" s="1324"/>
      <c r="BH3" s="1324"/>
      <c r="BI3" s="1324"/>
      <c r="BJ3" s="1324"/>
      <c r="BK3" s="1324"/>
      <c r="BL3" s="1324"/>
      <c r="BM3" s="1324"/>
      <c r="BN3" s="1324"/>
      <c r="BO3" s="1324"/>
      <c r="BP3" s="1324"/>
      <c r="BQ3" s="1324"/>
      <c r="BR3" s="1324"/>
      <c r="BS3" s="1324"/>
      <c r="BT3" s="1324"/>
      <c r="BU3" s="1324"/>
      <c r="BV3" s="1324"/>
      <c r="BW3" s="1324"/>
      <c r="BX3" s="1324"/>
      <c r="BY3" s="1324"/>
      <c r="BZ3" s="1324"/>
    </row>
    <row r="4" spans="1:78" ht="26.25" customHeight="1">
      <c r="B4" s="1138"/>
      <c r="C4" s="1139"/>
      <c r="D4" s="1139"/>
      <c r="E4" s="1139"/>
      <c r="F4" s="1139"/>
      <c r="G4" s="1138"/>
      <c r="H4" s="1140"/>
      <c r="I4" s="1138"/>
      <c r="J4" s="795"/>
      <c r="K4" s="795"/>
      <c r="L4" s="795"/>
      <c r="M4" s="795"/>
    </row>
    <row r="5" spans="1:78" s="1532" customFormat="1" ht="15.75">
      <c r="A5" s="1540"/>
      <c r="B5" s="1158" t="s">
        <v>1770</v>
      </c>
      <c r="C5" s="1224"/>
      <c r="D5" s="1224"/>
      <c r="E5" s="1224"/>
      <c r="F5" s="1224"/>
      <c r="G5" s="1224"/>
      <c r="H5" s="1214"/>
      <c r="I5" s="1214"/>
      <c r="J5" s="2723" t="s">
        <v>1411</v>
      </c>
      <c r="K5" s="2723"/>
      <c r="L5" s="2881" t="s">
        <v>1412</v>
      </c>
      <c r="M5" s="2882"/>
      <c r="N5" s="2882"/>
      <c r="O5" s="1540"/>
      <c r="P5" s="1540"/>
      <c r="Q5" s="1540"/>
      <c r="R5" s="1540"/>
      <c r="S5" s="1540"/>
      <c r="T5" s="1540"/>
      <c r="U5" s="1540"/>
      <c r="V5" s="1540"/>
      <c r="W5" s="1540"/>
      <c r="X5" s="1540"/>
      <c r="Y5" s="1540"/>
      <c r="Z5" s="1540"/>
      <c r="AA5" s="1540"/>
      <c r="AB5" s="1540"/>
      <c r="AC5" s="1540"/>
      <c r="AD5" s="1540"/>
      <c r="AE5" s="1540"/>
      <c r="AF5" s="1540"/>
      <c r="AG5" s="1540"/>
      <c r="AH5" s="1540"/>
      <c r="AI5" s="1540"/>
      <c r="AJ5" s="1540"/>
      <c r="AK5" s="1540"/>
      <c r="AL5" s="1540"/>
      <c r="AM5" s="1540"/>
      <c r="AN5" s="1540"/>
      <c r="AO5" s="1540"/>
      <c r="AP5" s="1540"/>
      <c r="AQ5" s="1540"/>
      <c r="AR5" s="1540"/>
      <c r="AS5" s="1540"/>
      <c r="AT5" s="1540"/>
      <c r="AU5" s="1540"/>
      <c r="AV5" s="1540"/>
      <c r="AW5" s="1540"/>
      <c r="AX5" s="1540"/>
      <c r="AY5" s="1540"/>
      <c r="AZ5" s="1540"/>
      <c r="BA5" s="1540"/>
      <c r="BB5" s="1540"/>
      <c r="BC5" s="1540"/>
      <c r="BD5" s="1540"/>
      <c r="BE5" s="1540"/>
      <c r="BF5" s="1540"/>
      <c r="BG5" s="1540"/>
      <c r="BH5" s="1540"/>
      <c r="BI5" s="1540"/>
      <c r="BJ5" s="1540"/>
      <c r="BK5" s="1540"/>
      <c r="BL5" s="1540"/>
      <c r="BM5" s="1540"/>
      <c r="BN5" s="1540"/>
      <c r="BO5" s="1540"/>
      <c r="BP5" s="1540"/>
      <c r="BQ5" s="1540"/>
      <c r="BR5" s="1540"/>
      <c r="BS5" s="1540"/>
      <c r="BT5" s="1540"/>
      <c r="BU5" s="1540"/>
      <c r="BV5" s="1540"/>
      <c r="BW5" s="1540"/>
      <c r="BX5" s="1540"/>
      <c r="BY5" s="1540"/>
      <c r="BZ5" s="1540"/>
    </row>
    <row r="6" spans="1:78">
      <c r="A6" s="1529"/>
      <c r="B6" s="1144"/>
      <c r="C6" s="1144"/>
      <c r="D6" s="1144"/>
      <c r="E6" s="1144"/>
      <c r="F6" s="1144"/>
      <c r="G6" s="1144"/>
      <c r="H6" s="1144"/>
      <c r="I6" s="1144"/>
      <c r="J6" s="2893" t="s">
        <v>1413</v>
      </c>
      <c r="K6" s="2892"/>
      <c r="L6" s="2883"/>
      <c r="M6" s="2884"/>
      <c r="N6" s="2884"/>
    </row>
    <row r="7" spans="1:78">
      <c r="A7" s="1529"/>
      <c r="B7" s="1146"/>
      <c r="C7" s="1144"/>
      <c r="D7" s="1144"/>
      <c r="E7" s="1144"/>
      <c r="F7" s="1144"/>
      <c r="G7" s="1144"/>
      <c r="H7" s="1144"/>
      <c r="I7" s="1144"/>
      <c r="J7" s="2892"/>
      <c r="K7" s="2754"/>
      <c r="L7" s="2730"/>
      <c r="M7" s="2730"/>
      <c r="N7" s="2730"/>
    </row>
    <row r="8" spans="1:78">
      <c r="A8" s="1529"/>
      <c r="B8" s="1146" t="s">
        <v>1414</v>
      </c>
      <c r="C8" s="1144"/>
      <c r="D8" s="1144"/>
      <c r="E8" s="1144"/>
      <c r="F8" s="1144"/>
      <c r="G8" s="1144"/>
      <c r="H8" s="1144"/>
      <c r="I8" s="1144"/>
      <c r="J8" s="2892"/>
      <c r="K8" s="2754"/>
      <c r="L8" s="2754"/>
      <c r="M8" s="2891"/>
      <c r="N8" s="2745"/>
    </row>
    <row r="9" spans="1:78" ht="81" customHeight="1">
      <c r="A9" s="1529"/>
      <c r="B9" s="2673" t="s">
        <v>2269</v>
      </c>
      <c r="C9" s="2673"/>
      <c r="D9" s="2673"/>
      <c r="E9" s="2673"/>
      <c r="F9" s="2673"/>
      <c r="G9" s="2673"/>
      <c r="H9" s="2673"/>
      <c r="I9" s="2673"/>
      <c r="J9" s="2894"/>
      <c r="K9" s="2894"/>
      <c r="L9" s="2895"/>
      <c r="M9" s="2895"/>
      <c r="N9" s="1530"/>
    </row>
    <row r="10" spans="1:78" ht="13.5" customHeight="1">
      <c r="A10" s="1529"/>
      <c r="B10" s="2673" t="s">
        <v>2268</v>
      </c>
      <c r="C10" s="2673"/>
      <c r="D10" s="2673"/>
      <c r="E10" s="2673"/>
      <c r="F10" s="2673"/>
      <c r="G10" s="2673"/>
      <c r="H10" s="2673"/>
      <c r="I10" s="2673"/>
      <c r="J10" s="1529"/>
      <c r="K10" s="1529"/>
      <c r="L10" s="1530"/>
      <c r="M10" s="1530"/>
      <c r="N10" s="1530"/>
    </row>
    <row r="11" spans="1:78" ht="13.5" customHeight="1">
      <c r="A11" s="1529"/>
      <c r="B11" s="2673" t="s">
        <v>2267</v>
      </c>
      <c r="C11" s="2673"/>
      <c r="D11" s="2673"/>
      <c r="E11" s="2673"/>
      <c r="F11" s="2673"/>
      <c r="G11" s="2673"/>
      <c r="H11" s="2673"/>
      <c r="I11" s="2673"/>
      <c r="J11" s="1529"/>
      <c r="K11" s="1529"/>
      <c r="L11" s="1530"/>
      <c r="M11" s="1530"/>
      <c r="N11" s="1530"/>
    </row>
    <row r="12" spans="1:78" ht="13.5" customHeight="1">
      <c r="A12" s="1529"/>
      <c r="B12" s="2673" t="s">
        <v>2266</v>
      </c>
      <c r="C12" s="2673"/>
      <c r="D12" s="2673"/>
      <c r="E12" s="2673"/>
      <c r="F12" s="2673"/>
      <c r="G12" s="2673"/>
      <c r="H12" s="2673"/>
      <c r="I12" s="2673"/>
      <c r="J12" s="1529"/>
      <c r="K12" s="1529"/>
      <c r="L12" s="1530"/>
      <c r="M12" s="1530"/>
      <c r="N12" s="1530"/>
    </row>
    <row r="13" spans="1:78">
      <c r="A13" s="1529"/>
      <c r="B13" s="1144"/>
      <c r="C13" s="1144"/>
      <c r="D13" s="1144"/>
      <c r="E13" s="1144"/>
      <c r="F13" s="1144"/>
      <c r="G13" s="1144"/>
      <c r="H13" s="1144"/>
      <c r="I13" s="1144"/>
      <c r="J13" s="1529"/>
      <c r="K13" s="1529"/>
      <c r="L13" s="1530"/>
      <c r="M13" s="1530"/>
      <c r="N13" s="1530"/>
    </row>
    <row r="14" spans="1:78">
      <c r="A14" s="1529"/>
      <c r="B14" s="1146" t="s">
        <v>1416</v>
      </c>
      <c r="C14" s="1144"/>
      <c r="D14" s="1144"/>
      <c r="E14" s="1144"/>
      <c r="F14" s="1144"/>
      <c r="G14" s="1144"/>
      <c r="H14" s="1144"/>
      <c r="I14" s="1144"/>
      <c r="J14" s="1529"/>
      <c r="K14" s="1529"/>
      <c r="L14" s="1530"/>
      <c r="M14" s="1530"/>
      <c r="N14" s="1530"/>
    </row>
    <row r="15" spans="1:78">
      <c r="A15" s="1529"/>
      <c r="B15" s="1144" t="s">
        <v>1417</v>
      </c>
      <c r="C15" s="1144"/>
      <c r="D15" s="1144"/>
      <c r="E15" s="1144"/>
      <c r="F15" s="1144"/>
      <c r="G15" s="1144"/>
      <c r="H15" s="1144"/>
      <c r="I15" s="1144"/>
      <c r="J15" s="1529"/>
      <c r="K15" s="1529"/>
      <c r="L15" s="1530"/>
      <c r="M15" s="1530"/>
      <c r="N15" s="1530"/>
    </row>
    <row r="16" spans="1:78">
      <c r="A16" s="1529"/>
      <c r="B16" s="1149" t="s">
        <v>1466</v>
      </c>
      <c r="C16" s="1144"/>
      <c r="D16" s="1144"/>
      <c r="E16" s="1144"/>
      <c r="F16" s="1144"/>
      <c r="G16" s="1144"/>
      <c r="H16" s="1144"/>
      <c r="I16" s="1144"/>
      <c r="J16" s="1529"/>
      <c r="K16" s="1529"/>
      <c r="L16" s="1530"/>
      <c r="M16" s="1530"/>
      <c r="N16" s="1530"/>
    </row>
    <row r="17" spans="1:78">
      <c r="A17" s="1529"/>
      <c r="B17" s="1144" t="s">
        <v>1771</v>
      </c>
      <c r="C17" s="1144"/>
      <c r="D17" s="1144"/>
      <c r="E17" s="1144"/>
      <c r="F17" s="1144"/>
      <c r="G17" s="1144"/>
      <c r="H17" s="1144"/>
      <c r="I17" s="1144"/>
      <c r="J17" s="1529"/>
      <c r="K17" s="1529"/>
      <c r="L17" s="1530"/>
      <c r="M17" s="1530"/>
      <c r="N17" s="1530"/>
    </row>
    <row r="18" spans="1:78">
      <c r="A18" s="1529"/>
      <c r="B18" s="1144" t="s">
        <v>1772</v>
      </c>
      <c r="C18" s="1144"/>
      <c r="D18" s="1144"/>
      <c r="E18" s="1144"/>
      <c r="F18" s="1144"/>
      <c r="G18" s="1144"/>
      <c r="H18" s="1144"/>
      <c r="I18" s="1144"/>
      <c r="J18" s="1529"/>
      <c r="K18" s="1529"/>
      <c r="L18" s="1530"/>
      <c r="M18" s="1530"/>
      <c r="N18" s="1530"/>
    </row>
    <row r="19" spans="1:78">
      <c r="A19" s="1529"/>
      <c r="B19" s="1144" t="s">
        <v>1773</v>
      </c>
      <c r="C19" s="1144"/>
      <c r="D19" s="1144"/>
      <c r="E19" s="1144"/>
      <c r="F19" s="1144"/>
      <c r="G19" s="1144"/>
      <c r="H19" s="1144"/>
      <c r="I19" s="1144"/>
      <c r="J19" s="1529"/>
      <c r="K19" s="1529"/>
      <c r="L19" s="1529"/>
      <c r="M19" s="1529"/>
      <c r="N19" s="1529"/>
    </row>
    <row r="20" spans="1:78">
      <c r="A20" s="1529"/>
      <c r="B20" s="1144" t="s">
        <v>1774</v>
      </c>
      <c r="C20" s="1144"/>
      <c r="D20" s="1144"/>
      <c r="E20" s="1144"/>
      <c r="F20" s="1144"/>
      <c r="G20" s="1144"/>
      <c r="H20" s="1144"/>
      <c r="I20" s="1144"/>
      <c r="J20" s="1529"/>
      <c r="K20" s="1529"/>
      <c r="L20" s="1529"/>
      <c r="M20" s="1529"/>
      <c r="N20" s="1529"/>
    </row>
    <row r="21" spans="1:78">
      <c r="A21" s="1529"/>
      <c r="B21" s="1144" t="s">
        <v>1775</v>
      </c>
      <c r="C21" s="1144"/>
      <c r="D21" s="1144"/>
      <c r="E21" s="1144"/>
      <c r="F21" s="1144"/>
      <c r="G21" s="1144"/>
      <c r="H21" s="1144"/>
      <c r="I21" s="1144"/>
      <c r="J21" s="1529"/>
      <c r="K21" s="1529"/>
      <c r="L21" s="1529"/>
      <c r="M21" s="1529"/>
      <c r="N21" s="1529"/>
    </row>
    <row r="22" spans="1:78">
      <c r="A22" s="1529"/>
      <c r="B22" s="1144" t="s">
        <v>1776</v>
      </c>
      <c r="C22" s="1144"/>
      <c r="D22" s="1144"/>
      <c r="E22" s="1144"/>
      <c r="F22" s="1144"/>
      <c r="G22" s="1144"/>
      <c r="H22" s="1144"/>
      <c r="I22" s="1144"/>
      <c r="J22" s="1529"/>
      <c r="K22" s="1529"/>
      <c r="L22" s="1529"/>
      <c r="M22" s="1529"/>
      <c r="N22" s="1529"/>
    </row>
    <row r="23" spans="1:78">
      <c r="A23" s="1529"/>
      <c r="B23" s="1144" t="s">
        <v>1777</v>
      </c>
      <c r="C23" s="1144"/>
      <c r="D23" s="1144"/>
      <c r="E23" s="1144"/>
      <c r="F23" s="1144"/>
      <c r="G23" s="1144"/>
      <c r="H23" s="1144"/>
      <c r="I23" s="1144"/>
      <c r="J23" s="1529"/>
      <c r="K23" s="1529"/>
      <c r="L23" s="1529"/>
      <c r="M23" s="1529"/>
      <c r="N23" s="1529"/>
    </row>
    <row r="24" spans="1:78">
      <c r="A24" s="1529"/>
      <c r="B24" s="1144" t="s">
        <v>1778</v>
      </c>
      <c r="C24" s="1144"/>
      <c r="D24" s="1144"/>
      <c r="E24" s="1144"/>
      <c r="F24" s="1144"/>
      <c r="G24" s="1144"/>
      <c r="H24" s="1144"/>
      <c r="I24" s="1144"/>
      <c r="J24" s="1529"/>
      <c r="K24" s="1529"/>
      <c r="L24" s="1529"/>
      <c r="M24" s="1529"/>
      <c r="N24" s="1529"/>
    </row>
    <row r="25" spans="1:78">
      <c r="A25" s="1529"/>
      <c r="B25" s="1149" t="s">
        <v>1779</v>
      </c>
      <c r="C25" s="1144"/>
      <c r="D25" s="1144"/>
      <c r="E25" s="1144"/>
      <c r="F25" s="1144"/>
      <c r="G25" s="1144"/>
      <c r="H25" s="1144"/>
      <c r="I25" s="1144"/>
      <c r="J25" s="1529"/>
      <c r="K25" s="1529"/>
      <c r="L25" s="1529"/>
      <c r="M25" s="1529"/>
      <c r="N25" s="1529"/>
    </row>
    <row r="26" spans="1:78">
      <c r="A26" s="1529"/>
      <c r="B26" s="1144"/>
      <c r="C26" s="1144"/>
      <c r="D26" s="1144"/>
      <c r="E26" s="1144"/>
      <c r="F26" s="1144"/>
      <c r="G26" s="1144"/>
      <c r="H26" s="1144"/>
      <c r="I26" s="1144"/>
      <c r="J26" s="1529"/>
      <c r="K26" s="1529"/>
      <c r="L26" s="1529"/>
      <c r="M26" s="1529"/>
      <c r="N26" s="1529"/>
    </row>
    <row r="27" spans="1:78">
      <c r="A27" s="1529"/>
      <c r="B27" s="1148" t="s">
        <v>1420</v>
      </c>
      <c r="C27" s="1144"/>
      <c r="D27" s="1144"/>
      <c r="E27" s="1144"/>
      <c r="F27" s="1144"/>
      <c r="G27" s="1144"/>
      <c r="H27" s="1200"/>
      <c r="I27" s="1144"/>
      <c r="J27" s="1529"/>
      <c r="K27" s="1529"/>
      <c r="L27" s="1529"/>
      <c r="M27" s="1529"/>
      <c r="N27" s="1529"/>
    </row>
    <row r="28" spans="1:78" ht="69" customHeight="1">
      <c r="A28" s="1529"/>
      <c r="B28" s="2673" t="s">
        <v>2265</v>
      </c>
      <c r="C28" s="2673"/>
      <c r="D28" s="2673"/>
      <c r="E28" s="2673"/>
      <c r="F28" s="2673"/>
      <c r="G28" s="2673"/>
      <c r="H28" s="2673"/>
      <c r="I28" s="2673"/>
      <c r="J28" s="2673"/>
      <c r="K28" s="2673"/>
      <c r="L28" s="1529"/>
      <c r="M28" s="1529"/>
      <c r="N28" s="1529"/>
    </row>
    <row r="29" spans="1:78" ht="81.75" customHeight="1">
      <c r="A29" s="1324"/>
      <c r="B29" s="1724" t="s">
        <v>1425</v>
      </c>
      <c r="C29" s="1339"/>
      <c r="D29" s="1339"/>
      <c r="E29" s="1339"/>
      <c r="F29" s="1339"/>
      <c r="G29" s="1339"/>
      <c r="H29" s="1339" t="s">
        <v>1433</v>
      </c>
      <c r="I29" s="1339" t="s">
        <v>1493</v>
      </c>
      <c r="J29" s="1155" t="s">
        <v>1435</v>
      </c>
      <c r="N29" s="1324"/>
      <c r="O29" s="1324"/>
      <c r="P29" s="1324"/>
      <c r="Q29" s="1324"/>
      <c r="R29" s="1324"/>
      <c r="S29" s="1324"/>
      <c r="T29" s="1324"/>
      <c r="U29" s="1324"/>
      <c r="V29" s="1324"/>
      <c r="W29" s="1324"/>
      <c r="X29" s="1324"/>
      <c r="Y29" s="1324"/>
      <c r="Z29" s="1324"/>
      <c r="AA29" s="1324"/>
      <c r="AB29" s="1324"/>
      <c r="AC29" s="1324"/>
      <c r="AD29" s="1324"/>
      <c r="AE29" s="1324"/>
      <c r="AF29" s="1324"/>
      <c r="AG29" s="1324"/>
      <c r="AH29" s="1324"/>
      <c r="AI29" s="1324"/>
      <c r="AJ29" s="1324"/>
      <c r="AK29" s="1324"/>
      <c r="AL29" s="1324"/>
      <c r="AM29" s="1324"/>
      <c r="AN29" s="1324"/>
      <c r="AO29" s="1324"/>
      <c r="AP29" s="1324"/>
      <c r="AQ29" s="1324"/>
      <c r="AR29" s="1324"/>
      <c r="AS29" s="1324"/>
      <c r="AT29" s="1324"/>
      <c r="AU29" s="1324"/>
      <c r="AV29" s="1324"/>
      <c r="AW29" s="1324"/>
      <c r="AX29" s="1324"/>
      <c r="AY29" s="1324"/>
      <c r="AZ29" s="1324"/>
      <c r="BA29" s="1324"/>
      <c r="BB29" s="1324"/>
      <c r="BC29" s="1324"/>
      <c r="BD29" s="1324"/>
      <c r="BE29" s="1324"/>
      <c r="BF29" s="1324"/>
      <c r="BG29" s="1324"/>
      <c r="BH29" s="1324"/>
      <c r="BI29" s="1324"/>
      <c r="BJ29" s="1324"/>
      <c r="BK29" s="1324"/>
      <c r="BL29" s="1324"/>
      <c r="BM29" s="1324"/>
      <c r="BN29" s="1324"/>
      <c r="BO29" s="1324"/>
      <c r="BP29" s="1324"/>
      <c r="BQ29" s="1324"/>
      <c r="BR29" s="1324"/>
      <c r="BS29" s="1324"/>
      <c r="BT29" s="1324"/>
      <c r="BU29" s="1324"/>
      <c r="BV29" s="1324"/>
      <c r="BW29" s="1324"/>
      <c r="BX29" s="1324"/>
      <c r="BY29" s="1324"/>
      <c r="BZ29" s="1324"/>
    </row>
    <row r="30" spans="1:78" ht="92.25" customHeight="1">
      <c r="A30" s="1324"/>
      <c r="B30" s="2680" t="s">
        <v>2264</v>
      </c>
      <c r="C30" s="2694"/>
      <c r="D30" s="2694"/>
      <c r="E30" s="2694"/>
      <c r="F30" s="2694"/>
      <c r="G30" s="2733"/>
      <c r="H30" s="1366"/>
      <c r="I30" s="1388"/>
      <c r="J30" s="899"/>
      <c r="N30" s="1324"/>
      <c r="O30" s="1324"/>
      <c r="P30" s="1324"/>
      <c r="Q30" s="1324"/>
      <c r="R30" s="1324"/>
      <c r="S30" s="1324"/>
      <c r="T30" s="1324"/>
      <c r="U30" s="1324"/>
      <c r="V30" s="1324"/>
      <c r="W30" s="1324"/>
      <c r="X30" s="1324"/>
      <c r="Y30" s="1324"/>
      <c r="Z30" s="1324"/>
      <c r="AA30" s="1324"/>
      <c r="AB30" s="1324"/>
      <c r="AC30" s="1324"/>
      <c r="AD30" s="1324"/>
      <c r="AE30" s="1324"/>
      <c r="AF30" s="1324"/>
      <c r="AG30" s="1324"/>
      <c r="AH30" s="1324"/>
      <c r="AI30" s="1324"/>
      <c r="AJ30" s="1324"/>
      <c r="AK30" s="1324"/>
      <c r="AL30" s="1324"/>
      <c r="AM30" s="1324"/>
      <c r="AN30" s="1324"/>
      <c r="AO30" s="1324"/>
      <c r="AP30" s="1324"/>
      <c r="AQ30" s="1324"/>
      <c r="AR30" s="1324"/>
      <c r="AS30" s="1324"/>
      <c r="AT30" s="1324"/>
      <c r="AU30" s="1324"/>
      <c r="AV30" s="1324"/>
      <c r="AW30" s="1324"/>
      <c r="AX30" s="1324"/>
      <c r="AY30" s="1324"/>
      <c r="AZ30" s="1324"/>
      <c r="BA30" s="1324"/>
      <c r="BB30" s="1324"/>
      <c r="BC30" s="1324"/>
      <c r="BD30" s="1324"/>
      <c r="BE30" s="1324"/>
      <c r="BF30" s="1324"/>
      <c r="BG30" s="1324"/>
      <c r="BH30" s="1324"/>
      <c r="BI30" s="1324"/>
      <c r="BJ30" s="1324"/>
      <c r="BK30" s="1324"/>
      <c r="BL30" s="1324"/>
      <c r="BM30" s="1324"/>
      <c r="BN30" s="1324"/>
      <c r="BO30" s="1324"/>
      <c r="BP30" s="1324"/>
      <c r="BQ30" s="1324"/>
      <c r="BR30" s="1324"/>
      <c r="BS30" s="1324"/>
      <c r="BT30" s="1324"/>
      <c r="BU30" s="1324"/>
      <c r="BV30" s="1324"/>
      <c r="BW30" s="1324"/>
      <c r="BX30" s="1324"/>
      <c r="BY30" s="1324"/>
      <c r="BZ30" s="1324"/>
    </row>
    <row r="31" spans="1:78" s="1561" customFormat="1" ht="15.75" customHeight="1">
      <c r="A31" s="1723"/>
      <c r="B31" s="1554"/>
      <c r="C31" s="1554"/>
      <c r="D31" s="1554"/>
      <c r="E31" s="1554"/>
      <c r="F31" s="1554"/>
      <c r="G31" s="1554"/>
      <c r="H31" s="1555"/>
      <c r="I31" s="1555"/>
      <c r="J31" s="1531"/>
      <c r="K31" s="1531"/>
      <c r="L31" s="1554"/>
      <c r="M31" s="1554"/>
      <c r="N31" s="1554"/>
      <c r="O31" s="1531"/>
      <c r="P31" s="1634"/>
      <c r="Q31" s="1634"/>
      <c r="R31" s="1634"/>
      <c r="S31" s="1634"/>
      <c r="T31" s="1634"/>
      <c r="U31" s="1634"/>
      <c r="V31" s="1634"/>
      <c r="W31" s="1634"/>
      <c r="X31" s="1634"/>
      <c r="Y31" s="1634"/>
      <c r="Z31" s="1634"/>
      <c r="AA31" s="1634"/>
      <c r="AB31" s="1634"/>
      <c r="AC31" s="1634"/>
      <c r="AD31" s="1634"/>
      <c r="AE31" s="1634"/>
      <c r="AF31" s="1634"/>
      <c r="AG31" s="1634"/>
      <c r="AH31" s="1634"/>
      <c r="AI31" s="1634"/>
      <c r="AJ31" s="1634"/>
      <c r="AK31" s="1634"/>
      <c r="AL31" s="1634"/>
      <c r="AM31" s="1634"/>
      <c r="AN31" s="1634"/>
      <c r="AO31" s="1634"/>
      <c r="AP31" s="1634"/>
      <c r="AQ31" s="1634"/>
      <c r="AR31" s="1634"/>
      <c r="AS31" s="1634"/>
      <c r="AT31" s="1634"/>
      <c r="AU31" s="1634"/>
      <c r="AV31" s="1634"/>
      <c r="AW31" s="1634"/>
      <c r="AX31" s="1634"/>
      <c r="AY31" s="1634"/>
      <c r="AZ31" s="1634"/>
      <c r="BA31" s="1634"/>
      <c r="BB31" s="1634"/>
      <c r="BC31" s="1634"/>
      <c r="BD31" s="1634"/>
      <c r="BE31" s="1634"/>
      <c r="BF31" s="1634"/>
      <c r="BG31" s="1634"/>
      <c r="BH31" s="1634"/>
      <c r="BI31" s="1634"/>
      <c r="BJ31" s="1634"/>
      <c r="BK31" s="1634"/>
      <c r="BL31" s="1634"/>
      <c r="BM31" s="1634"/>
      <c r="BN31" s="1634"/>
      <c r="BO31" s="1634"/>
      <c r="BP31" s="1634"/>
      <c r="BQ31" s="1634"/>
      <c r="BR31" s="1634"/>
      <c r="BS31" s="1634"/>
      <c r="BT31" s="1634"/>
      <c r="BU31" s="1634"/>
      <c r="BV31" s="1634"/>
      <c r="BW31" s="1634"/>
      <c r="BX31" s="1634"/>
      <c r="BY31" s="1634"/>
      <c r="BZ31" s="1634"/>
    </row>
    <row r="32" spans="1:78" s="1561" customFormat="1" ht="81.75" customHeight="1">
      <c r="A32" s="1531"/>
      <c r="B32" s="1339" t="s">
        <v>1439</v>
      </c>
      <c r="C32" s="2849" t="s">
        <v>1426</v>
      </c>
      <c r="D32" s="2849"/>
      <c r="E32" s="2849"/>
      <c r="F32" s="2849"/>
      <c r="G32" s="2849"/>
      <c r="H32" s="1339" t="s">
        <v>1433</v>
      </c>
      <c r="I32" s="1339" t="s">
        <v>1493</v>
      </c>
      <c r="J32" s="1155" t="s">
        <v>1435</v>
      </c>
      <c r="K32" s="1155" t="s">
        <v>1436</v>
      </c>
      <c r="L32" s="2885" t="s">
        <v>1437</v>
      </c>
      <c r="M32" s="2885"/>
      <c r="N32" s="1356"/>
      <c r="O32" s="1531"/>
      <c r="P32" s="795"/>
      <c r="Q32" s="1634"/>
      <c r="R32" s="1634"/>
      <c r="S32" s="1634"/>
      <c r="T32" s="1634"/>
      <c r="U32" s="1634"/>
      <c r="V32" s="1634"/>
      <c r="W32" s="1634"/>
      <c r="X32" s="1634"/>
      <c r="Y32" s="1634"/>
      <c r="Z32" s="1634"/>
      <c r="AA32" s="1634"/>
      <c r="AB32" s="1634"/>
      <c r="AC32" s="1634"/>
      <c r="AD32" s="1634"/>
      <c r="AE32" s="1634"/>
      <c r="AF32" s="1634"/>
      <c r="AG32" s="1634"/>
      <c r="AH32" s="1634"/>
      <c r="AI32" s="1634"/>
      <c r="AJ32" s="1634"/>
      <c r="AK32" s="1634"/>
      <c r="AL32" s="1634"/>
      <c r="AM32" s="1634"/>
      <c r="AN32" s="1634"/>
      <c r="AO32" s="1634"/>
      <c r="AP32" s="1634"/>
      <c r="AQ32" s="1634"/>
      <c r="AR32" s="1634"/>
      <c r="AS32" s="1634"/>
      <c r="AT32" s="1634"/>
      <c r="AU32" s="1634"/>
      <c r="AV32" s="1634"/>
      <c r="AW32" s="1634"/>
      <c r="AX32" s="1634"/>
      <c r="AY32" s="1634"/>
      <c r="AZ32" s="1634"/>
      <c r="BA32" s="1634"/>
      <c r="BB32" s="1634"/>
      <c r="BC32" s="1634"/>
      <c r="BD32" s="1634"/>
      <c r="BE32" s="1634"/>
      <c r="BF32" s="1634"/>
      <c r="BG32" s="1634"/>
      <c r="BH32" s="1634"/>
      <c r="BI32" s="1634"/>
      <c r="BJ32" s="1634"/>
      <c r="BK32" s="1634"/>
      <c r="BL32" s="1634"/>
      <c r="BM32" s="1634"/>
      <c r="BN32" s="1634"/>
      <c r="BO32" s="1634"/>
      <c r="BP32" s="1634"/>
      <c r="BQ32" s="1634"/>
      <c r="BR32" s="1634"/>
      <c r="BS32" s="1634"/>
      <c r="BT32" s="1634"/>
      <c r="BU32" s="1634"/>
      <c r="BV32" s="1634"/>
      <c r="BW32" s="1634"/>
      <c r="BX32" s="1634"/>
      <c r="BY32" s="1634"/>
      <c r="BZ32" s="1634"/>
    </row>
    <row r="33" spans="1:78" s="1561" customFormat="1" ht="132" customHeight="1">
      <c r="A33" s="1722"/>
      <c r="B33" s="1357" t="s">
        <v>1765</v>
      </c>
      <c r="C33" s="2700" t="str">
        <f>IF('Project Info'!C4='Project Info'!P32,'Prescriptive Path Checklist'!C118&amp;"
Specific apartment air leakage paths to be sealed are listed in the ENERGY STAR Multifamily High Rise T&amp;V Worksheet 8.1-INF_COMPTZN VIS INSPECTION",IF('Project Info'!C4='Project Info'!P33,#REF!&amp;"
Specific apartment air leakage paths to be sealed are listed in the ENERGY STAR Multifamily High Rise T&amp;V Worksheet 8.1-INF_COMPTZN VIS INSPECTION","&lt;Select compliance path on the 'Project Info' tab&gt;"))</f>
        <v>Apartments shall be sealed to reduce air exchange between the apartment and outside as well as the apartment and other adjacent spaces.  A maximum air leakage rate of 0.30 CFM50 per square feet of enclosure is allowed.
Specific apartment air leakage paths to be sealed are listed in the ENERGY STAR Multifamily High Rise T&amp;V Worksheet 8.1-INF_COMPTZN VIS INSPECTION</v>
      </c>
      <c r="D33" s="2795"/>
      <c r="E33" s="2795"/>
      <c r="F33" s="2795"/>
      <c r="G33" s="2702"/>
      <c r="H33" s="1388"/>
      <c r="I33" s="1388"/>
      <c r="J33" s="899"/>
      <c r="K33" s="1370"/>
      <c r="L33" s="2886"/>
      <c r="M33" s="2887"/>
      <c r="N33" s="2887"/>
      <c r="O33" s="1634"/>
      <c r="P33" s="795"/>
      <c r="Q33" s="1634"/>
      <c r="R33" s="1634"/>
      <c r="S33" s="1634"/>
      <c r="T33" s="1634"/>
      <c r="U33" s="1634"/>
      <c r="V33" s="1634"/>
      <c r="W33" s="1634"/>
      <c r="X33" s="1634"/>
      <c r="Y33" s="1634"/>
      <c r="Z33" s="1634"/>
      <c r="AA33" s="1634"/>
      <c r="AB33" s="1634"/>
      <c r="AC33" s="1634"/>
      <c r="AD33" s="1634"/>
      <c r="AE33" s="1634"/>
      <c r="AF33" s="1634"/>
      <c r="AG33" s="1634"/>
      <c r="AH33" s="1634"/>
      <c r="AI33" s="1634"/>
      <c r="AJ33" s="1634"/>
      <c r="AK33" s="1634"/>
      <c r="AL33" s="1634"/>
      <c r="AM33" s="1634"/>
      <c r="AN33" s="1634"/>
      <c r="AO33" s="1634"/>
      <c r="AP33" s="1634"/>
      <c r="AQ33" s="1634"/>
      <c r="AR33" s="1634"/>
      <c r="AS33" s="1634"/>
      <c r="AT33" s="1634"/>
      <c r="AU33" s="1634"/>
      <c r="AV33" s="1634"/>
      <c r="AW33" s="1634"/>
      <c r="AX33" s="1634"/>
      <c r="AY33" s="1634"/>
      <c r="AZ33" s="1634"/>
      <c r="BA33" s="1634"/>
      <c r="BB33" s="1634"/>
      <c r="BC33" s="1634"/>
      <c r="BD33" s="1634"/>
      <c r="BE33" s="1634"/>
      <c r="BF33" s="1634"/>
      <c r="BG33" s="1634"/>
      <c r="BH33" s="1634"/>
      <c r="BI33" s="1634"/>
      <c r="BJ33" s="1634"/>
      <c r="BK33" s="1634"/>
      <c r="BL33" s="1634"/>
      <c r="BM33" s="1634"/>
      <c r="BN33" s="1634"/>
      <c r="BO33" s="1634"/>
      <c r="BP33" s="1634"/>
      <c r="BQ33" s="1634"/>
      <c r="BR33" s="1634"/>
      <c r="BS33" s="1634"/>
      <c r="BT33" s="1634"/>
      <c r="BU33" s="1634"/>
      <c r="BV33" s="1634"/>
      <c r="BW33" s="1634"/>
      <c r="BX33" s="1634"/>
      <c r="BY33" s="1634"/>
      <c r="BZ33" s="1634"/>
    </row>
    <row r="34" spans="1:78" ht="177" customHeight="1">
      <c r="A34" s="1652"/>
      <c r="B34" s="2693" t="s">
        <v>2263</v>
      </c>
      <c r="C34" s="2694"/>
      <c r="D34" s="2694"/>
      <c r="E34" s="2694"/>
      <c r="F34" s="2694"/>
      <c r="G34" s="2694"/>
      <c r="H34" s="2896"/>
      <c r="I34" s="2896"/>
      <c r="J34" s="2753"/>
      <c r="K34" s="1370"/>
      <c r="L34" s="2886"/>
      <c r="M34" s="2887"/>
      <c r="N34" s="2887"/>
    </row>
    <row r="35" spans="1:78" ht="127.5" customHeight="1">
      <c r="A35" s="1652"/>
      <c r="B35" s="2693" t="s">
        <v>2262</v>
      </c>
      <c r="C35" s="2694"/>
      <c r="D35" s="2694"/>
      <c r="E35" s="2694"/>
      <c r="F35" s="2694"/>
      <c r="G35" s="2694"/>
      <c r="H35" s="2765"/>
      <c r="I35" s="2765"/>
      <c r="J35" s="2753"/>
      <c r="K35" s="1370"/>
      <c r="L35" s="2888"/>
      <c r="M35" s="2889"/>
      <c r="N35" s="2889"/>
    </row>
    <row r="36" spans="1:78" ht="240" customHeight="1">
      <c r="A36" s="1652"/>
      <c r="B36" s="2693" t="s">
        <v>2261</v>
      </c>
      <c r="C36" s="2694"/>
      <c r="D36" s="2694"/>
      <c r="E36" s="2694"/>
      <c r="F36" s="2694"/>
      <c r="G36" s="2694"/>
      <c r="H36" s="2765"/>
      <c r="I36" s="2765"/>
      <c r="J36" s="2753"/>
      <c r="K36" s="1370"/>
      <c r="L36" s="2677"/>
      <c r="M36" s="2890"/>
      <c r="N36" s="2678"/>
    </row>
    <row r="37" spans="1:78" s="1552" customFormat="1" ht="15.75" customHeight="1">
      <c r="A37" s="1529"/>
      <c r="B37" s="1721"/>
      <c r="C37" s="1721"/>
      <c r="D37" s="1721"/>
      <c r="E37" s="1721"/>
      <c r="F37" s="1721"/>
      <c r="G37" s="1721"/>
      <c r="H37" s="1721"/>
      <c r="I37" s="1721"/>
      <c r="J37" s="1721"/>
      <c r="K37" s="1721"/>
      <c r="L37" s="1721"/>
      <c r="M37" s="1721"/>
      <c r="N37" s="1719"/>
      <c r="O37" s="1577"/>
      <c r="P37" s="1718"/>
      <c r="Q37" s="1529"/>
      <c r="R37" s="1529"/>
      <c r="S37" s="1529"/>
      <c r="T37" s="1529"/>
      <c r="U37" s="1529"/>
      <c r="V37" s="1529"/>
      <c r="W37" s="1529"/>
      <c r="X37" s="1529"/>
      <c r="Y37" s="1529"/>
      <c r="Z37" s="1529"/>
      <c r="AA37" s="1529"/>
      <c r="AB37" s="1529"/>
      <c r="AC37" s="1529"/>
      <c r="AD37" s="1529"/>
      <c r="AE37" s="1529"/>
      <c r="AF37" s="1529"/>
      <c r="AG37" s="1529"/>
      <c r="AH37" s="1529"/>
      <c r="AI37" s="1529"/>
      <c r="AJ37" s="1529"/>
      <c r="AK37" s="1529"/>
      <c r="AL37" s="1529"/>
      <c r="AM37" s="1529"/>
      <c r="AN37" s="1529"/>
      <c r="AO37" s="1529"/>
      <c r="AP37" s="1529"/>
      <c r="AQ37" s="1529"/>
      <c r="AR37" s="1529"/>
      <c r="AS37" s="1529"/>
      <c r="AT37" s="1529"/>
      <c r="AU37" s="1529"/>
      <c r="AV37" s="1529"/>
      <c r="AW37" s="1529"/>
      <c r="AX37" s="1529"/>
      <c r="AY37" s="1529"/>
      <c r="AZ37" s="1529"/>
      <c r="BA37" s="1529"/>
      <c r="BB37" s="1529"/>
      <c r="BC37" s="1529"/>
      <c r="BD37" s="1529"/>
      <c r="BE37" s="1529"/>
      <c r="BF37" s="1529"/>
      <c r="BG37" s="1529"/>
      <c r="BH37" s="1529"/>
      <c r="BI37" s="1529"/>
      <c r="BJ37" s="1529"/>
      <c r="BK37" s="1529"/>
      <c r="BL37" s="1529"/>
      <c r="BM37" s="1529"/>
      <c r="BN37" s="1529"/>
      <c r="BO37" s="1529"/>
      <c r="BP37" s="1529"/>
      <c r="BQ37" s="1529"/>
      <c r="BR37" s="1529"/>
      <c r="BS37" s="1529"/>
      <c r="BT37" s="1529"/>
      <c r="BU37" s="1529"/>
      <c r="BV37" s="1529"/>
      <c r="BW37" s="1529"/>
      <c r="BX37" s="1529"/>
      <c r="BY37" s="1529"/>
      <c r="BZ37" s="1529"/>
    </row>
    <row r="38" spans="1:78" s="1552" customFormat="1" ht="15.75" customHeight="1">
      <c r="A38" s="1529"/>
      <c r="B38" s="1227" t="s">
        <v>1780</v>
      </c>
      <c r="C38" s="1225"/>
      <c r="D38" s="1225"/>
      <c r="E38" s="1225"/>
      <c r="F38" s="1225"/>
      <c r="G38" s="1225"/>
      <c r="H38" s="1721"/>
      <c r="I38" s="1721"/>
      <c r="J38" s="1721"/>
      <c r="K38" s="1721"/>
      <c r="L38" s="1721"/>
      <c r="M38" s="1721"/>
      <c r="N38" s="1719"/>
      <c r="O38" s="1577"/>
      <c r="P38" s="1718"/>
      <c r="Q38" s="1529"/>
      <c r="R38" s="1529"/>
      <c r="S38" s="1529"/>
      <c r="T38" s="1529"/>
      <c r="U38" s="1529"/>
      <c r="V38" s="1529"/>
      <c r="W38" s="1529"/>
      <c r="X38" s="1529"/>
      <c r="Y38" s="1529"/>
      <c r="Z38" s="1529"/>
      <c r="AA38" s="1529"/>
      <c r="AB38" s="1529"/>
      <c r="AC38" s="1529"/>
      <c r="AD38" s="1529"/>
      <c r="AE38" s="1529"/>
      <c r="AF38" s="1529"/>
      <c r="AG38" s="1529"/>
      <c r="AH38" s="1529"/>
      <c r="AI38" s="1529"/>
      <c r="AJ38" s="1529"/>
      <c r="AK38" s="1529"/>
      <c r="AL38" s="1529"/>
      <c r="AM38" s="1529"/>
      <c r="AN38" s="1529"/>
      <c r="AO38" s="1529"/>
      <c r="AP38" s="1529"/>
      <c r="AQ38" s="1529"/>
      <c r="AR38" s="1529"/>
      <c r="AS38" s="1529"/>
      <c r="AT38" s="1529"/>
      <c r="AU38" s="1529"/>
      <c r="AV38" s="1529"/>
      <c r="AW38" s="1529"/>
      <c r="AX38" s="1529"/>
      <c r="AY38" s="1529"/>
      <c r="AZ38" s="1529"/>
      <c r="BA38" s="1529"/>
      <c r="BB38" s="1529"/>
      <c r="BC38" s="1529"/>
      <c r="BD38" s="1529"/>
      <c r="BE38" s="1529"/>
      <c r="BF38" s="1529"/>
      <c r="BG38" s="1529"/>
      <c r="BH38" s="1529"/>
      <c r="BI38" s="1529"/>
      <c r="BJ38" s="1529"/>
      <c r="BK38" s="1529"/>
      <c r="BL38" s="1529"/>
      <c r="BM38" s="1529"/>
      <c r="BN38" s="1529"/>
      <c r="BO38" s="1529"/>
      <c r="BP38" s="1529"/>
      <c r="BQ38" s="1529"/>
      <c r="BR38" s="1529"/>
      <c r="BS38" s="1529"/>
      <c r="BT38" s="1529"/>
      <c r="BU38" s="1529"/>
      <c r="BV38" s="1529"/>
      <c r="BW38" s="1529"/>
      <c r="BX38" s="1529"/>
      <c r="BY38" s="1529"/>
      <c r="BZ38" s="1529"/>
    </row>
    <row r="39" spans="1:78" s="1552" customFormat="1" ht="15.75" customHeight="1">
      <c r="A39" s="1529"/>
      <c r="B39" s="1720"/>
      <c r="C39" s="1720"/>
      <c r="D39" s="1720"/>
      <c r="E39" s="1720"/>
      <c r="F39" s="1720"/>
      <c r="G39" s="1720"/>
      <c r="H39" s="1720"/>
      <c r="I39" s="1720"/>
      <c r="J39" s="1720"/>
      <c r="K39" s="1720"/>
      <c r="L39" s="1720"/>
      <c r="M39" s="1720"/>
      <c r="N39" s="1719"/>
      <c r="O39" s="1577"/>
      <c r="P39" s="1718"/>
      <c r="Q39" s="1529"/>
      <c r="R39" s="1529"/>
      <c r="S39" s="1529"/>
      <c r="T39" s="1529"/>
      <c r="U39" s="1529"/>
      <c r="V39" s="1529"/>
      <c r="W39" s="1529"/>
      <c r="X39" s="1529"/>
      <c r="Y39" s="1529"/>
      <c r="Z39" s="1529"/>
      <c r="AA39" s="1529"/>
      <c r="AB39" s="1529"/>
      <c r="AC39" s="1529"/>
      <c r="AD39" s="1529"/>
      <c r="AE39" s="1529"/>
      <c r="AF39" s="1529"/>
      <c r="AG39" s="1529"/>
      <c r="AH39" s="1529"/>
      <c r="AI39" s="1529"/>
      <c r="AJ39" s="1529"/>
      <c r="AK39" s="1529"/>
      <c r="AL39" s="1529"/>
      <c r="AM39" s="1529"/>
      <c r="AN39" s="1529"/>
      <c r="AO39" s="1529"/>
      <c r="AP39" s="1529"/>
      <c r="AQ39" s="1529"/>
      <c r="AR39" s="1529"/>
      <c r="AS39" s="1529"/>
      <c r="AT39" s="1529"/>
      <c r="AU39" s="1529"/>
      <c r="AV39" s="1529"/>
      <c r="AW39" s="1529"/>
      <c r="AX39" s="1529"/>
      <c r="AY39" s="1529"/>
      <c r="AZ39" s="1529"/>
      <c r="BA39" s="1529"/>
      <c r="BB39" s="1529"/>
      <c r="BC39" s="1529"/>
      <c r="BD39" s="1529"/>
      <c r="BE39" s="1529"/>
      <c r="BF39" s="1529"/>
      <c r="BG39" s="1529"/>
      <c r="BH39" s="1529"/>
      <c r="BI39" s="1529"/>
      <c r="BJ39" s="1529"/>
      <c r="BK39" s="1529"/>
      <c r="BL39" s="1529"/>
      <c r="BM39" s="1529"/>
      <c r="BN39" s="1529"/>
      <c r="BO39" s="1529"/>
      <c r="BP39" s="1529"/>
      <c r="BQ39" s="1529"/>
      <c r="BR39" s="1529"/>
      <c r="BS39" s="1529"/>
      <c r="BT39" s="1529"/>
      <c r="BU39" s="1529"/>
      <c r="BV39" s="1529"/>
      <c r="BW39" s="1529"/>
      <c r="BX39" s="1529"/>
      <c r="BY39" s="1529"/>
      <c r="BZ39" s="1529"/>
    </row>
    <row r="40" spans="1:78" s="1552" customFormat="1" ht="51">
      <c r="A40" s="1664"/>
      <c r="B40" s="1228" t="s">
        <v>1781</v>
      </c>
      <c r="C40" s="1325" t="s">
        <v>1626</v>
      </c>
      <c r="D40" s="1325" t="s">
        <v>1627</v>
      </c>
      <c r="E40" s="1228" t="s">
        <v>1628</v>
      </c>
      <c r="F40" s="1228" t="s">
        <v>1782</v>
      </c>
      <c r="G40" s="1228" t="s">
        <v>1783</v>
      </c>
      <c r="H40" s="1228" t="s">
        <v>1784</v>
      </c>
      <c r="I40" s="1228" t="s">
        <v>1785</v>
      </c>
      <c r="J40" s="1228" t="s">
        <v>2260</v>
      </c>
      <c r="K40" s="1228" t="s">
        <v>2259</v>
      </c>
      <c r="L40" s="1228" t="s">
        <v>2258</v>
      </c>
      <c r="M40" s="2879" t="s">
        <v>698</v>
      </c>
      <c r="N40" s="2880"/>
      <c r="O40" s="1662"/>
      <c r="P40" s="1662"/>
      <c r="Q40" s="1662"/>
      <c r="R40" s="1529"/>
      <c r="S40" s="1529"/>
      <c r="T40" s="1529"/>
      <c r="U40" s="1529"/>
      <c r="V40" s="1529"/>
      <c r="W40" s="1529"/>
      <c r="X40" s="1529"/>
      <c r="Y40" s="1529"/>
      <c r="Z40" s="1529"/>
      <c r="AA40" s="1529"/>
      <c r="AB40" s="1529"/>
      <c r="AC40" s="1529"/>
      <c r="AD40" s="1529"/>
      <c r="AE40" s="1529"/>
      <c r="AF40" s="1529"/>
      <c r="AG40" s="1529"/>
      <c r="AH40" s="1529"/>
      <c r="AI40" s="1529"/>
      <c r="AJ40" s="1529"/>
      <c r="AK40" s="1529"/>
      <c r="AL40" s="1529"/>
      <c r="AM40" s="1529"/>
      <c r="AN40" s="1529"/>
      <c r="AO40" s="1529"/>
      <c r="AP40" s="1529"/>
      <c r="AQ40" s="1529"/>
      <c r="AR40" s="1529"/>
      <c r="AS40" s="1529"/>
      <c r="AT40" s="1529"/>
      <c r="AU40" s="1529"/>
      <c r="AV40" s="1529"/>
      <c r="AW40" s="1529"/>
      <c r="AX40" s="1529"/>
      <c r="AY40" s="1529"/>
      <c r="AZ40" s="1529"/>
      <c r="BA40" s="1529"/>
      <c r="BB40" s="1529"/>
      <c r="BC40" s="1529"/>
      <c r="BD40" s="1529"/>
      <c r="BE40" s="1529"/>
      <c r="BF40" s="1529"/>
      <c r="BG40" s="1529"/>
      <c r="BH40" s="1529"/>
      <c r="BI40" s="1529"/>
      <c r="BJ40" s="1529"/>
      <c r="BK40" s="1529"/>
      <c r="BL40" s="1529"/>
      <c r="BM40" s="1529"/>
      <c r="BN40" s="1529"/>
      <c r="BO40" s="1529"/>
      <c r="BP40" s="1529"/>
      <c r="BQ40" s="1529"/>
      <c r="BR40" s="1529"/>
      <c r="BS40" s="1529"/>
      <c r="BT40" s="1529"/>
      <c r="BU40" s="1529"/>
      <c r="BV40" s="1529"/>
      <c r="BW40" s="1529"/>
      <c r="BX40" s="1529"/>
      <c r="BY40" s="1529"/>
    </row>
    <row r="41" spans="1:78" s="1552" customFormat="1" ht="29.25" customHeight="1">
      <c r="A41" s="1529"/>
      <c r="B41" s="1385"/>
      <c r="C41" s="1350"/>
      <c r="D41" s="1385"/>
      <c r="E41" s="1350"/>
      <c r="F41" s="1350"/>
      <c r="G41" s="1372"/>
      <c r="H41" s="1372"/>
      <c r="I41" s="1229">
        <f t="shared" ref="I41:I49" si="0">(2*F41)+(G41*H41)</f>
        <v>0</v>
      </c>
      <c r="J41" s="1229">
        <f t="shared" ref="J41:J49" si="1">0.3*I41</f>
        <v>0</v>
      </c>
      <c r="K41" s="940"/>
      <c r="L41" s="959" t="e">
        <f t="shared" ref="L41:L49" si="2">K41/I41</f>
        <v>#DIV/0!</v>
      </c>
      <c r="M41" s="2877"/>
      <c r="N41" s="2878"/>
      <c r="O41" s="1662"/>
      <c r="P41" s="1662"/>
      <c r="Q41" s="1662"/>
      <c r="R41" s="1529"/>
      <c r="S41" s="1529"/>
      <c r="T41" s="1529"/>
      <c r="U41" s="1529"/>
      <c r="V41" s="1529"/>
      <c r="W41" s="1529"/>
      <c r="X41" s="1529"/>
      <c r="Y41" s="1529"/>
      <c r="Z41" s="1529"/>
      <c r="AA41" s="1529"/>
      <c r="AB41" s="1529"/>
      <c r="AC41" s="1529"/>
      <c r="AD41" s="1529"/>
      <c r="AE41" s="1529"/>
      <c r="AF41" s="1529"/>
      <c r="AG41" s="1529"/>
      <c r="AH41" s="1529"/>
      <c r="AI41" s="1529"/>
      <c r="AJ41" s="1529"/>
      <c r="AK41" s="1529"/>
      <c r="AL41" s="1529"/>
      <c r="AM41" s="1529"/>
      <c r="AN41" s="1529"/>
      <c r="AO41" s="1529"/>
      <c r="AP41" s="1529"/>
      <c r="AQ41" s="1529"/>
      <c r="AR41" s="1529"/>
      <c r="AS41" s="1529"/>
      <c r="AT41" s="1529"/>
      <c r="AU41" s="1529"/>
      <c r="AV41" s="1529"/>
      <c r="AW41" s="1529"/>
      <c r="AX41" s="1529"/>
      <c r="AY41" s="1529"/>
      <c r="AZ41" s="1529"/>
      <c r="BA41" s="1529"/>
      <c r="BB41" s="1529"/>
      <c r="BC41" s="1529"/>
      <c r="BD41" s="1529"/>
      <c r="BE41" s="1529"/>
      <c r="BF41" s="1529"/>
      <c r="BG41" s="1529"/>
      <c r="BH41" s="1529"/>
      <c r="BI41" s="1529"/>
      <c r="BJ41" s="1529"/>
      <c r="BK41" s="1529"/>
      <c r="BL41" s="1529"/>
      <c r="BM41" s="1529"/>
      <c r="BN41" s="1529"/>
      <c r="BO41" s="1529"/>
      <c r="BP41" s="1529"/>
      <c r="BQ41" s="1529"/>
      <c r="BR41" s="1529"/>
      <c r="BS41" s="1529"/>
      <c r="BT41" s="1529"/>
      <c r="BU41" s="1529"/>
      <c r="BV41" s="1529"/>
      <c r="BW41" s="1529"/>
      <c r="BX41" s="1529"/>
      <c r="BY41" s="1529"/>
    </row>
    <row r="42" spans="1:78" s="1552" customFormat="1" ht="29.25" customHeight="1">
      <c r="A42" s="1529"/>
      <c r="B42" s="1385"/>
      <c r="C42" s="1350"/>
      <c r="D42" s="1385"/>
      <c r="E42" s="1350"/>
      <c r="F42" s="1350"/>
      <c r="G42" s="1372"/>
      <c r="H42" s="1372"/>
      <c r="I42" s="1229">
        <f t="shared" si="0"/>
        <v>0</v>
      </c>
      <c r="J42" s="1229">
        <f t="shared" si="1"/>
        <v>0</v>
      </c>
      <c r="K42" s="940"/>
      <c r="L42" s="1230" t="e">
        <f t="shared" si="2"/>
        <v>#DIV/0!</v>
      </c>
      <c r="M42" s="2877"/>
      <c r="N42" s="2878"/>
      <c r="O42" s="1662"/>
      <c r="P42" s="1662"/>
      <c r="Q42" s="1662"/>
      <c r="R42" s="1529"/>
      <c r="S42" s="1529"/>
      <c r="T42" s="1529"/>
      <c r="U42" s="1529"/>
      <c r="V42" s="1529"/>
      <c r="W42" s="1529"/>
      <c r="X42" s="1529"/>
      <c r="Y42" s="1529"/>
      <c r="Z42" s="1529"/>
      <c r="AA42" s="1529"/>
      <c r="AB42" s="1529"/>
      <c r="AC42" s="1529"/>
      <c r="AD42" s="1529"/>
      <c r="AE42" s="1529"/>
      <c r="AF42" s="1529"/>
      <c r="AG42" s="1529"/>
      <c r="AH42" s="1529"/>
      <c r="AI42" s="1529"/>
      <c r="AJ42" s="1529"/>
      <c r="AK42" s="1529"/>
      <c r="AL42" s="1529"/>
      <c r="AM42" s="1529"/>
      <c r="AN42" s="1529"/>
      <c r="AO42" s="1529"/>
      <c r="AP42" s="1529"/>
      <c r="AQ42" s="1529"/>
      <c r="AR42" s="1529"/>
      <c r="AS42" s="1529"/>
      <c r="AT42" s="1529"/>
      <c r="AU42" s="1529"/>
      <c r="AV42" s="1529"/>
      <c r="AW42" s="1529"/>
      <c r="AX42" s="1529"/>
      <c r="AY42" s="1529"/>
      <c r="AZ42" s="1529"/>
      <c r="BA42" s="1529"/>
      <c r="BB42" s="1529"/>
      <c r="BC42" s="1529"/>
      <c r="BD42" s="1529"/>
      <c r="BE42" s="1529"/>
      <c r="BF42" s="1529"/>
      <c r="BG42" s="1529"/>
      <c r="BH42" s="1529"/>
      <c r="BI42" s="1529"/>
      <c r="BJ42" s="1529"/>
      <c r="BK42" s="1529"/>
      <c r="BL42" s="1529"/>
      <c r="BM42" s="1529"/>
      <c r="BN42" s="1529"/>
      <c r="BO42" s="1529"/>
      <c r="BP42" s="1529"/>
      <c r="BQ42" s="1529"/>
      <c r="BR42" s="1529"/>
      <c r="BS42" s="1529"/>
      <c r="BT42" s="1529"/>
      <c r="BU42" s="1529"/>
      <c r="BV42" s="1529"/>
      <c r="BW42" s="1529"/>
      <c r="BX42" s="1529"/>
      <c r="BY42" s="1529"/>
    </row>
    <row r="43" spans="1:78" s="1552" customFormat="1" ht="29.25" customHeight="1">
      <c r="A43" s="1529"/>
      <c r="B43" s="1385"/>
      <c r="C43" s="1350"/>
      <c r="D43" s="1385"/>
      <c r="E43" s="1350"/>
      <c r="F43" s="1350"/>
      <c r="G43" s="1372"/>
      <c r="H43" s="1372"/>
      <c r="I43" s="1229">
        <f t="shared" si="0"/>
        <v>0</v>
      </c>
      <c r="J43" s="1229">
        <f t="shared" si="1"/>
        <v>0</v>
      </c>
      <c r="K43" s="940"/>
      <c r="L43" s="1230" t="e">
        <f t="shared" si="2"/>
        <v>#DIV/0!</v>
      </c>
      <c r="M43" s="2877"/>
      <c r="N43" s="2878"/>
      <c r="O43" s="1662"/>
      <c r="P43" s="1662"/>
      <c r="Q43" s="1662"/>
      <c r="R43" s="1529"/>
      <c r="S43" s="1529"/>
      <c r="T43" s="1529"/>
      <c r="U43" s="1529"/>
      <c r="V43" s="1529"/>
      <c r="W43" s="1529"/>
      <c r="X43" s="1529"/>
      <c r="Y43" s="1529"/>
      <c r="Z43" s="1529"/>
      <c r="AA43" s="1529"/>
      <c r="AB43" s="1529"/>
      <c r="AC43" s="1529"/>
      <c r="AD43" s="1529"/>
      <c r="AE43" s="1529"/>
      <c r="AF43" s="1529"/>
      <c r="AG43" s="1529"/>
      <c r="AH43" s="1529"/>
      <c r="AI43" s="1529"/>
      <c r="AJ43" s="1529"/>
      <c r="AK43" s="1529"/>
      <c r="AL43" s="1529"/>
      <c r="AM43" s="1529"/>
      <c r="AN43" s="1529"/>
      <c r="AO43" s="1529"/>
      <c r="AP43" s="1529"/>
      <c r="AQ43" s="1529"/>
      <c r="AR43" s="1529"/>
      <c r="AS43" s="1529"/>
      <c r="AT43" s="1529"/>
      <c r="AU43" s="1529"/>
      <c r="AV43" s="1529"/>
      <c r="AW43" s="1529"/>
      <c r="AX43" s="1529"/>
      <c r="AY43" s="1529"/>
      <c r="AZ43" s="1529"/>
      <c r="BA43" s="1529"/>
      <c r="BB43" s="1529"/>
      <c r="BC43" s="1529"/>
      <c r="BD43" s="1529"/>
      <c r="BE43" s="1529"/>
      <c r="BF43" s="1529"/>
      <c r="BG43" s="1529"/>
      <c r="BH43" s="1529"/>
      <c r="BI43" s="1529"/>
      <c r="BJ43" s="1529"/>
      <c r="BK43" s="1529"/>
      <c r="BL43" s="1529"/>
      <c r="BM43" s="1529"/>
      <c r="BN43" s="1529"/>
      <c r="BO43" s="1529"/>
      <c r="BP43" s="1529"/>
      <c r="BQ43" s="1529"/>
      <c r="BR43" s="1529"/>
      <c r="BS43" s="1529"/>
      <c r="BT43" s="1529"/>
      <c r="BU43" s="1529"/>
      <c r="BV43" s="1529"/>
      <c r="BW43" s="1529"/>
      <c r="BX43" s="1529"/>
      <c r="BY43" s="1529"/>
    </row>
    <row r="44" spans="1:78" s="1661" customFormat="1" ht="29.25" customHeight="1">
      <c r="A44" s="1540"/>
      <c r="B44" s="1385"/>
      <c r="C44" s="1350"/>
      <c r="D44" s="1385"/>
      <c r="E44" s="1350"/>
      <c r="F44" s="1350"/>
      <c r="G44" s="1372"/>
      <c r="H44" s="1372"/>
      <c r="I44" s="1229">
        <f t="shared" si="0"/>
        <v>0</v>
      </c>
      <c r="J44" s="1229">
        <f t="shared" si="1"/>
        <v>0</v>
      </c>
      <c r="K44" s="940"/>
      <c r="L44" s="1230" t="e">
        <f t="shared" si="2"/>
        <v>#DIV/0!</v>
      </c>
      <c r="M44" s="2877"/>
      <c r="N44" s="2878"/>
      <c r="O44" s="1662"/>
      <c r="P44" s="1662"/>
      <c r="Q44" s="1662"/>
      <c r="R44" s="1540"/>
      <c r="S44" s="1540"/>
      <c r="T44" s="1540"/>
      <c r="U44" s="1540"/>
      <c r="V44" s="1540"/>
      <c r="W44" s="1540"/>
      <c r="X44" s="1540"/>
      <c r="Y44" s="1540"/>
      <c r="Z44" s="1540"/>
      <c r="AA44" s="1540"/>
      <c r="AB44" s="1540"/>
      <c r="AC44" s="1540"/>
      <c r="AD44" s="1540"/>
      <c r="AE44" s="1540"/>
      <c r="AF44" s="1540"/>
      <c r="AG44" s="1540"/>
      <c r="AH44" s="1540"/>
      <c r="AI44" s="1540"/>
      <c r="AJ44" s="1540"/>
      <c r="AK44" s="1540"/>
      <c r="AL44" s="1540"/>
      <c r="AM44" s="1540"/>
      <c r="AN44" s="1540"/>
      <c r="AO44" s="1540"/>
      <c r="AP44" s="1540"/>
      <c r="AQ44" s="1540"/>
      <c r="AR44" s="1540"/>
      <c r="AS44" s="1540"/>
      <c r="AT44" s="1540"/>
      <c r="AU44" s="1540"/>
      <c r="AV44" s="1540"/>
      <c r="AW44" s="1540"/>
      <c r="AX44" s="1540"/>
      <c r="AY44" s="1540"/>
      <c r="AZ44" s="1540"/>
      <c r="BA44" s="1540"/>
      <c r="BB44" s="1540"/>
      <c r="BC44" s="1540"/>
      <c r="BD44" s="1540"/>
      <c r="BE44" s="1540"/>
      <c r="BF44" s="1540"/>
      <c r="BG44" s="1540"/>
      <c r="BH44" s="1540"/>
      <c r="BI44" s="1540"/>
      <c r="BJ44" s="1540"/>
      <c r="BK44" s="1540"/>
      <c r="BL44" s="1540"/>
      <c r="BM44" s="1540"/>
      <c r="BN44" s="1540"/>
      <c r="BO44" s="1540"/>
      <c r="BP44" s="1540"/>
      <c r="BQ44" s="1540"/>
      <c r="BR44" s="1540"/>
      <c r="BS44" s="1540"/>
      <c r="BT44" s="1540"/>
      <c r="BU44" s="1540"/>
      <c r="BV44" s="1540"/>
      <c r="BW44" s="1540"/>
      <c r="BX44" s="1540"/>
      <c r="BY44" s="1540"/>
    </row>
    <row r="45" spans="1:78" ht="29.25" customHeight="1">
      <c r="B45" s="941"/>
      <c r="C45" s="942"/>
      <c r="D45" s="1385"/>
      <c r="E45" s="942"/>
      <c r="F45" s="1350"/>
      <c r="G45" s="1372"/>
      <c r="H45" s="1372"/>
      <c r="I45" s="1229">
        <f t="shared" si="0"/>
        <v>0</v>
      </c>
      <c r="J45" s="1229">
        <f t="shared" si="1"/>
        <v>0</v>
      </c>
      <c r="K45" s="940"/>
      <c r="L45" s="1230" t="e">
        <f t="shared" si="2"/>
        <v>#DIV/0!</v>
      </c>
      <c r="M45" s="2877"/>
      <c r="N45" s="2878"/>
      <c r="O45" s="1662"/>
      <c r="P45" s="1662"/>
      <c r="Q45" s="1662"/>
      <c r="BZ45" s="1324"/>
    </row>
    <row r="46" spans="1:78" ht="29.25" customHeight="1">
      <c r="B46" s="941"/>
      <c r="C46" s="942"/>
      <c r="D46" s="1385"/>
      <c r="E46" s="942"/>
      <c r="F46" s="1350"/>
      <c r="G46" s="1372"/>
      <c r="H46" s="1372"/>
      <c r="I46" s="1229">
        <f t="shared" si="0"/>
        <v>0</v>
      </c>
      <c r="J46" s="1229">
        <f t="shared" si="1"/>
        <v>0</v>
      </c>
      <c r="K46" s="940"/>
      <c r="L46" s="1230" t="e">
        <f t="shared" si="2"/>
        <v>#DIV/0!</v>
      </c>
      <c r="M46" s="2877"/>
      <c r="N46" s="2878"/>
      <c r="O46" s="1662"/>
      <c r="P46" s="1662"/>
      <c r="Q46" s="1662"/>
      <c r="BZ46" s="1324"/>
    </row>
    <row r="47" spans="1:78" ht="29.25" customHeight="1">
      <c r="B47" s="941"/>
      <c r="C47" s="942"/>
      <c r="D47" s="1385"/>
      <c r="E47" s="942"/>
      <c r="F47" s="1350"/>
      <c r="G47" s="1372"/>
      <c r="H47" s="1372"/>
      <c r="I47" s="1229">
        <f t="shared" si="0"/>
        <v>0</v>
      </c>
      <c r="J47" s="1229">
        <f t="shared" si="1"/>
        <v>0</v>
      </c>
      <c r="K47" s="940"/>
      <c r="L47" s="1230" t="e">
        <f t="shared" si="2"/>
        <v>#DIV/0!</v>
      </c>
      <c r="M47" s="2877"/>
      <c r="N47" s="2878"/>
      <c r="O47" s="1662"/>
      <c r="P47" s="1662"/>
      <c r="Q47" s="1662"/>
      <c r="BZ47" s="1324"/>
    </row>
    <row r="48" spans="1:78" ht="29.25" customHeight="1">
      <c r="B48" s="942"/>
      <c r="C48" s="942"/>
      <c r="D48" s="942"/>
      <c r="E48" s="942"/>
      <c r="F48" s="942"/>
      <c r="G48" s="943"/>
      <c r="H48" s="943"/>
      <c r="I48" s="1229">
        <f t="shared" si="0"/>
        <v>0</v>
      </c>
      <c r="J48" s="1229">
        <f t="shared" si="1"/>
        <v>0</v>
      </c>
      <c r="K48" s="940"/>
      <c r="L48" s="1230" t="e">
        <f t="shared" si="2"/>
        <v>#DIV/0!</v>
      </c>
      <c r="M48" s="2877"/>
      <c r="N48" s="2878"/>
      <c r="O48" s="1662"/>
      <c r="P48" s="1662"/>
      <c r="Q48" s="1662"/>
      <c r="BZ48" s="1324"/>
    </row>
    <row r="49" spans="1:78" ht="29.25" customHeight="1">
      <c r="B49" s="942"/>
      <c r="C49" s="942"/>
      <c r="D49" s="942"/>
      <c r="E49" s="942"/>
      <c r="F49" s="942"/>
      <c r="G49" s="943"/>
      <c r="H49" s="943"/>
      <c r="I49" s="1229">
        <f t="shared" si="0"/>
        <v>0</v>
      </c>
      <c r="J49" s="1229">
        <f t="shared" si="1"/>
        <v>0</v>
      </c>
      <c r="K49" s="940"/>
      <c r="L49" s="1230" t="e">
        <f t="shared" si="2"/>
        <v>#DIV/0!</v>
      </c>
      <c r="M49" s="2877"/>
      <c r="N49" s="2878"/>
      <c r="O49" s="1662"/>
      <c r="P49" s="1662"/>
      <c r="Q49" s="1662"/>
      <c r="BZ49" s="1324"/>
    </row>
    <row r="50" spans="1:78">
      <c r="B50" s="1554"/>
    </row>
    <row r="51" spans="1:78">
      <c r="B51" s="1554"/>
    </row>
    <row r="52" spans="1:78">
      <c r="B52" s="1554"/>
      <c r="C52" s="1554"/>
      <c r="D52" s="1554"/>
      <c r="E52" s="1554"/>
      <c r="F52" s="1554"/>
      <c r="G52" s="1554"/>
      <c r="H52" s="1554"/>
      <c r="I52" s="1554"/>
      <c r="J52" s="1554"/>
      <c r="K52" s="1554"/>
      <c r="L52" s="1554"/>
      <c r="M52" s="1554"/>
      <c r="N52" s="1554"/>
    </row>
    <row r="53" spans="1:78">
      <c r="B53" s="1554"/>
      <c r="C53" s="1554"/>
      <c r="D53" s="1554"/>
      <c r="E53" s="1554"/>
      <c r="F53" s="1554"/>
      <c r="G53" s="1554"/>
      <c r="H53" s="1554"/>
      <c r="I53" s="1554"/>
      <c r="J53" s="1554"/>
      <c r="K53" s="1554"/>
      <c r="L53" s="1554"/>
      <c r="M53" s="1554"/>
      <c r="N53" s="1554"/>
      <c r="P53" s="1717" t="s">
        <v>362</v>
      </c>
    </row>
    <row r="54" spans="1:78">
      <c r="P54" s="1717" t="s">
        <v>364</v>
      </c>
    </row>
    <row r="55" spans="1:78" ht="25.5">
      <c r="C55" s="1524"/>
      <c r="P55" s="1717" t="s">
        <v>363</v>
      </c>
    </row>
    <row r="56" spans="1:78" ht="25.5">
      <c r="C56" s="1524"/>
      <c r="P56" s="1716"/>
    </row>
    <row r="57" spans="1:78" ht="25.5">
      <c r="C57" s="1524"/>
    </row>
    <row r="59" spans="1:78" ht="25.5" customHeight="1"/>
    <row r="60" spans="1:78" ht="27" customHeight="1"/>
    <row r="63" spans="1:78" s="1714" customFormat="1" ht="25.5" customHeight="1">
      <c r="A63" s="1715"/>
      <c r="B63" s="1324"/>
      <c r="C63" s="1324"/>
      <c r="D63" s="1324"/>
      <c r="E63" s="1324"/>
      <c r="F63" s="1324"/>
      <c r="G63" s="1324"/>
      <c r="H63" s="1324"/>
      <c r="I63" s="1324"/>
      <c r="J63" s="1324"/>
      <c r="K63" s="1324"/>
      <c r="L63" s="1324"/>
      <c r="M63" s="1324"/>
      <c r="N63" s="795"/>
      <c r="O63" s="1715"/>
      <c r="P63" s="1715"/>
      <c r="Q63" s="1715"/>
      <c r="R63" s="1715"/>
      <c r="S63" s="1715"/>
      <c r="T63" s="1715"/>
      <c r="U63" s="1715"/>
      <c r="V63" s="1715"/>
      <c r="W63" s="1715"/>
      <c r="X63" s="1715"/>
      <c r="Y63" s="1715"/>
      <c r="Z63" s="1715"/>
      <c r="AA63" s="1715"/>
      <c r="AB63" s="1715"/>
      <c r="AC63" s="1715"/>
      <c r="AD63" s="1715"/>
      <c r="AE63" s="1715"/>
      <c r="AF63" s="1715"/>
      <c r="AG63" s="1715"/>
      <c r="AH63" s="1715"/>
      <c r="AI63" s="1715"/>
      <c r="AJ63" s="1715"/>
      <c r="AK63" s="1715"/>
      <c r="AL63" s="1715"/>
      <c r="AM63" s="1715"/>
      <c r="AN63" s="1715"/>
      <c r="AO63" s="1715"/>
      <c r="AP63" s="1715"/>
      <c r="AQ63" s="1715"/>
      <c r="AR63" s="1715"/>
      <c r="AS63" s="1715"/>
      <c r="AT63" s="1715"/>
      <c r="AU63" s="1715"/>
      <c r="AV63" s="1715"/>
      <c r="AW63" s="1715"/>
      <c r="AX63" s="1715"/>
      <c r="AY63" s="1715"/>
      <c r="AZ63" s="1715"/>
      <c r="BA63" s="1715"/>
      <c r="BB63" s="1715"/>
      <c r="BC63" s="1715"/>
      <c r="BD63" s="1715"/>
      <c r="BE63" s="1715"/>
      <c r="BF63" s="1715"/>
      <c r="BG63" s="1715"/>
      <c r="BH63" s="1715"/>
      <c r="BI63" s="1715"/>
      <c r="BJ63" s="1715"/>
      <c r="BK63" s="1715"/>
      <c r="BL63" s="1715"/>
      <c r="BM63" s="1715"/>
      <c r="BN63" s="1715"/>
      <c r="BO63" s="1715"/>
      <c r="BP63" s="1715"/>
      <c r="BQ63" s="1715"/>
      <c r="BR63" s="1715"/>
      <c r="BS63" s="1715"/>
      <c r="BT63" s="1715"/>
      <c r="BU63" s="1715"/>
      <c r="BV63" s="1715"/>
      <c r="BW63" s="1715"/>
      <c r="BX63" s="1715"/>
      <c r="BY63" s="1715"/>
      <c r="BZ63" s="1715"/>
    </row>
    <row r="64" spans="1:78" ht="26.1" customHeight="1"/>
    <row r="65" spans="1:78" ht="26.1" customHeight="1"/>
    <row r="66" spans="1:78" s="1429" customFormat="1" ht="26.1" customHeight="1">
      <c r="A66" s="1713"/>
      <c r="B66" s="1324"/>
      <c r="C66" s="1324"/>
      <c r="D66" s="1324"/>
      <c r="E66" s="1324"/>
      <c r="F66" s="1324"/>
      <c r="G66" s="1324"/>
      <c r="H66" s="1324"/>
      <c r="I66" s="1324"/>
      <c r="J66" s="1324"/>
      <c r="K66" s="1324"/>
      <c r="L66" s="1324"/>
      <c r="M66" s="1324"/>
      <c r="N66" s="795"/>
      <c r="O66" s="1713"/>
      <c r="P66" s="1713"/>
      <c r="Q66" s="1713"/>
      <c r="R66" s="1713"/>
      <c r="S66" s="1713"/>
      <c r="T66" s="1713"/>
      <c r="U66" s="1713"/>
      <c r="V66" s="1713"/>
      <c r="W66" s="1713"/>
      <c r="X66" s="1713"/>
      <c r="Y66" s="1713"/>
      <c r="Z66" s="1713"/>
      <c r="AA66" s="1713"/>
      <c r="AB66" s="1713"/>
      <c r="AC66" s="1713"/>
      <c r="AD66" s="1713"/>
      <c r="AE66" s="1713"/>
      <c r="AF66" s="1713"/>
      <c r="AG66" s="1713"/>
      <c r="AH66" s="1713"/>
      <c r="AI66" s="1713"/>
      <c r="AJ66" s="1713"/>
      <c r="AK66" s="1713"/>
      <c r="AL66" s="1713"/>
      <c r="AM66" s="1713"/>
      <c r="AN66" s="1713"/>
      <c r="AO66" s="1713"/>
      <c r="AP66" s="1713"/>
      <c r="AQ66" s="1713"/>
      <c r="AR66" s="1713"/>
      <c r="AS66" s="1713"/>
      <c r="AT66" s="1713"/>
      <c r="AU66" s="1713"/>
      <c r="AV66" s="1713"/>
      <c r="AW66" s="1713"/>
      <c r="AX66" s="1713"/>
      <c r="AY66" s="1713"/>
      <c r="AZ66" s="1713"/>
      <c r="BA66" s="1713"/>
      <c r="BB66" s="1713"/>
      <c r="BC66" s="1713"/>
      <c r="BD66" s="1713"/>
      <c r="BE66" s="1713"/>
      <c r="BF66" s="1713"/>
      <c r="BG66" s="1713"/>
      <c r="BH66" s="1713"/>
      <c r="BI66" s="1713"/>
      <c r="BJ66" s="1713"/>
      <c r="BK66" s="1713"/>
      <c r="BL66" s="1713"/>
      <c r="BM66" s="1713"/>
      <c r="BN66" s="1713"/>
      <c r="BO66" s="1713"/>
      <c r="BP66" s="1713"/>
      <c r="BQ66" s="1713"/>
      <c r="BR66" s="1713"/>
      <c r="BS66" s="1713"/>
      <c r="BT66" s="1713"/>
      <c r="BU66" s="1713"/>
      <c r="BV66" s="1713"/>
      <c r="BW66" s="1713"/>
      <c r="BX66" s="1713"/>
      <c r="BY66" s="1713"/>
      <c r="BZ66" s="1713"/>
    </row>
    <row r="67" spans="1:78" ht="26.1" customHeight="1"/>
    <row r="68" spans="1:78" ht="26.1" customHeight="1"/>
    <row r="69" spans="1:78" ht="26.1" customHeight="1"/>
    <row r="70" spans="1:78" ht="26.1" customHeight="1"/>
    <row r="71" spans="1:78" ht="26.1" customHeight="1"/>
    <row r="72" spans="1:78" ht="24" customHeight="1"/>
    <row r="73" spans="1:78" ht="24" customHeight="1"/>
    <row r="173" spans="2:2" ht="18">
      <c r="B173" s="794"/>
    </row>
  </sheetData>
  <sheetProtection formatCells="0" formatColumns="0" formatRows="0" insertColumns="0" insertRows="0"/>
  <mergeCells count="36">
    <mergeCell ref="B30:G30"/>
    <mergeCell ref="L9:M9"/>
    <mergeCell ref="B36:J36"/>
    <mergeCell ref="B35:J35"/>
    <mergeCell ref="B34:J34"/>
    <mergeCell ref="C33:G33"/>
    <mergeCell ref="C32:G32"/>
    <mergeCell ref="J7:K7"/>
    <mergeCell ref="J5:K5"/>
    <mergeCell ref="J6:K6"/>
    <mergeCell ref="B9:I9"/>
    <mergeCell ref="B28:K28"/>
    <mergeCell ref="J9:K9"/>
    <mergeCell ref="B10:I10"/>
    <mergeCell ref="B11:I11"/>
    <mergeCell ref="B12:I12"/>
    <mergeCell ref="J8:K8"/>
    <mergeCell ref="L5:N5"/>
    <mergeCell ref="L6:N6"/>
    <mergeCell ref="L7:N7"/>
    <mergeCell ref="L32:M32"/>
    <mergeCell ref="M46:N46"/>
    <mergeCell ref="L34:N34"/>
    <mergeCell ref="L35:N35"/>
    <mergeCell ref="L36:N36"/>
    <mergeCell ref="L8:N8"/>
    <mergeCell ref="L33:N33"/>
    <mergeCell ref="M47:N47"/>
    <mergeCell ref="M48:N48"/>
    <mergeCell ref="M49:N49"/>
    <mergeCell ref="M40:N40"/>
    <mergeCell ref="M41:N41"/>
    <mergeCell ref="M42:N42"/>
    <mergeCell ref="M43:N43"/>
    <mergeCell ref="M44:N44"/>
    <mergeCell ref="M45:N45"/>
  </mergeCells>
  <conditionalFormatting sqref="L41:L49">
    <cfRule type="cellIs" dxfId="17" priority="3" stopIfTrue="1" operator="greaterThan">
      <formula>0.3</formula>
    </cfRule>
    <cfRule type="cellIs" dxfId="16" priority="4" stopIfTrue="1" operator="greaterThan">
      <formula>0.3</formula>
    </cfRule>
  </conditionalFormatting>
  <conditionalFormatting sqref="L41:L49">
    <cfRule type="cellIs" dxfId="15" priority="1" stopIfTrue="1" operator="greaterThan">
      <formula>0.3</formula>
    </cfRule>
    <cfRule type="cellIs" dxfId="14" priority="2" stopIfTrue="1" operator="greaterThan">
      <formula>0.3</formula>
    </cfRule>
  </conditionalFormatting>
  <dataValidations count="1">
    <dataValidation type="list" allowBlank="1" showInputMessage="1" showErrorMessage="1" sqref="J30 JF30 TB30 ACX30 AMT30 AWP30 BGL30 BQH30 CAD30 CJZ30 CTV30 DDR30 DNN30 DXJ30 EHF30 ERB30 FAX30 FKT30 FUP30 GEL30 GOH30 GYD30 HHZ30 HRV30 IBR30 ILN30 IVJ30 JFF30 JPB30 JYX30 KIT30 KSP30 LCL30 LMH30 LWD30 MFZ30 MPV30 MZR30 NJN30 NTJ30 ODF30 ONB30 OWX30 PGT30 PQP30 QAL30 QKH30 QUD30 RDZ30 RNV30 RXR30 SHN30 SRJ30 TBF30 TLB30 TUX30 UET30 UOP30 UYL30 VIH30 VSD30 WBZ30 WLV30 WVR30 J65566 JF65566 TB65566 ACX65566 AMT65566 AWP65566 BGL65566 BQH65566 CAD65566 CJZ65566 CTV65566 DDR65566 DNN65566 DXJ65566 EHF65566 ERB65566 FAX65566 FKT65566 FUP65566 GEL65566 GOH65566 GYD65566 HHZ65566 HRV65566 IBR65566 ILN65566 IVJ65566 JFF65566 JPB65566 JYX65566 KIT65566 KSP65566 LCL65566 LMH65566 LWD65566 MFZ65566 MPV65566 MZR65566 NJN65566 NTJ65566 ODF65566 ONB65566 OWX65566 PGT65566 PQP65566 QAL65566 QKH65566 QUD65566 RDZ65566 RNV65566 RXR65566 SHN65566 SRJ65566 TBF65566 TLB65566 TUX65566 UET65566 UOP65566 UYL65566 VIH65566 VSD65566 WBZ65566 WLV65566 WVR65566 J131102 JF131102 TB131102 ACX131102 AMT131102 AWP131102 BGL131102 BQH131102 CAD131102 CJZ131102 CTV131102 DDR131102 DNN131102 DXJ131102 EHF131102 ERB131102 FAX131102 FKT131102 FUP131102 GEL131102 GOH131102 GYD131102 HHZ131102 HRV131102 IBR131102 ILN131102 IVJ131102 JFF131102 JPB131102 JYX131102 KIT131102 KSP131102 LCL131102 LMH131102 LWD131102 MFZ131102 MPV131102 MZR131102 NJN131102 NTJ131102 ODF131102 ONB131102 OWX131102 PGT131102 PQP131102 QAL131102 QKH131102 QUD131102 RDZ131102 RNV131102 RXR131102 SHN131102 SRJ131102 TBF131102 TLB131102 TUX131102 UET131102 UOP131102 UYL131102 VIH131102 VSD131102 WBZ131102 WLV131102 WVR131102 J196638 JF196638 TB196638 ACX196638 AMT196638 AWP196638 BGL196638 BQH196638 CAD196638 CJZ196638 CTV196638 DDR196638 DNN196638 DXJ196638 EHF196638 ERB196638 FAX196638 FKT196638 FUP196638 GEL196638 GOH196638 GYD196638 HHZ196638 HRV196638 IBR196638 ILN196638 IVJ196638 JFF196638 JPB196638 JYX196638 KIT196638 KSP196638 LCL196638 LMH196638 LWD196638 MFZ196638 MPV196638 MZR196638 NJN196638 NTJ196638 ODF196638 ONB196638 OWX196638 PGT196638 PQP196638 QAL196638 QKH196638 QUD196638 RDZ196638 RNV196638 RXR196638 SHN196638 SRJ196638 TBF196638 TLB196638 TUX196638 UET196638 UOP196638 UYL196638 VIH196638 VSD196638 WBZ196638 WLV196638 WVR196638 J262174 JF262174 TB262174 ACX262174 AMT262174 AWP262174 BGL262174 BQH262174 CAD262174 CJZ262174 CTV262174 DDR262174 DNN262174 DXJ262174 EHF262174 ERB262174 FAX262174 FKT262174 FUP262174 GEL262174 GOH262174 GYD262174 HHZ262174 HRV262174 IBR262174 ILN262174 IVJ262174 JFF262174 JPB262174 JYX262174 KIT262174 KSP262174 LCL262174 LMH262174 LWD262174 MFZ262174 MPV262174 MZR262174 NJN262174 NTJ262174 ODF262174 ONB262174 OWX262174 PGT262174 PQP262174 QAL262174 QKH262174 QUD262174 RDZ262174 RNV262174 RXR262174 SHN262174 SRJ262174 TBF262174 TLB262174 TUX262174 UET262174 UOP262174 UYL262174 VIH262174 VSD262174 WBZ262174 WLV262174 WVR262174 J327710 JF327710 TB327710 ACX327710 AMT327710 AWP327710 BGL327710 BQH327710 CAD327710 CJZ327710 CTV327710 DDR327710 DNN327710 DXJ327710 EHF327710 ERB327710 FAX327710 FKT327710 FUP327710 GEL327710 GOH327710 GYD327710 HHZ327710 HRV327710 IBR327710 ILN327710 IVJ327710 JFF327710 JPB327710 JYX327710 KIT327710 KSP327710 LCL327710 LMH327710 LWD327710 MFZ327710 MPV327710 MZR327710 NJN327710 NTJ327710 ODF327710 ONB327710 OWX327710 PGT327710 PQP327710 QAL327710 QKH327710 QUD327710 RDZ327710 RNV327710 RXR327710 SHN327710 SRJ327710 TBF327710 TLB327710 TUX327710 UET327710 UOP327710 UYL327710 VIH327710 VSD327710 WBZ327710 WLV327710 WVR327710 J393246 JF393246 TB393246 ACX393246 AMT393246 AWP393246 BGL393246 BQH393246 CAD393246 CJZ393246 CTV393246 DDR393246 DNN393246 DXJ393246 EHF393246 ERB393246 FAX393246 FKT393246 FUP393246 GEL393246 GOH393246 GYD393246 HHZ393246 HRV393246 IBR393246 ILN393246 IVJ393246 JFF393246 JPB393246 JYX393246 KIT393246 KSP393246 LCL393246 LMH393246 LWD393246 MFZ393246 MPV393246 MZR393246 NJN393246 NTJ393246 ODF393246 ONB393246 OWX393246 PGT393246 PQP393246 QAL393246 QKH393246 QUD393246 RDZ393246 RNV393246 RXR393246 SHN393246 SRJ393246 TBF393246 TLB393246 TUX393246 UET393246 UOP393246 UYL393246 VIH393246 VSD393246 WBZ393246 WLV393246 WVR393246 J458782 JF458782 TB458782 ACX458782 AMT458782 AWP458782 BGL458782 BQH458782 CAD458782 CJZ458782 CTV458782 DDR458782 DNN458782 DXJ458782 EHF458782 ERB458782 FAX458782 FKT458782 FUP458782 GEL458782 GOH458782 GYD458782 HHZ458782 HRV458782 IBR458782 ILN458782 IVJ458782 JFF458782 JPB458782 JYX458782 KIT458782 KSP458782 LCL458782 LMH458782 LWD458782 MFZ458782 MPV458782 MZR458782 NJN458782 NTJ458782 ODF458782 ONB458782 OWX458782 PGT458782 PQP458782 QAL458782 QKH458782 QUD458782 RDZ458782 RNV458782 RXR458782 SHN458782 SRJ458782 TBF458782 TLB458782 TUX458782 UET458782 UOP458782 UYL458782 VIH458782 VSD458782 WBZ458782 WLV458782 WVR458782 J524318 JF524318 TB524318 ACX524318 AMT524318 AWP524318 BGL524318 BQH524318 CAD524318 CJZ524318 CTV524318 DDR524318 DNN524318 DXJ524318 EHF524318 ERB524318 FAX524318 FKT524318 FUP524318 GEL524318 GOH524318 GYD524318 HHZ524318 HRV524318 IBR524318 ILN524318 IVJ524318 JFF524318 JPB524318 JYX524318 KIT524318 KSP524318 LCL524318 LMH524318 LWD524318 MFZ524318 MPV524318 MZR524318 NJN524318 NTJ524318 ODF524318 ONB524318 OWX524318 PGT524318 PQP524318 QAL524318 QKH524318 QUD524318 RDZ524318 RNV524318 RXR524318 SHN524318 SRJ524318 TBF524318 TLB524318 TUX524318 UET524318 UOP524318 UYL524318 VIH524318 VSD524318 WBZ524318 WLV524318 WVR524318 J589854 JF589854 TB589854 ACX589854 AMT589854 AWP589854 BGL589854 BQH589854 CAD589854 CJZ589854 CTV589854 DDR589854 DNN589854 DXJ589854 EHF589854 ERB589854 FAX589854 FKT589854 FUP589854 GEL589854 GOH589854 GYD589854 HHZ589854 HRV589854 IBR589854 ILN589854 IVJ589854 JFF589854 JPB589854 JYX589854 KIT589854 KSP589854 LCL589854 LMH589854 LWD589854 MFZ589854 MPV589854 MZR589854 NJN589854 NTJ589854 ODF589854 ONB589854 OWX589854 PGT589854 PQP589854 QAL589854 QKH589854 QUD589854 RDZ589854 RNV589854 RXR589854 SHN589854 SRJ589854 TBF589854 TLB589854 TUX589854 UET589854 UOP589854 UYL589854 VIH589854 VSD589854 WBZ589854 WLV589854 WVR589854 J655390 JF655390 TB655390 ACX655390 AMT655390 AWP655390 BGL655390 BQH655390 CAD655390 CJZ655390 CTV655390 DDR655390 DNN655390 DXJ655390 EHF655390 ERB655390 FAX655390 FKT655390 FUP655390 GEL655390 GOH655390 GYD655390 HHZ655390 HRV655390 IBR655390 ILN655390 IVJ655390 JFF655390 JPB655390 JYX655390 KIT655390 KSP655390 LCL655390 LMH655390 LWD655390 MFZ655390 MPV655390 MZR655390 NJN655390 NTJ655390 ODF655390 ONB655390 OWX655390 PGT655390 PQP655390 QAL655390 QKH655390 QUD655390 RDZ655390 RNV655390 RXR655390 SHN655390 SRJ655390 TBF655390 TLB655390 TUX655390 UET655390 UOP655390 UYL655390 VIH655390 VSD655390 WBZ655390 WLV655390 WVR655390 J720926 JF720926 TB720926 ACX720926 AMT720926 AWP720926 BGL720926 BQH720926 CAD720926 CJZ720926 CTV720926 DDR720926 DNN720926 DXJ720926 EHF720926 ERB720926 FAX720926 FKT720926 FUP720926 GEL720926 GOH720926 GYD720926 HHZ720926 HRV720926 IBR720926 ILN720926 IVJ720926 JFF720926 JPB720926 JYX720926 KIT720926 KSP720926 LCL720926 LMH720926 LWD720926 MFZ720926 MPV720926 MZR720926 NJN720926 NTJ720926 ODF720926 ONB720926 OWX720926 PGT720926 PQP720926 QAL720926 QKH720926 QUD720926 RDZ720926 RNV720926 RXR720926 SHN720926 SRJ720926 TBF720926 TLB720926 TUX720926 UET720926 UOP720926 UYL720926 VIH720926 VSD720926 WBZ720926 WLV720926 WVR720926 J786462 JF786462 TB786462 ACX786462 AMT786462 AWP786462 BGL786462 BQH786462 CAD786462 CJZ786462 CTV786462 DDR786462 DNN786462 DXJ786462 EHF786462 ERB786462 FAX786462 FKT786462 FUP786462 GEL786462 GOH786462 GYD786462 HHZ786462 HRV786462 IBR786462 ILN786462 IVJ786462 JFF786462 JPB786462 JYX786462 KIT786462 KSP786462 LCL786462 LMH786462 LWD786462 MFZ786462 MPV786462 MZR786462 NJN786462 NTJ786462 ODF786462 ONB786462 OWX786462 PGT786462 PQP786462 QAL786462 QKH786462 QUD786462 RDZ786462 RNV786462 RXR786462 SHN786462 SRJ786462 TBF786462 TLB786462 TUX786462 UET786462 UOP786462 UYL786462 VIH786462 VSD786462 WBZ786462 WLV786462 WVR786462 J851998 JF851998 TB851998 ACX851998 AMT851998 AWP851998 BGL851998 BQH851998 CAD851998 CJZ851998 CTV851998 DDR851998 DNN851998 DXJ851998 EHF851998 ERB851998 FAX851998 FKT851998 FUP851998 GEL851998 GOH851998 GYD851998 HHZ851998 HRV851998 IBR851998 ILN851998 IVJ851998 JFF851998 JPB851998 JYX851998 KIT851998 KSP851998 LCL851998 LMH851998 LWD851998 MFZ851998 MPV851998 MZR851998 NJN851998 NTJ851998 ODF851998 ONB851998 OWX851998 PGT851998 PQP851998 QAL851998 QKH851998 QUD851998 RDZ851998 RNV851998 RXR851998 SHN851998 SRJ851998 TBF851998 TLB851998 TUX851998 UET851998 UOP851998 UYL851998 VIH851998 VSD851998 WBZ851998 WLV851998 WVR851998 J917534 JF917534 TB917534 ACX917534 AMT917534 AWP917534 BGL917534 BQH917534 CAD917534 CJZ917534 CTV917534 DDR917534 DNN917534 DXJ917534 EHF917534 ERB917534 FAX917534 FKT917534 FUP917534 GEL917534 GOH917534 GYD917534 HHZ917534 HRV917534 IBR917534 ILN917534 IVJ917534 JFF917534 JPB917534 JYX917534 KIT917534 KSP917534 LCL917534 LMH917534 LWD917534 MFZ917534 MPV917534 MZR917534 NJN917534 NTJ917534 ODF917534 ONB917534 OWX917534 PGT917534 PQP917534 QAL917534 QKH917534 QUD917534 RDZ917534 RNV917534 RXR917534 SHN917534 SRJ917534 TBF917534 TLB917534 TUX917534 UET917534 UOP917534 UYL917534 VIH917534 VSD917534 WBZ917534 WLV917534 WVR917534 J983070 JF983070 TB983070 ACX983070 AMT983070 AWP983070 BGL983070 BQH983070 CAD983070 CJZ983070 CTV983070 DDR983070 DNN983070 DXJ983070 EHF983070 ERB983070 FAX983070 FKT983070 FUP983070 GEL983070 GOH983070 GYD983070 HHZ983070 HRV983070 IBR983070 ILN983070 IVJ983070 JFF983070 JPB983070 JYX983070 KIT983070 KSP983070 LCL983070 LMH983070 LWD983070 MFZ983070 MPV983070 MZR983070 NJN983070 NTJ983070 ODF983070 ONB983070 OWX983070 PGT983070 PQP983070 QAL983070 QKH983070 QUD983070 RDZ983070 RNV983070 RXR983070 SHN983070 SRJ983070 TBF983070 TLB983070 TUX983070 UET983070 UOP983070 UYL983070 VIH983070 VSD983070 WBZ983070 WLV983070 WVR983070 J33 JF33 TB33 ACX33 AMT33 AWP33 BGL33 BQH33 CAD33 CJZ33 CTV33 DDR33 DNN33 DXJ33 EHF33 ERB33 FAX33 FKT33 FUP33 GEL33 GOH33 GYD33 HHZ33 HRV33 IBR33 ILN33 IVJ33 JFF33 JPB33 JYX33 KIT33 KSP33 LCL33 LMH33 LWD33 MFZ33 MPV33 MZR33 NJN33 NTJ33 ODF33 ONB33 OWX33 PGT33 PQP33 QAL33 QKH33 QUD33 RDZ33 RNV33 RXR33 SHN33 SRJ33 TBF33 TLB33 TUX33 UET33 UOP33 UYL33 VIH33 VSD33 WBZ33 WLV33 WVR33 J65569 JF65569 TB65569 ACX65569 AMT65569 AWP65569 BGL65569 BQH65569 CAD65569 CJZ65569 CTV65569 DDR65569 DNN65569 DXJ65569 EHF65569 ERB65569 FAX65569 FKT65569 FUP65569 GEL65569 GOH65569 GYD65569 HHZ65569 HRV65569 IBR65569 ILN65569 IVJ65569 JFF65569 JPB65569 JYX65569 KIT65569 KSP65569 LCL65569 LMH65569 LWD65569 MFZ65569 MPV65569 MZR65569 NJN65569 NTJ65569 ODF65569 ONB65569 OWX65569 PGT65569 PQP65569 QAL65569 QKH65569 QUD65569 RDZ65569 RNV65569 RXR65569 SHN65569 SRJ65569 TBF65569 TLB65569 TUX65569 UET65569 UOP65569 UYL65569 VIH65569 VSD65569 WBZ65569 WLV65569 WVR65569 J131105 JF131105 TB131105 ACX131105 AMT131105 AWP131105 BGL131105 BQH131105 CAD131105 CJZ131105 CTV131105 DDR131105 DNN131105 DXJ131105 EHF131105 ERB131105 FAX131105 FKT131105 FUP131105 GEL131105 GOH131105 GYD131105 HHZ131105 HRV131105 IBR131105 ILN131105 IVJ131105 JFF131105 JPB131105 JYX131105 KIT131105 KSP131105 LCL131105 LMH131105 LWD131105 MFZ131105 MPV131105 MZR131105 NJN131105 NTJ131105 ODF131105 ONB131105 OWX131105 PGT131105 PQP131105 QAL131105 QKH131105 QUD131105 RDZ131105 RNV131105 RXR131105 SHN131105 SRJ131105 TBF131105 TLB131105 TUX131105 UET131105 UOP131105 UYL131105 VIH131105 VSD131105 WBZ131105 WLV131105 WVR131105 J196641 JF196641 TB196641 ACX196641 AMT196641 AWP196641 BGL196641 BQH196641 CAD196641 CJZ196641 CTV196641 DDR196641 DNN196641 DXJ196641 EHF196641 ERB196641 FAX196641 FKT196641 FUP196641 GEL196641 GOH196641 GYD196641 HHZ196641 HRV196641 IBR196641 ILN196641 IVJ196641 JFF196641 JPB196641 JYX196641 KIT196641 KSP196641 LCL196641 LMH196641 LWD196641 MFZ196641 MPV196641 MZR196641 NJN196641 NTJ196641 ODF196641 ONB196641 OWX196641 PGT196641 PQP196641 QAL196641 QKH196641 QUD196641 RDZ196641 RNV196641 RXR196641 SHN196641 SRJ196641 TBF196641 TLB196641 TUX196641 UET196641 UOP196641 UYL196641 VIH196641 VSD196641 WBZ196641 WLV196641 WVR196641 J262177 JF262177 TB262177 ACX262177 AMT262177 AWP262177 BGL262177 BQH262177 CAD262177 CJZ262177 CTV262177 DDR262177 DNN262177 DXJ262177 EHF262177 ERB262177 FAX262177 FKT262177 FUP262177 GEL262177 GOH262177 GYD262177 HHZ262177 HRV262177 IBR262177 ILN262177 IVJ262177 JFF262177 JPB262177 JYX262177 KIT262177 KSP262177 LCL262177 LMH262177 LWD262177 MFZ262177 MPV262177 MZR262177 NJN262177 NTJ262177 ODF262177 ONB262177 OWX262177 PGT262177 PQP262177 QAL262177 QKH262177 QUD262177 RDZ262177 RNV262177 RXR262177 SHN262177 SRJ262177 TBF262177 TLB262177 TUX262177 UET262177 UOP262177 UYL262177 VIH262177 VSD262177 WBZ262177 WLV262177 WVR262177 J327713 JF327713 TB327713 ACX327713 AMT327713 AWP327713 BGL327713 BQH327713 CAD327713 CJZ327713 CTV327713 DDR327713 DNN327713 DXJ327713 EHF327713 ERB327713 FAX327713 FKT327713 FUP327713 GEL327713 GOH327713 GYD327713 HHZ327713 HRV327713 IBR327713 ILN327713 IVJ327713 JFF327713 JPB327713 JYX327713 KIT327713 KSP327713 LCL327713 LMH327713 LWD327713 MFZ327713 MPV327713 MZR327713 NJN327713 NTJ327713 ODF327713 ONB327713 OWX327713 PGT327713 PQP327713 QAL327713 QKH327713 QUD327713 RDZ327713 RNV327713 RXR327713 SHN327713 SRJ327713 TBF327713 TLB327713 TUX327713 UET327713 UOP327713 UYL327713 VIH327713 VSD327713 WBZ327713 WLV327713 WVR327713 J393249 JF393249 TB393249 ACX393249 AMT393249 AWP393249 BGL393249 BQH393249 CAD393249 CJZ393249 CTV393249 DDR393249 DNN393249 DXJ393249 EHF393249 ERB393249 FAX393249 FKT393249 FUP393249 GEL393249 GOH393249 GYD393249 HHZ393249 HRV393249 IBR393249 ILN393249 IVJ393249 JFF393249 JPB393249 JYX393249 KIT393249 KSP393249 LCL393249 LMH393249 LWD393249 MFZ393249 MPV393249 MZR393249 NJN393249 NTJ393249 ODF393249 ONB393249 OWX393249 PGT393249 PQP393249 QAL393249 QKH393249 QUD393249 RDZ393249 RNV393249 RXR393249 SHN393249 SRJ393249 TBF393249 TLB393249 TUX393249 UET393249 UOP393249 UYL393249 VIH393249 VSD393249 WBZ393249 WLV393249 WVR393249 J458785 JF458785 TB458785 ACX458785 AMT458785 AWP458785 BGL458785 BQH458785 CAD458785 CJZ458785 CTV458785 DDR458785 DNN458785 DXJ458785 EHF458785 ERB458785 FAX458785 FKT458785 FUP458785 GEL458785 GOH458785 GYD458785 HHZ458785 HRV458785 IBR458785 ILN458785 IVJ458785 JFF458785 JPB458785 JYX458785 KIT458785 KSP458785 LCL458785 LMH458785 LWD458785 MFZ458785 MPV458785 MZR458785 NJN458785 NTJ458785 ODF458785 ONB458785 OWX458785 PGT458785 PQP458785 QAL458785 QKH458785 QUD458785 RDZ458785 RNV458785 RXR458785 SHN458785 SRJ458785 TBF458785 TLB458785 TUX458785 UET458785 UOP458785 UYL458785 VIH458785 VSD458785 WBZ458785 WLV458785 WVR458785 J524321 JF524321 TB524321 ACX524321 AMT524321 AWP524321 BGL524321 BQH524321 CAD524321 CJZ524321 CTV524321 DDR524321 DNN524321 DXJ524321 EHF524321 ERB524321 FAX524321 FKT524321 FUP524321 GEL524321 GOH524321 GYD524321 HHZ524321 HRV524321 IBR524321 ILN524321 IVJ524321 JFF524321 JPB524321 JYX524321 KIT524321 KSP524321 LCL524321 LMH524321 LWD524321 MFZ524321 MPV524321 MZR524321 NJN524321 NTJ524321 ODF524321 ONB524321 OWX524321 PGT524321 PQP524321 QAL524321 QKH524321 QUD524321 RDZ524321 RNV524321 RXR524321 SHN524321 SRJ524321 TBF524321 TLB524321 TUX524321 UET524321 UOP524321 UYL524321 VIH524321 VSD524321 WBZ524321 WLV524321 WVR524321 J589857 JF589857 TB589857 ACX589857 AMT589857 AWP589857 BGL589857 BQH589857 CAD589857 CJZ589857 CTV589857 DDR589857 DNN589857 DXJ589857 EHF589857 ERB589857 FAX589857 FKT589857 FUP589857 GEL589857 GOH589857 GYD589857 HHZ589857 HRV589857 IBR589857 ILN589857 IVJ589857 JFF589857 JPB589857 JYX589857 KIT589857 KSP589857 LCL589857 LMH589857 LWD589857 MFZ589857 MPV589857 MZR589857 NJN589857 NTJ589857 ODF589857 ONB589857 OWX589857 PGT589857 PQP589857 QAL589857 QKH589857 QUD589857 RDZ589857 RNV589857 RXR589857 SHN589857 SRJ589857 TBF589857 TLB589857 TUX589857 UET589857 UOP589857 UYL589857 VIH589857 VSD589857 WBZ589857 WLV589857 WVR589857 J655393 JF655393 TB655393 ACX655393 AMT655393 AWP655393 BGL655393 BQH655393 CAD655393 CJZ655393 CTV655393 DDR655393 DNN655393 DXJ655393 EHF655393 ERB655393 FAX655393 FKT655393 FUP655393 GEL655393 GOH655393 GYD655393 HHZ655393 HRV655393 IBR655393 ILN655393 IVJ655393 JFF655393 JPB655393 JYX655393 KIT655393 KSP655393 LCL655393 LMH655393 LWD655393 MFZ655393 MPV655393 MZR655393 NJN655393 NTJ655393 ODF655393 ONB655393 OWX655393 PGT655393 PQP655393 QAL655393 QKH655393 QUD655393 RDZ655393 RNV655393 RXR655393 SHN655393 SRJ655393 TBF655393 TLB655393 TUX655393 UET655393 UOP655393 UYL655393 VIH655393 VSD655393 WBZ655393 WLV655393 WVR655393 J720929 JF720929 TB720929 ACX720929 AMT720929 AWP720929 BGL720929 BQH720929 CAD720929 CJZ720929 CTV720929 DDR720929 DNN720929 DXJ720929 EHF720929 ERB720929 FAX720929 FKT720929 FUP720929 GEL720929 GOH720929 GYD720929 HHZ720929 HRV720929 IBR720929 ILN720929 IVJ720929 JFF720929 JPB720929 JYX720929 KIT720929 KSP720929 LCL720929 LMH720929 LWD720929 MFZ720929 MPV720929 MZR720929 NJN720929 NTJ720929 ODF720929 ONB720929 OWX720929 PGT720929 PQP720929 QAL720929 QKH720929 QUD720929 RDZ720929 RNV720929 RXR720929 SHN720929 SRJ720929 TBF720929 TLB720929 TUX720929 UET720929 UOP720929 UYL720929 VIH720929 VSD720929 WBZ720929 WLV720929 WVR720929 J786465 JF786465 TB786465 ACX786465 AMT786465 AWP786465 BGL786465 BQH786465 CAD786465 CJZ786465 CTV786465 DDR786465 DNN786465 DXJ786465 EHF786465 ERB786465 FAX786465 FKT786465 FUP786465 GEL786465 GOH786465 GYD786465 HHZ786465 HRV786465 IBR786465 ILN786465 IVJ786465 JFF786465 JPB786465 JYX786465 KIT786465 KSP786465 LCL786465 LMH786465 LWD786465 MFZ786465 MPV786465 MZR786465 NJN786465 NTJ786465 ODF786465 ONB786465 OWX786465 PGT786465 PQP786465 QAL786465 QKH786465 QUD786465 RDZ786465 RNV786465 RXR786465 SHN786465 SRJ786465 TBF786465 TLB786465 TUX786465 UET786465 UOP786465 UYL786465 VIH786465 VSD786465 WBZ786465 WLV786465 WVR786465 J852001 JF852001 TB852001 ACX852001 AMT852001 AWP852001 BGL852001 BQH852001 CAD852001 CJZ852001 CTV852001 DDR852001 DNN852001 DXJ852001 EHF852001 ERB852001 FAX852001 FKT852001 FUP852001 GEL852001 GOH852001 GYD852001 HHZ852001 HRV852001 IBR852001 ILN852001 IVJ852001 JFF852001 JPB852001 JYX852001 KIT852001 KSP852001 LCL852001 LMH852001 LWD852001 MFZ852001 MPV852001 MZR852001 NJN852001 NTJ852001 ODF852001 ONB852001 OWX852001 PGT852001 PQP852001 QAL852001 QKH852001 QUD852001 RDZ852001 RNV852001 RXR852001 SHN852001 SRJ852001 TBF852001 TLB852001 TUX852001 UET852001 UOP852001 UYL852001 VIH852001 VSD852001 WBZ852001 WLV852001 WVR852001 J917537 JF917537 TB917537 ACX917537 AMT917537 AWP917537 BGL917537 BQH917537 CAD917537 CJZ917537 CTV917537 DDR917537 DNN917537 DXJ917537 EHF917537 ERB917537 FAX917537 FKT917537 FUP917537 GEL917537 GOH917537 GYD917537 HHZ917537 HRV917537 IBR917537 ILN917537 IVJ917537 JFF917537 JPB917537 JYX917537 KIT917537 KSP917537 LCL917537 LMH917537 LWD917537 MFZ917537 MPV917537 MZR917537 NJN917537 NTJ917537 ODF917537 ONB917537 OWX917537 PGT917537 PQP917537 QAL917537 QKH917537 QUD917537 RDZ917537 RNV917537 RXR917537 SHN917537 SRJ917537 TBF917537 TLB917537 TUX917537 UET917537 UOP917537 UYL917537 VIH917537 VSD917537 WBZ917537 WLV917537 WVR917537 J983073 JF983073 TB983073 ACX983073 AMT983073 AWP983073 BGL983073 BQH983073 CAD983073 CJZ983073 CTV983073 DDR983073 DNN983073 DXJ983073 EHF983073 ERB983073 FAX983073 FKT983073 FUP983073 GEL983073 GOH983073 GYD983073 HHZ983073 HRV983073 IBR983073 ILN983073 IVJ983073 JFF983073 JPB983073 JYX983073 KIT983073 KSP983073 LCL983073 LMH983073 LWD983073 MFZ983073 MPV983073 MZR983073 NJN983073 NTJ983073 ODF983073 ONB983073 OWX983073 PGT983073 PQP983073 QAL983073 QKH983073 QUD983073 RDZ983073 RNV983073 RXR983073 SHN983073 SRJ983073 TBF983073 TLB983073 TUX983073 UET983073 UOP983073 UYL983073 VIH983073 VSD983073 WBZ983073 WLV983073 WVR983073 K33:K36 JG33:JG36 TC33:TC36 ACY33:ACY36 AMU33:AMU36 AWQ33:AWQ36 BGM33:BGM36 BQI33:BQI36 CAE33:CAE36 CKA33:CKA36 CTW33:CTW36 DDS33:DDS36 DNO33:DNO36 DXK33:DXK36 EHG33:EHG36 ERC33:ERC36 FAY33:FAY36 FKU33:FKU36 FUQ33:FUQ36 GEM33:GEM36 GOI33:GOI36 GYE33:GYE36 HIA33:HIA36 HRW33:HRW36 IBS33:IBS36 ILO33:ILO36 IVK33:IVK36 JFG33:JFG36 JPC33:JPC36 JYY33:JYY36 KIU33:KIU36 KSQ33:KSQ36 LCM33:LCM36 LMI33:LMI36 LWE33:LWE36 MGA33:MGA36 MPW33:MPW36 MZS33:MZS36 NJO33:NJO36 NTK33:NTK36 ODG33:ODG36 ONC33:ONC36 OWY33:OWY36 PGU33:PGU36 PQQ33:PQQ36 QAM33:QAM36 QKI33:QKI36 QUE33:QUE36 REA33:REA36 RNW33:RNW36 RXS33:RXS36 SHO33:SHO36 SRK33:SRK36 TBG33:TBG36 TLC33:TLC36 TUY33:TUY36 UEU33:UEU36 UOQ33:UOQ36 UYM33:UYM36 VII33:VII36 VSE33:VSE36 WCA33:WCA36 WLW33:WLW36 WVS33:WVS36 K65569:K65572 JG65569:JG65572 TC65569:TC65572 ACY65569:ACY65572 AMU65569:AMU65572 AWQ65569:AWQ65572 BGM65569:BGM65572 BQI65569:BQI65572 CAE65569:CAE65572 CKA65569:CKA65572 CTW65569:CTW65572 DDS65569:DDS65572 DNO65569:DNO65572 DXK65569:DXK65572 EHG65569:EHG65572 ERC65569:ERC65572 FAY65569:FAY65572 FKU65569:FKU65572 FUQ65569:FUQ65572 GEM65569:GEM65572 GOI65569:GOI65572 GYE65569:GYE65572 HIA65569:HIA65572 HRW65569:HRW65572 IBS65569:IBS65572 ILO65569:ILO65572 IVK65569:IVK65572 JFG65569:JFG65572 JPC65569:JPC65572 JYY65569:JYY65572 KIU65569:KIU65572 KSQ65569:KSQ65572 LCM65569:LCM65572 LMI65569:LMI65572 LWE65569:LWE65572 MGA65569:MGA65572 MPW65569:MPW65572 MZS65569:MZS65572 NJO65569:NJO65572 NTK65569:NTK65572 ODG65569:ODG65572 ONC65569:ONC65572 OWY65569:OWY65572 PGU65569:PGU65572 PQQ65569:PQQ65572 QAM65569:QAM65572 QKI65569:QKI65572 QUE65569:QUE65572 REA65569:REA65572 RNW65569:RNW65572 RXS65569:RXS65572 SHO65569:SHO65572 SRK65569:SRK65572 TBG65569:TBG65572 TLC65569:TLC65572 TUY65569:TUY65572 UEU65569:UEU65572 UOQ65569:UOQ65572 UYM65569:UYM65572 VII65569:VII65572 VSE65569:VSE65572 WCA65569:WCA65572 WLW65569:WLW65572 WVS65569:WVS65572 K131105:K131108 JG131105:JG131108 TC131105:TC131108 ACY131105:ACY131108 AMU131105:AMU131108 AWQ131105:AWQ131108 BGM131105:BGM131108 BQI131105:BQI131108 CAE131105:CAE131108 CKA131105:CKA131108 CTW131105:CTW131108 DDS131105:DDS131108 DNO131105:DNO131108 DXK131105:DXK131108 EHG131105:EHG131108 ERC131105:ERC131108 FAY131105:FAY131108 FKU131105:FKU131108 FUQ131105:FUQ131108 GEM131105:GEM131108 GOI131105:GOI131108 GYE131105:GYE131108 HIA131105:HIA131108 HRW131105:HRW131108 IBS131105:IBS131108 ILO131105:ILO131108 IVK131105:IVK131108 JFG131105:JFG131108 JPC131105:JPC131108 JYY131105:JYY131108 KIU131105:KIU131108 KSQ131105:KSQ131108 LCM131105:LCM131108 LMI131105:LMI131108 LWE131105:LWE131108 MGA131105:MGA131108 MPW131105:MPW131108 MZS131105:MZS131108 NJO131105:NJO131108 NTK131105:NTK131108 ODG131105:ODG131108 ONC131105:ONC131108 OWY131105:OWY131108 PGU131105:PGU131108 PQQ131105:PQQ131108 QAM131105:QAM131108 QKI131105:QKI131108 QUE131105:QUE131108 REA131105:REA131108 RNW131105:RNW131108 RXS131105:RXS131108 SHO131105:SHO131108 SRK131105:SRK131108 TBG131105:TBG131108 TLC131105:TLC131108 TUY131105:TUY131108 UEU131105:UEU131108 UOQ131105:UOQ131108 UYM131105:UYM131108 VII131105:VII131108 VSE131105:VSE131108 WCA131105:WCA131108 WLW131105:WLW131108 WVS131105:WVS131108 K196641:K196644 JG196641:JG196644 TC196641:TC196644 ACY196641:ACY196644 AMU196641:AMU196644 AWQ196641:AWQ196644 BGM196641:BGM196644 BQI196641:BQI196644 CAE196641:CAE196644 CKA196641:CKA196644 CTW196641:CTW196644 DDS196641:DDS196644 DNO196641:DNO196644 DXK196641:DXK196644 EHG196641:EHG196644 ERC196641:ERC196644 FAY196641:FAY196644 FKU196641:FKU196644 FUQ196641:FUQ196644 GEM196641:GEM196644 GOI196641:GOI196644 GYE196641:GYE196644 HIA196641:HIA196644 HRW196641:HRW196644 IBS196641:IBS196644 ILO196641:ILO196644 IVK196641:IVK196644 JFG196641:JFG196644 JPC196641:JPC196644 JYY196641:JYY196644 KIU196641:KIU196644 KSQ196641:KSQ196644 LCM196641:LCM196644 LMI196641:LMI196644 LWE196641:LWE196644 MGA196641:MGA196644 MPW196641:MPW196644 MZS196641:MZS196644 NJO196641:NJO196644 NTK196641:NTK196644 ODG196641:ODG196644 ONC196641:ONC196644 OWY196641:OWY196644 PGU196641:PGU196644 PQQ196641:PQQ196644 QAM196641:QAM196644 QKI196641:QKI196644 QUE196641:QUE196644 REA196641:REA196644 RNW196641:RNW196644 RXS196641:RXS196644 SHO196641:SHO196644 SRK196641:SRK196644 TBG196641:TBG196644 TLC196641:TLC196644 TUY196641:TUY196644 UEU196641:UEU196644 UOQ196641:UOQ196644 UYM196641:UYM196644 VII196641:VII196644 VSE196641:VSE196644 WCA196641:WCA196644 WLW196641:WLW196644 WVS196641:WVS196644 K262177:K262180 JG262177:JG262180 TC262177:TC262180 ACY262177:ACY262180 AMU262177:AMU262180 AWQ262177:AWQ262180 BGM262177:BGM262180 BQI262177:BQI262180 CAE262177:CAE262180 CKA262177:CKA262180 CTW262177:CTW262180 DDS262177:DDS262180 DNO262177:DNO262180 DXK262177:DXK262180 EHG262177:EHG262180 ERC262177:ERC262180 FAY262177:FAY262180 FKU262177:FKU262180 FUQ262177:FUQ262180 GEM262177:GEM262180 GOI262177:GOI262180 GYE262177:GYE262180 HIA262177:HIA262180 HRW262177:HRW262180 IBS262177:IBS262180 ILO262177:ILO262180 IVK262177:IVK262180 JFG262177:JFG262180 JPC262177:JPC262180 JYY262177:JYY262180 KIU262177:KIU262180 KSQ262177:KSQ262180 LCM262177:LCM262180 LMI262177:LMI262180 LWE262177:LWE262180 MGA262177:MGA262180 MPW262177:MPW262180 MZS262177:MZS262180 NJO262177:NJO262180 NTK262177:NTK262180 ODG262177:ODG262180 ONC262177:ONC262180 OWY262177:OWY262180 PGU262177:PGU262180 PQQ262177:PQQ262180 QAM262177:QAM262180 QKI262177:QKI262180 QUE262177:QUE262180 REA262177:REA262180 RNW262177:RNW262180 RXS262177:RXS262180 SHO262177:SHO262180 SRK262177:SRK262180 TBG262177:TBG262180 TLC262177:TLC262180 TUY262177:TUY262180 UEU262177:UEU262180 UOQ262177:UOQ262180 UYM262177:UYM262180 VII262177:VII262180 VSE262177:VSE262180 WCA262177:WCA262180 WLW262177:WLW262180 WVS262177:WVS262180 K327713:K327716 JG327713:JG327716 TC327713:TC327716 ACY327713:ACY327716 AMU327713:AMU327716 AWQ327713:AWQ327716 BGM327713:BGM327716 BQI327713:BQI327716 CAE327713:CAE327716 CKA327713:CKA327716 CTW327713:CTW327716 DDS327713:DDS327716 DNO327713:DNO327716 DXK327713:DXK327716 EHG327713:EHG327716 ERC327713:ERC327716 FAY327713:FAY327716 FKU327713:FKU327716 FUQ327713:FUQ327716 GEM327713:GEM327716 GOI327713:GOI327716 GYE327713:GYE327716 HIA327713:HIA327716 HRW327713:HRW327716 IBS327713:IBS327716 ILO327713:ILO327716 IVK327713:IVK327716 JFG327713:JFG327716 JPC327713:JPC327716 JYY327713:JYY327716 KIU327713:KIU327716 KSQ327713:KSQ327716 LCM327713:LCM327716 LMI327713:LMI327716 LWE327713:LWE327716 MGA327713:MGA327716 MPW327713:MPW327716 MZS327713:MZS327716 NJO327713:NJO327716 NTK327713:NTK327716 ODG327713:ODG327716 ONC327713:ONC327716 OWY327713:OWY327716 PGU327713:PGU327716 PQQ327713:PQQ327716 QAM327713:QAM327716 QKI327713:QKI327716 QUE327713:QUE327716 REA327713:REA327716 RNW327713:RNW327716 RXS327713:RXS327716 SHO327713:SHO327716 SRK327713:SRK327716 TBG327713:TBG327716 TLC327713:TLC327716 TUY327713:TUY327716 UEU327713:UEU327716 UOQ327713:UOQ327716 UYM327713:UYM327716 VII327713:VII327716 VSE327713:VSE327716 WCA327713:WCA327716 WLW327713:WLW327716 WVS327713:WVS327716 K393249:K393252 JG393249:JG393252 TC393249:TC393252 ACY393249:ACY393252 AMU393249:AMU393252 AWQ393249:AWQ393252 BGM393249:BGM393252 BQI393249:BQI393252 CAE393249:CAE393252 CKA393249:CKA393252 CTW393249:CTW393252 DDS393249:DDS393252 DNO393249:DNO393252 DXK393249:DXK393252 EHG393249:EHG393252 ERC393249:ERC393252 FAY393249:FAY393252 FKU393249:FKU393252 FUQ393249:FUQ393252 GEM393249:GEM393252 GOI393249:GOI393252 GYE393249:GYE393252 HIA393249:HIA393252 HRW393249:HRW393252 IBS393249:IBS393252 ILO393249:ILO393252 IVK393249:IVK393252 JFG393249:JFG393252 JPC393249:JPC393252 JYY393249:JYY393252 KIU393249:KIU393252 KSQ393249:KSQ393252 LCM393249:LCM393252 LMI393249:LMI393252 LWE393249:LWE393252 MGA393249:MGA393252 MPW393249:MPW393252 MZS393249:MZS393252 NJO393249:NJO393252 NTK393249:NTK393252 ODG393249:ODG393252 ONC393249:ONC393252 OWY393249:OWY393252 PGU393249:PGU393252 PQQ393249:PQQ393252 QAM393249:QAM393252 QKI393249:QKI393252 QUE393249:QUE393252 REA393249:REA393252 RNW393249:RNW393252 RXS393249:RXS393252 SHO393249:SHO393252 SRK393249:SRK393252 TBG393249:TBG393252 TLC393249:TLC393252 TUY393249:TUY393252 UEU393249:UEU393252 UOQ393249:UOQ393252 UYM393249:UYM393252 VII393249:VII393252 VSE393249:VSE393252 WCA393249:WCA393252 WLW393249:WLW393252 WVS393249:WVS393252 K458785:K458788 JG458785:JG458788 TC458785:TC458788 ACY458785:ACY458788 AMU458785:AMU458788 AWQ458785:AWQ458788 BGM458785:BGM458788 BQI458785:BQI458788 CAE458785:CAE458788 CKA458785:CKA458788 CTW458785:CTW458788 DDS458785:DDS458788 DNO458785:DNO458788 DXK458785:DXK458788 EHG458785:EHG458788 ERC458785:ERC458788 FAY458785:FAY458788 FKU458785:FKU458788 FUQ458785:FUQ458788 GEM458785:GEM458788 GOI458785:GOI458788 GYE458785:GYE458788 HIA458785:HIA458788 HRW458785:HRW458788 IBS458785:IBS458788 ILO458785:ILO458788 IVK458785:IVK458788 JFG458785:JFG458788 JPC458785:JPC458788 JYY458785:JYY458788 KIU458785:KIU458788 KSQ458785:KSQ458788 LCM458785:LCM458788 LMI458785:LMI458788 LWE458785:LWE458788 MGA458785:MGA458788 MPW458785:MPW458788 MZS458785:MZS458788 NJO458785:NJO458788 NTK458785:NTK458788 ODG458785:ODG458788 ONC458785:ONC458788 OWY458785:OWY458788 PGU458785:PGU458788 PQQ458785:PQQ458788 QAM458785:QAM458788 QKI458785:QKI458788 QUE458785:QUE458788 REA458785:REA458788 RNW458785:RNW458788 RXS458785:RXS458788 SHO458785:SHO458788 SRK458785:SRK458788 TBG458785:TBG458788 TLC458785:TLC458788 TUY458785:TUY458788 UEU458785:UEU458788 UOQ458785:UOQ458788 UYM458785:UYM458788 VII458785:VII458788 VSE458785:VSE458788 WCA458785:WCA458788 WLW458785:WLW458788 WVS458785:WVS458788 K524321:K524324 JG524321:JG524324 TC524321:TC524324 ACY524321:ACY524324 AMU524321:AMU524324 AWQ524321:AWQ524324 BGM524321:BGM524324 BQI524321:BQI524324 CAE524321:CAE524324 CKA524321:CKA524324 CTW524321:CTW524324 DDS524321:DDS524324 DNO524321:DNO524324 DXK524321:DXK524324 EHG524321:EHG524324 ERC524321:ERC524324 FAY524321:FAY524324 FKU524321:FKU524324 FUQ524321:FUQ524324 GEM524321:GEM524324 GOI524321:GOI524324 GYE524321:GYE524324 HIA524321:HIA524324 HRW524321:HRW524324 IBS524321:IBS524324 ILO524321:ILO524324 IVK524321:IVK524324 JFG524321:JFG524324 JPC524321:JPC524324 JYY524321:JYY524324 KIU524321:KIU524324 KSQ524321:KSQ524324 LCM524321:LCM524324 LMI524321:LMI524324 LWE524321:LWE524324 MGA524321:MGA524324 MPW524321:MPW524324 MZS524321:MZS524324 NJO524321:NJO524324 NTK524321:NTK524324 ODG524321:ODG524324 ONC524321:ONC524324 OWY524321:OWY524324 PGU524321:PGU524324 PQQ524321:PQQ524324 QAM524321:QAM524324 QKI524321:QKI524324 QUE524321:QUE524324 REA524321:REA524324 RNW524321:RNW524324 RXS524321:RXS524324 SHO524321:SHO524324 SRK524321:SRK524324 TBG524321:TBG524324 TLC524321:TLC524324 TUY524321:TUY524324 UEU524321:UEU524324 UOQ524321:UOQ524324 UYM524321:UYM524324 VII524321:VII524324 VSE524321:VSE524324 WCA524321:WCA524324 WLW524321:WLW524324 WVS524321:WVS524324 K589857:K589860 JG589857:JG589860 TC589857:TC589860 ACY589857:ACY589860 AMU589857:AMU589860 AWQ589857:AWQ589860 BGM589857:BGM589860 BQI589857:BQI589860 CAE589857:CAE589860 CKA589857:CKA589860 CTW589857:CTW589860 DDS589857:DDS589860 DNO589857:DNO589860 DXK589857:DXK589860 EHG589857:EHG589860 ERC589857:ERC589860 FAY589857:FAY589860 FKU589857:FKU589860 FUQ589857:FUQ589860 GEM589857:GEM589860 GOI589857:GOI589860 GYE589857:GYE589860 HIA589857:HIA589860 HRW589857:HRW589860 IBS589857:IBS589860 ILO589857:ILO589860 IVK589857:IVK589860 JFG589857:JFG589860 JPC589857:JPC589860 JYY589857:JYY589860 KIU589857:KIU589860 KSQ589857:KSQ589860 LCM589857:LCM589860 LMI589857:LMI589860 LWE589857:LWE589860 MGA589857:MGA589860 MPW589857:MPW589860 MZS589857:MZS589860 NJO589857:NJO589860 NTK589857:NTK589860 ODG589857:ODG589860 ONC589857:ONC589860 OWY589857:OWY589860 PGU589857:PGU589860 PQQ589857:PQQ589860 QAM589857:QAM589860 QKI589857:QKI589860 QUE589857:QUE589860 REA589857:REA589860 RNW589857:RNW589860 RXS589857:RXS589860 SHO589857:SHO589860 SRK589857:SRK589860 TBG589857:TBG589860 TLC589857:TLC589860 TUY589857:TUY589860 UEU589857:UEU589860 UOQ589857:UOQ589860 UYM589857:UYM589860 VII589857:VII589860 VSE589857:VSE589860 WCA589857:WCA589860 WLW589857:WLW589860 WVS589857:WVS589860 K655393:K655396 JG655393:JG655396 TC655393:TC655396 ACY655393:ACY655396 AMU655393:AMU655396 AWQ655393:AWQ655396 BGM655393:BGM655396 BQI655393:BQI655396 CAE655393:CAE655396 CKA655393:CKA655396 CTW655393:CTW655396 DDS655393:DDS655396 DNO655393:DNO655396 DXK655393:DXK655396 EHG655393:EHG655396 ERC655393:ERC655396 FAY655393:FAY655396 FKU655393:FKU655396 FUQ655393:FUQ655396 GEM655393:GEM655396 GOI655393:GOI655396 GYE655393:GYE655396 HIA655393:HIA655396 HRW655393:HRW655396 IBS655393:IBS655396 ILO655393:ILO655396 IVK655393:IVK655396 JFG655393:JFG655396 JPC655393:JPC655396 JYY655393:JYY655396 KIU655393:KIU655396 KSQ655393:KSQ655396 LCM655393:LCM655396 LMI655393:LMI655396 LWE655393:LWE655396 MGA655393:MGA655396 MPW655393:MPW655396 MZS655393:MZS655396 NJO655393:NJO655396 NTK655393:NTK655396 ODG655393:ODG655396 ONC655393:ONC655396 OWY655393:OWY655396 PGU655393:PGU655396 PQQ655393:PQQ655396 QAM655393:QAM655396 QKI655393:QKI655396 QUE655393:QUE655396 REA655393:REA655396 RNW655393:RNW655396 RXS655393:RXS655396 SHO655393:SHO655396 SRK655393:SRK655396 TBG655393:TBG655396 TLC655393:TLC655396 TUY655393:TUY655396 UEU655393:UEU655396 UOQ655393:UOQ655396 UYM655393:UYM655396 VII655393:VII655396 VSE655393:VSE655396 WCA655393:WCA655396 WLW655393:WLW655396 WVS655393:WVS655396 K720929:K720932 JG720929:JG720932 TC720929:TC720932 ACY720929:ACY720932 AMU720929:AMU720932 AWQ720929:AWQ720932 BGM720929:BGM720932 BQI720929:BQI720932 CAE720929:CAE720932 CKA720929:CKA720932 CTW720929:CTW720932 DDS720929:DDS720932 DNO720929:DNO720932 DXK720929:DXK720932 EHG720929:EHG720932 ERC720929:ERC720932 FAY720929:FAY720932 FKU720929:FKU720932 FUQ720929:FUQ720932 GEM720929:GEM720932 GOI720929:GOI720932 GYE720929:GYE720932 HIA720929:HIA720932 HRW720929:HRW720932 IBS720929:IBS720932 ILO720929:ILO720932 IVK720929:IVK720932 JFG720929:JFG720932 JPC720929:JPC720932 JYY720929:JYY720932 KIU720929:KIU720932 KSQ720929:KSQ720932 LCM720929:LCM720932 LMI720929:LMI720932 LWE720929:LWE720932 MGA720929:MGA720932 MPW720929:MPW720932 MZS720929:MZS720932 NJO720929:NJO720932 NTK720929:NTK720932 ODG720929:ODG720932 ONC720929:ONC720932 OWY720929:OWY720932 PGU720929:PGU720932 PQQ720929:PQQ720932 QAM720929:QAM720932 QKI720929:QKI720932 QUE720929:QUE720932 REA720929:REA720932 RNW720929:RNW720932 RXS720929:RXS720932 SHO720929:SHO720932 SRK720929:SRK720932 TBG720929:TBG720932 TLC720929:TLC720932 TUY720929:TUY720932 UEU720929:UEU720932 UOQ720929:UOQ720932 UYM720929:UYM720932 VII720929:VII720932 VSE720929:VSE720932 WCA720929:WCA720932 WLW720929:WLW720932 WVS720929:WVS720932 K786465:K786468 JG786465:JG786468 TC786465:TC786468 ACY786465:ACY786468 AMU786465:AMU786468 AWQ786465:AWQ786468 BGM786465:BGM786468 BQI786465:BQI786468 CAE786465:CAE786468 CKA786465:CKA786468 CTW786465:CTW786468 DDS786465:DDS786468 DNO786465:DNO786468 DXK786465:DXK786468 EHG786465:EHG786468 ERC786465:ERC786468 FAY786465:FAY786468 FKU786465:FKU786468 FUQ786465:FUQ786468 GEM786465:GEM786468 GOI786465:GOI786468 GYE786465:GYE786468 HIA786465:HIA786468 HRW786465:HRW786468 IBS786465:IBS786468 ILO786465:ILO786468 IVK786465:IVK786468 JFG786465:JFG786468 JPC786465:JPC786468 JYY786465:JYY786468 KIU786465:KIU786468 KSQ786465:KSQ786468 LCM786465:LCM786468 LMI786465:LMI786468 LWE786465:LWE786468 MGA786465:MGA786468 MPW786465:MPW786468 MZS786465:MZS786468 NJO786465:NJO786468 NTK786465:NTK786468 ODG786465:ODG786468 ONC786465:ONC786468 OWY786465:OWY786468 PGU786465:PGU786468 PQQ786465:PQQ786468 QAM786465:QAM786468 QKI786465:QKI786468 QUE786465:QUE786468 REA786465:REA786468 RNW786465:RNW786468 RXS786465:RXS786468 SHO786465:SHO786468 SRK786465:SRK786468 TBG786465:TBG786468 TLC786465:TLC786468 TUY786465:TUY786468 UEU786465:UEU786468 UOQ786465:UOQ786468 UYM786465:UYM786468 VII786465:VII786468 VSE786465:VSE786468 WCA786465:WCA786468 WLW786465:WLW786468 WVS786465:WVS786468 K852001:K852004 JG852001:JG852004 TC852001:TC852004 ACY852001:ACY852004 AMU852001:AMU852004 AWQ852001:AWQ852004 BGM852001:BGM852004 BQI852001:BQI852004 CAE852001:CAE852004 CKA852001:CKA852004 CTW852001:CTW852004 DDS852001:DDS852004 DNO852001:DNO852004 DXK852001:DXK852004 EHG852001:EHG852004 ERC852001:ERC852004 FAY852001:FAY852004 FKU852001:FKU852004 FUQ852001:FUQ852004 GEM852001:GEM852004 GOI852001:GOI852004 GYE852001:GYE852004 HIA852001:HIA852004 HRW852001:HRW852004 IBS852001:IBS852004 ILO852001:ILO852004 IVK852001:IVK852004 JFG852001:JFG852004 JPC852001:JPC852004 JYY852001:JYY852004 KIU852001:KIU852004 KSQ852001:KSQ852004 LCM852001:LCM852004 LMI852001:LMI852004 LWE852001:LWE852004 MGA852001:MGA852004 MPW852001:MPW852004 MZS852001:MZS852004 NJO852001:NJO852004 NTK852001:NTK852004 ODG852001:ODG852004 ONC852001:ONC852004 OWY852001:OWY852004 PGU852001:PGU852004 PQQ852001:PQQ852004 QAM852001:QAM852004 QKI852001:QKI852004 QUE852001:QUE852004 REA852001:REA852004 RNW852001:RNW852004 RXS852001:RXS852004 SHO852001:SHO852004 SRK852001:SRK852004 TBG852001:TBG852004 TLC852001:TLC852004 TUY852001:TUY852004 UEU852001:UEU852004 UOQ852001:UOQ852004 UYM852001:UYM852004 VII852001:VII852004 VSE852001:VSE852004 WCA852001:WCA852004 WLW852001:WLW852004 WVS852001:WVS852004 K917537:K917540 JG917537:JG917540 TC917537:TC917540 ACY917537:ACY917540 AMU917537:AMU917540 AWQ917537:AWQ917540 BGM917537:BGM917540 BQI917537:BQI917540 CAE917537:CAE917540 CKA917537:CKA917540 CTW917537:CTW917540 DDS917537:DDS917540 DNO917537:DNO917540 DXK917537:DXK917540 EHG917537:EHG917540 ERC917537:ERC917540 FAY917537:FAY917540 FKU917537:FKU917540 FUQ917537:FUQ917540 GEM917537:GEM917540 GOI917537:GOI917540 GYE917537:GYE917540 HIA917537:HIA917540 HRW917537:HRW917540 IBS917537:IBS917540 ILO917537:ILO917540 IVK917537:IVK917540 JFG917537:JFG917540 JPC917537:JPC917540 JYY917537:JYY917540 KIU917537:KIU917540 KSQ917537:KSQ917540 LCM917537:LCM917540 LMI917537:LMI917540 LWE917537:LWE917540 MGA917537:MGA917540 MPW917537:MPW917540 MZS917537:MZS917540 NJO917537:NJO917540 NTK917537:NTK917540 ODG917537:ODG917540 ONC917537:ONC917540 OWY917537:OWY917540 PGU917537:PGU917540 PQQ917537:PQQ917540 QAM917537:QAM917540 QKI917537:QKI917540 QUE917537:QUE917540 REA917537:REA917540 RNW917537:RNW917540 RXS917537:RXS917540 SHO917537:SHO917540 SRK917537:SRK917540 TBG917537:TBG917540 TLC917537:TLC917540 TUY917537:TUY917540 UEU917537:UEU917540 UOQ917537:UOQ917540 UYM917537:UYM917540 VII917537:VII917540 VSE917537:VSE917540 WCA917537:WCA917540 WLW917537:WLW917540 WVS917537:WVS917540 K983073:K983076 JG983073:JG983076 TC983073:TC983076 ACY983073:ACY983076 AMU983073:AMU983076 AWQ983073:AWQ983076 BGM983073:BGM983076 BQI983073:BQI983076 CAE983073:CAE983076 CKA983073:CKA983076 CTW983073:CTW983076 DDS983073:DDS983076 DNO983073:DNO983076 DXK983073:DXK983076 EHG983073:EHG983076 ERC983073:ERC983076 FAY983073:FAY983076 FKU983073:FKU983076 FUQ983073:FUQ983076 GEM983073:GEM983076 GOI983073:GOI983076 GYE983073:GYE983076 HIA983073:HIA983076 HRW983073:HRW983076 IBS983073:IBS983076 ILO983073:ILO983076 IVK983073:IVK983076 JFG983073:JFG983076 JPC983073:JPC983076 JYY983073:JYY983076 KIU983073:KIU983076 KSQ983073:KSQ983076 LCM983073:LCM983076 LMI983073:LMI983076 LWE983073:LWE983076 MGA983073:MGA983076 MPW983073:MPW983076 MZS983073:MZS983076 NJO983073:NJO983076 NTK983073:NTK983076 ODG983073:ODG983076 ONC983073:ONC983076 OWY983073:OWY983076 PGU983073:PGU983076 PQQ983073:PQQ983076 QAM983073:QAM983076 QKI983073:QKI983076 QUE983073:QUE983076 REA983073:REA983076 RNW983073:RNW983076 RXS983073:RXS983076 SHO983073:SHO983076 SRK983073:SRK983076 TBG983073:TBG983076 TLC983073:TLC983076 TUY983073:TUY983076 UEU983073:UEU983076 UOQ983073:UOQ983076 UYM983073:UYM983076 VII983073:VII983076 VSE983073:VSE983076 WCA983073:WCA983076 WLW983073:WLW983076 WVS983073:WVS983076">
      <formula1>"Yes,No,NA"</formula1>
    </dataValidation>
  </dataValidations>
  <hyperlinks>
    <hyperlink ref="A1" location="'Table Of Contents'!A1" display="TOC"/>
  </hyperlinks>
  <pageMargins left="0.75" right="0.75" top="1" bottom="1" header="0.5" footer="0.5"/>
  <pageSetup scale="48" fitToHeight="0" orientation="portrait" r:id="rId1"/>
  <headerFooter alignWithMargins="0">
    <oddFooter>Page &amp;P of &amp;N</oddFooter>
  </headerFooter>
  <rowBreaks count="2" manualBreakCount="2">
    <brk id="33" min="1" max="13" man="1"/>
    <brk id="36" min="1" max="13" man="1"/>
  </rowBreaks>
  <drawing r:id="rId2"/>
  <legacyDrawingHF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66FF33"/>
    <pageSetUpPr fitToPage="1"/>
  </sheetPr>
  <dimension ref="A1:BP254"/>
  <sheetViews>
    <sheetView showGridLines="0" view="pageBreakPreview" topLeftCell="A70" zoomScale="90" zoomScaleNormal="75" zoomScaleSheetLayoutView="90" workbookViewId="0">
      <selection activeCell="B85" sqref="B85"/>
    </sheetView>
  </sheetViews>
  <sheetFormatPr defaultRowHeight="12.75"/>
  <cols>
    <col min="1" max="1" width="13.42578125" style="1324" customWidth="1"/>
    <col min="2" max="2" width="20" style="1324" customWidth="1"/>
    <col min="3" max="4" width="14.140625" style="1324" customWidth="1"/>
    <col min="5" max="5" width="29.7109375" style="1324" customWidth="1"/>
    <col min="6" max="6" width="14.5703125" style="1324" customWidth="1"/>
    <col min="7" max="8" width="14.140625" style="1324" customWidth="1"/>
    <col min="9" max="9" width="10" style="1324" customWidth="1"/>
    <col min="10" max="10" width="9.85546875" style="1324" customWidth="1"/>
    <col min="11" max="12" width="10.42578125" style="1324" customWidth="1"/>
    <col min="13" max="13" width="8.85546875" style="1324" customWidth="1"/>
    <col min="14" max="14" width="10.140625" style="1324" customWidth="1"/>
    <col min="15" max="15" width="12.42578125" style="1324" customWidth="1"/>
    <col min="16" max="17" width="8.28515625" style="1324" customWidth="1"/>
    <col min="18" max="19" width="14.140625" style="1324" customWidth="1"/>
    <col min="20" max="23" width="9.140625" style="1324"/>
    <col min="24" max="24" width="9.140625" style="1324" hidden="1" customWidth="1"/>
    <col min="25" max="16384" width="9.140625" style="1324"/>
  </cols>
  <sheetData>
    <row r="1" spans="1:21" ht="26.25" customHeight="1">
      <c r="A1" s="1534" t="s">
        <v>1408</v>
      </c>
      <c r="B1" s="1138"/>
      <c r="C1" s="1137"/>
      <c r="D1" s="1138"/>
      <c r="E1" s="1138"/>
      <c r="F1" s="1140"/>
      <c r="G1" s="1138"/>
      <c r="H1" s="1138"/>
      <c r="I1" s="1138"/>
      <c r="J1" s="1138"/>
      <c r="K1" s="1138"/>
      <c r="L1" s="1138"/>
      <c r="M1" s="1138"/>
      <c r="N1" s="790"/>
      <c r="T1" s="1551"/>
    </row>
    <row r="2" spans="1:21" ht="26.25" customHeight="1">
      <c r="B2" s="1138"/>
      <c r="C2" s="1137" t="str">
        <f>'1.1 - APPLIANCES'!C2</f>
        <v>MULTIFAMILY PERFORMANCE PROGRAM</v>
      </c>
      <c r="D2" s="1138"/>
      <c r="E2" s="1138"/>
      <c r="F2" s="1140"/>
      <c r="G2" s="1138"/>
      <c r="H2" s="1138"/>
      <c r="I2" s="1138"/>
      <c r="J2" s="1138"/>
      <c r="K2" s="1138"/>
      <c r="L2" s="1138"/>
      <c r="M2" s="1138"/>
      <c r="N2" s="790"/>
      <c r="T2" s="1551"/>
    </row>
    <row r="3" spans="1:21" ht="26.25" customHeight="1">
      <c r="B3" s="1138"/>
      <c r="C3" s="1139" t="s">
        <v>368</v>
      </c>
      <c r="D3" s="1139">
        <f>'Project Info'!C3</f>
        <v>0</v>
      </c>
      <c r="E3" s="1138"/>
      <c r="F3" s="1140"/>
      <c r="G3" s="1138"/>
      <c r="H3" s="1138"/>
      <c r="I3" s="1138"/>
      <c r="J3" s="1138"/>
      <c r="K3" s="1138"/>
      <c r="L3" s="1138"/>
      <c r="M3" s="1138"/>
      <c r="N3" s="790"/>
      <c r="T3" s="1551"/>
    </row>
    <row r="4" spans="1:21" ht="26.25" customHeight="1">
      <c r="B4" s="1138"/>
      <c r="C4" s="1139"/>
      <c r="D4" s="1139"/>
      <c r="E4" s="1138"/>
      <c r="F4" s="1138"/>
      <c r="G4" s="1140"/>
      <c r="H4" s="1140"/>
      <c r="I4" s="1140"/>
      <c r="J4" s="1140"/>
      <c r="K4" s="1140"/>
      <c r="L4" s="1140"/>
      <c r="M4" s="1140"/>
      <c r="N4" s="1140"/>
      <c r="O4" s="795"/>
      <c r="P4" s="1791"/>
      <c r="Q4" s="1791"/>
      <c r="R4" s="1791"/>
      <c r="S4" s="795"/>
      <c r="T4" s="1551"/>
      <c r="U4" s="1429"/>
    </row>
    <row r="5" spans="1:21" ht="15.75">
      <c r="A5" s="1637"/>
      <c r="B5" s="1158" t="s">
        <v>1786</v>
      </c>
      <c r="C5" s="1224"/>
      <c r="D5" s="1224"/>
      <c r="E5" s="1232"/>
      <c r="F5" s="1224"/>
      <c r="G5" s="1214"/>
      <c r="H5" s="1214"/>
      <c r="I5" s="1214"/>
      <c r="J5" s="1214"/>
      <c r="K5" s="1214"/>
      <c r="L5" s="1214"/>
      <c r="M5" s="1214"/>
      <c r="N5" s="1214"/>
      <c r="O5" s="1214"/>
      <c r="P5" s="1790"/>
      <c r="Q5" s="2922" t="s">
        <v>1411</v>
      </c>
      <c r="R5" s="2923"/>
      <c r="S5" s="1789" t="s">
        <v>1412</v>
      </c>
      <c r="T5" s="1788"/>
      <c r="U5" s="1429"/>
    </row>
    <row r="6" spans="1:21">
      <c r="B6" s="1144"/>
      <c r="C6" s="1144"/>
      <c r="D6" s="1144"/>
      <c r="E6" s="1144"/>
      <c r="F6" s="1144"/>
      <c r="G6" s="1144"/>
      <c r="H6" s="1144"/>
      <c r="I6" s="1144"/>
      <c r="J6" s="1144"/>
      <c r="K6" s="1144"/>
      <c r="L6" s="1144"/>
      <c r="M6" s="1144"/>
      <c r="N6" s="1144"/>
      <c r="O6" s="1529"/>
      <c r="P6" s="1529"/>
      <c r="Q6" s="2893" t="s">
        <v>1413</v>
      </c>
      <c r="R6" s="2893"/>
      <c r="S6" s="2924"/>
      <c r="T6" s="2925"/>
      <c r="U6" s="1429"/>
    </row>
    <row r="7" spans="1:21">
      <c r="B7" s="1146" t="s">
        <v>1414</v>
      </c>
      <c r="C7" s="1146"/>
      <c r="D7" s="1144"/>
      <c r="E7" s="1144"/>
      <c r="F7" s="1144"/>
      <c r="G7" s="1144"/>
      <c r="H7" s="1144"/>
      <c r="I7" s="1144"/>
      <c r="J7" s="1144"/>
      <c r="K7" s="1144"/>
      <c r="L7" s="1144"/>
      <c r="M7" s="1144"/>
      <c r="N7" s="1144"/>
      <c r="O7" s="1529"/>
      <c r="P7" s="1529"/>
      <c r="Q7" s="2893"/>
      <c r="R7" s="2893"/>
      <c r="S7" s="2924"/>
      <c r="T7" s="2925"/>
      <c r="U7" s="1429"/>
    </row>
    <row r="8" spans="1:21" ht="28.5" customHeight="1">
      <c r="B8" s="2926" t="s">
        <v>2312</v>
      </c>
      <c r="C8" s="2926"/>
      <c r="D8" s="2926"/>
      <c r="E8" s="2926"/>
      <c r="F8" s="2926"/>
      <c r="G8" s="2926"/>
      <c r="H8" s="2926"/>
      <c r="I8" s="2926"/>
      <c r="J8" s="2926"/>
      <c r="K8" s="2926"/>
      <c r="L8" s="2926"/>
      <c r="M8" s="2926"/>
      <c r="N8" s="2926"/>
      <c r="O8" s="1529"/>
      <c r="P8" s="1529"/>
      <c r="Q8" s="2893"/>
      <c r="R8" s="2893"/>
      <c r="S8" s="2924"/>
      <c r="T8" s="2925"/>
    </row>
    <row r="9" spans="1:21" ht="27.75" customHeight="1">
      <c r="B9" s="2671" t="s">
        <v>1787</v>
      </c>
      <c r="C9" s="2671"/>
      <c r="D9" s="2671"/>
      <c r="E9" s="2671"/>
      <c r="F9" s="2671"/>
      <c r="G9" s="2671"/>
      <c r="H9" s="2671"/>
      <c r="I9" s="2671"/>
      <c r="J9" s="2671"/>
      <c r="K9" s="2671"/>
      <c r="L9" s="2671"/>
      <c r="M9" s="2671"/>
      <c r="N9" s="2671"/>
      <c r="O9" s="1529"/>
      <c r="P9" s="1529"/>
      <c r="Q9" s="1787"/>
      <c r="R9" s="2781"/>
      <c r="S9" s="2781"/>
    </row>
    <row r="10" spans="1:21" ht="13.5" customHeight="1">
      <c r="B10" s="2671" t="s">
        <v>2311</v>
      </c>
      <c r="C10" s="2671"/>
      <c r="D10" s="2671"/>
      <c r="E10" s="2671"/>
      <c r="F10" s="2671"/>
      <c r="G10" s="2671"/>
      <c r="H10" s="2671"/>
      <c r="I10" s="2671"/>
      <c r="J10" s="2671"/>
      <c r="K10" s="2671"/>
      <c r="L10" s="2671"/>
      <c r="M10" s="2671"/>
      <c r="N10" s="2671"/>
      <c r="O10" s="1529"/>
      <c r="P10" s="1529"/>
      <c r="Q10" s="1787"/>
      <c r="R10" s="2781"/>
      <c r="S10" s="2781"/>
    </row>
    <row r="11" spans="1:21" ht="13.5" customHeight="1">
      <c r="B11" s="1338"/>
      <c r="C11" s="1338"/>
      <c r="D11" s="1338"/>
      <c r="E11" s="1338"/>
      <c r="F11" s="1338"/>
      <c r="G11" s="1338"/>
      <c r="H11" s="1338"/>
      <c r="I11" s="1338"/>
      <c r="J11" s="1338"/>
      <c r="K11" s="1338"/>
      <c r="L11" s="1338"/>
      <c r="M11" s="1338"/>
      <c r="N11" s="1338"/>
      <c r="O11" s="1529"/>
      <c r="P11" s="1529"/>
      <c r="Q11" s="1529"/>
      <c r="R11" s="1530"/>
      <c r="S11" s="1529"/>
    </row>
    <row r="12" spans="1:21" ht="26.25" customHeight="1">
      <c r="B12" s="1146" t="s">
        <v>1788</v>
      </c>
      <c r="C12" s="1146"/>
      <c r="D12" s="1144"/>
      <c r="E12" s="1144"/>
      <c r="F12" s="1144"/>
      <c r="G12" s="1144"/>
      <c r="H12" s="1144"/>
      <c r="I12" s="1144"/>
      <c r="J12" s="1144"/>
      <c r="K12" s="1144"/>
      <c r="L12" s="1144"/>
      <c r="M12" s="1144"/>
      <c r="N12" s="1144"/>
      <c r="O12" s="1529"/>
      <c r="P12" s="1529"/>
      <c r="Q12" s="1529"/>
      <c r="R12" s="1530"/>
      <c r="S12" s="1529"/>
    </row>
    <row r="13" spans="1:21" ht="15.75" customHeight="1">
      <c r="B13" s="1144" t="s">
        <v>1417</v>
      </c>
      <c r="C13" s="1144"/>
      <c r="D13" s="1144"/>
      <c r="E13" s="1144"/>
      <c r="F13" s="1144"/>
      <c r="G13" s="1144"/>
      <c r="H13" s="1144"/>
      <c r="I13" s="1144"/>
      <c r="J13" s="1144"/>
      <c r="K13" s="1144"/>
      <c r="L13" s="1144"/>
      <c r="M13" s="1144"/>
      <c r="N13" s="1144"/>
      <c r="O13" s="1529"/>
      <c r="P13" s="1529"/>
      <c r="Q13" s="1529"/>
      <c r="R13" s="1530"/>
      <c r="S13" s="1529"/>
    </row>
    <row r="14" spans="1:21">
      <c r="B14" s="1149" t="s">
        <v>1466</v>
      </c>
      <c r="C14" s="1144"/>
      <c r="D14" s="1144"/>
      <c r="E14" s="1144"/>
      <c r="F14" s="1144"/>
      <c r="G14" s="1144"/>
      <c r="H14" s="1144"/>
      <c r="I14" s="1144"/>
      <c r="J14" s="1144"/>
      <c r="K14" s="1144"/>
      <c r="L14" s="1144"/>
      <c r="M14" s="1144"/>
      <c r="N14" s="1144"/>
      <c r="O14" s="1529"/>
      <c r="P14" s="1529"/>
      <c r="Q14" s="1529"/>
      <c r="R14" s="1530"/>
      <c r="S14" s="1529"/>
    </row>
    <row r="15" spans="1:21">
      <c r="B15" s="1144" t="s">
        <v>1789</v>
      </c>
      <c r="C15" s="1144"/>
      <c r="D15" s="1144"/>
      <c r="E15" s="1144"/>
      <c r="F15" s="1144"/>
      <c r="G15" s="1144"/>
      <c r="H15" s="1144"/>
      <c r="I15" s="1144"/>
      <c r="J15" s="1144"/>
      <c r="K15" s="1144"/>
      <c r="L15" s="1144"/>
      <c r="M15" s="1144"/>
      <c r="N15" s="1144"/>
      <c r="O15" s="1529"/>
      <c r="P15" s="1529"/>
      <c r="Q15" s="1529"/>
      <c r="R15" s="1530"/>
      <c r="S15" s="1529"/>
    </row>
    <row r="16" spans="1:21">
      <c r="B16" s="1144" t="s">
        <v>1790</v>
      </c>
      <c r="C16" s="1144"/>
      <c r="D16" s="1144"/>
      <c r="E16" s="1144"/>
      <c r="F16" s="1144"/>
      <c r="G16" s="1144"/>
      <c r="H16" s="1144"/>
      <c r="I16" s="1144"/>
      <c r="J16" s="1144"/>
      <c r="K16" s="1144"/>
      <c r="L16" s="1144"/>
      <c r="M16" s="1144"/>
      <c r="N16" s="1144"/>
      <c r="O16" s="1529"/>
      <c r="P16" s="1529"/>
      <c r="Q16" s="1529"/>
      <c r="R16" s="1530"/>
      <c r="S16" s="1529"/>
    </row>
    <row r="17" spans="1:39">
      <c r="B17" s="1144" t="s">
        <v>1791</v>
      </c>
      <c r="C17" s="1144"/>
      <c r="D17" s="1144"/>
      <c r="E17" s="1144"/>
      <c r="F17" s="1144"/>
      <c r="G17" s="1144"/>
      <c r="H17" s="1144"/>
      <c r="I17" s="1144"/>
      <c r="J17" s="1144"/>
      <c r="K17" s="1144"/>
      <c r="L17" s="1144"/>
      <c r="M17" s="1144"/>
      <c r="N17" s="1144"/>
      <c r="O17" s="1529"/>
      <c r="P17" s="1529"/>
      <c r="Q17" s="1529"/>
      <c r="R17" s="1530"/>
      <c r="S17" s="1529"/>
    </row>
    <row r="18" spans="1:39">
      <c r="B18" s="1144" t="s">
        <v>1792</v>
      </c>
      <c r="C18" s="1144"/>
      <c r="D18" s="1144"/>
      <c r="E18" s="1144"/>
      <c r="F18" s="1144"/>
      <c r="G18" s="1144"/>
      <c r="H18" s="1144"/>
      <c r="I18" s="1144"/>
      <c r="J18" s="1144"/>
      <c r="K18" s="1144"/>
      <c r="L18" s="1144"/>
      <c r="M18" s="1144"/>
      <c r="N18" s="1144"/>
      <c r="O18" s="1529"/>
      <c r="P18" s="1529"/>
      <c r="Q18" s="1529"/>
      <c r="R18" s="1530"/>
      <c r="S18" s="1529"/>
    </row>
    <row r="19" spans="1:39">
      <c r="A19" s="1552"/>
      <c r="B19" s="1149" t="s">
        <v>1793</v>
      </c>
      <c r="C19" s="1144"/>
      <c r="D19" s="1144"/>
      <c r="E19" s="1144"/>
      <c r="F19" s="1144"/>
      <c r="G19" s="1144"/>
      <c r="H19" s="1144"/>
      <c r="I19" s="1144"/>
      <c r="J19" s="1144"/>
      <c r="K19" s="1144"/>
      <c r="L19" s="1144"/>
      <c r="M19" s="1144"/>
      <c r="N19" s="1144"/>
      <c r="O19" s="795"/>
      <c r="P19" s="795"/>
      <c r="Q19" s="795"/>
      <c r="R19" s="795"/>
      <c r="S19" s="795"/>
      <c r="T19" s="795"/>
      <c r="U19" s="795"/>
      <c r="V19" s="795"/>
      <c r="W19" s="795"/>
      <c r="X19" s="795"/>
      <c r="Y19" s="795"/>
      <c r="Z19" s="795"/>
      <c r="AA19" s="795"/>
      <c r="AB19" s="795"/>
      <c r="AC19" s="795"/>
      <c r="AD19" s="795"/>
      <c r="AE19" s="795"/>
      <c r="AF19" s="795"/>
      <c r="AG19" s="795"/>
      <c r="AH19" s="795"/>
      <c r="AI19" s="795"/>
      <c r="AJ19" s="795"/>
      <c r="AK19" s="795"/>
      <c r="AL19" s="795"/>
      <c r="AM19" s="795"/>
    </row>
    <row r="20" spans="1:39">
      <c r="B20" s="1149" t="s">
        <v>1794</v>
      </c>
      <c r="C20" s="1144"/>
      <c r="D20" s="1144"/>
      <c r="E20" s="1144"/>
      <c r="F20" s="1144"/>
      <c r="G20" s="1144"/>
      <c r="H20" s="1144"/>
      <c r="I20" s="1144"/>
      <c r="J20" s="1144"/>
      <c r="K20" s="1144"/>
      <c r="L20" s="1144"/>
      <c r="M20" s="1144"/>
      <c r="N20" s="1144"/>
      <c r="O20" s="1529"/>
      <c r="P20" s="1529"/>
      <c r="Q20" s="1529"/>
      <c r="R20" s="1529"/>
      <c r="S20" s="1529"/>
    </row>
    <row r="21" spans="1:39">
      <c r="B21" s="1149" t="s">
        <v>1795</v>
      </c>
      <c r="C21" s="1144"/>
      <c r="D21" s="1144"/>
      <c r="E21" s="1144"/>
      <c r="F21" s="1144"/>
      <c r="G21" s="1144"/>
      <c r="H21" s="1144"/>
      <c r="I21" s="1144"/>
      <c r="J21" s="1144"/>
      <c r="K21" s="1144"/>
      <c r="L21" s="1144"/>
      <c r="M21" s="1144"/>
      <c r="N21" s="1144"/>
      <c r="O21" s="1529"/>
      <c r="P21" s="1529"/>
      <c r="Q21" s="1529"/>
      <c r="R21" s="1529"/>
      <c r="S21" s="1529"/>
    </row>
    <row r="22" spans="1:39">
      <c r="A22" s="1552"/>
      <c r="B22" s="1149" t="s">
        <v>1796</v>
      </c>
      <c r="C22" s="1144"/>
      <c r="D22" s="1144"/>
      <c r="E22" s="1144"/>
      <c r="F22" s="1144"/>
      <c r="G22" s="1144"/>
      <c r="H22" s="1144"/>
      <c r="I22" s="1144"/>
      <c r="J22" s="1144"/>
      <c r="K22" s="1144"/>
      <c r="L22" s="1144"/>
      <c r="M22" s="1144"/>
      <c r="N22" s="1144"/>
      <c r="O22" s="795"/>
      <c r="P22" s="795"/>
      <c r="Q22" s="795"/>
      <c r="R22" s="795"/>
      <c r="S22" s="795"/>
      <c r="T22" s="795"/>
      <c r="U22" s="795"/>
      <c r="V22" s="795"/>
      <c r="W22" s="795"/>
      <c r="X22" s="795"/>
      <c r="Y22" s="795"/>
      <c r="Z22" s="795"/>
      <c r="AA22" s="795"/>
      <c r="AB22" s="795"/>
      <c r="AC22" s="795"/>
      <c r="AD22" s="795"/>
      <c r="AE22" s="795"/>
      <c r="AF22" s="795"/>
      <c r="AG22" s="795"/>
      <c r="AH22" s="795"/>
      <c r="AI22" s="795"/>
      <c r="AJ22" s="795"/>
      <c r="AK22" s="795"/>
      <c r="AL22" s="795"/>
      <c r="AM22" s="795"/>
    </row>
    <row r="23" spans="1:39">
      <c r="B23" s="1144"/>
      <c r="C23" s="1144"/>
      <c r="D23" s="1144"/>
      <c r="E23" s="1144"/>
      <c r="F23" s="1144"/>
      <c r="G23" s="1144"/>
      <c r="H23" s="1144"/>
      <c r="I23" s="1144"/>
      <c r="J23" s="1144"/>
      <c r="K23" s="1144"/>
      <c r="L23" s="1144"/>
      <c r="M23" s="1144"/>
      <c r="N23" s="1144"/>
      <c r="O23" s="1529"/>
      <c r="P23" s="1529"/>
      <c r="Q23" s="1529"/>
      <c r="R23" s="1529"/>
      <c r="S23" s="1529"/>
    </row>
    <row r="24" spans="1:39" ht="13.5" customHeight="1">
      <c r="B24" s="1144"/>
      <c r="C24" s="1144"/>
      <c r="D24" s="1144"/>
      <c r="E24" s="1144"/>
      <c r="F24" s="1144"/>
      <c r="G24" s="1144"/>
      <c r="H24" s="1144"/>
      <c r="I24" s="1144"/>
      <c r="J24" s="1144"/>
      <c r="K24" s="1144"/>
      <c r="L24" s="1144"/>
      <c r="M24" s="1144"/>
      <c r="N24" s="1144"/>
      <c r="O24" s="1529"/>
      <c r="P24" s="1529"/>
      <c r="Q24" s="1529"/>
      <c r="R24" s="1529"/>
      <c r="S24" s="1529"/>
    </row>
    <row r="25" spans="1:39" ht="12.75" customHeight="1">
      <c r="B25" s="1148" t="s">
        <v>1420</v>
      </c>
      <c r="C25" s="1146"/>
      <c r="D25" s="1144"/>
      <c r="E25" s="1144"/>
      <c r="F25" s="1144"/>
      <c r="G25" s="1144"/>
      <c r="H25" s="1144"/>
      <c r="I25" s="1144"/>
      <c r="J25" s="1144"/>
      <c r="K25" s="1144"/>
      <c r="L25" s="1144"/>
      <c r="M25" s="1144"/>
      <c r="N25" s="1144"/>
      <c r="O25" s="1529"/>
      <c r="P25" s="1529"/>
      <c r="Q25" s="1529"/>
      <c r="R25" s="1529"/>
      <c r="S25" s="1529"/>
    </row>
    <row r="26" spans="1:39" ht="26.25" customHeight="1">
      <c r="B26" s="2671" t="s">
        <v>2310</v>
      </c>
      <c r="C26" s="2671"/>
      <c r="D26" s="2671"/>
      <c r="E26" s="2671"/>
      <c r="F26" s="2671"/>
      <c r="G26" s="2671"/>
      <c r="H26" s="2671"/>
      <c r="I26" s="2671"/>
      <c r="J26" s="2671"/>
      <c r="K26" s="2671"/>
      <c r="L26" s="2671"/>
      <c r="M26" s="2671"/>
      <c r="N26" s="2671"/>
      <c r="O26" s="1529"/>
      <c r="P26" s="1529"/>
      <c r="Q26" s="1529"/>
      <c r="R26" s="1529"/>
      <c r="S26" s="1529"/>
    </row>
    <row r="27" spans="1:39" ht="51" customHeight="1">
      <c r="B27" s="2671" t="s">
        <v>2309</v>
      </c>
      <c r="C27" s="2671"/>
      <c r="D27" s="2671"/>
      <c r="E27" s="2671"/>
      <c r="F27" s="2671"/>
      <c r="G27" s="2671"/>
      <c r="H27" s="2671"/>
      <c r="I27" s="2671"/>
      <c r="J27" s="2671"/>
      <c r="K27" s="2671"/>
      <c r="L27" s="2671"/>
      <c r="M27" s="2671"/>
      <c r="N27" s="2671"/>
      <c r="O27" s="1529"/>
      <c r="P27" s="1529"/>
      <c r="Q27" s="1529"/>
      <c r="R27" s="1529"/>
      <c r="S27" s="1529"/>
    </row>
    <row r="28" spans="1:39" ht="27.75" customHeight="1">
      <c r="B28" s="2671" t="s">
        <v>2308</v>
      </c>
      <c r="C28" s="2671"/>
      <c r="D28" s="2671"/>
      <c r="E28" s="2671"/>
      <c r="F28" s="2671"/>
      <c r="G28" s="2671"/>
      <c r="H28" s="2671"/>
      <c r="I28" s="2671"/>
      <c r="J28" s="2671"/>
      <c r="K28" s="2671"/>
      <c r="L28" s="2671"/>
      <c r="M28" s="2671"/>
      <c r="N28" s="1338"/>
      <c r="O28" s="1529"/>
      <c r="P28" s="1529"/>
      <c r="Q28" s="1529"/>
      <c r="R28" s="1529"/>
      <c r="S28" s="1529"/>
    </row>
    <row r="29" spans="1:39" ht="13.5" customHeight="1">
      <c r="B29" s="2679" t="s">
        <v>1486</v>
      </c>
      <c r="C29" s="2679"/>
      <c r="D29" s="2679"/>
      <c r="E29" s="2679"/>
      <c r="F29" s="2679"/>
      <c r="G29" s="2679"/>
      <c r="H29" s="2679"/>
      <c r="I29" s="2679"/>
      <c r="J29" s="2679"/>
      <c r="K29" s="2679"/>
      <c r="L29" s="2679"/>
      <c r="M29" s="2679"/>
      <c r="N29" s="2679"/>
      <c r="O29" s="1529"/>
      <c r="P29" s="1529"/>
      <c r="Q29" s="1529"/>
      <c r="R29" s="1529"/>
      <c r="S29" s="1529"/>
    </row>
    <row r="30" spans="1:39" ht="43.5" customHeight="1">
      <c r="B30" s="2787" t="s">
        <v>2307</v>
      </c>
      <c r="C30" s="2927"/>
      <c r="D30" s="2927"/>
      <c r="E30" s="2927"/>
      <c r="F30" s="2927"/>
      <c r="G30" s="2927"/>
      <c r="H30" s="2927"/>
      <c r="I30" s="2927"/>
      <c r="J30" s="2927"/>
      <c r="K30" s="2927"/>
      <c r="L30" s="2927"/>
      <c r="M30" s="2927"/>
      <c r="N30" s="2927"/>
      <c r="O30" s="1529"/>
      <c r="P30" s="1529"/>
      <c r="Q30" s="1529"/>
      <c r="R30" s="1529"/>
      <c r="S30" s="1529"/>
    </row>
    <row r="31" spans="1:39">
      <c r="B31" s="1144"/>
      <c r="C31" s="1144"/>
      <c r="D31" s="1144"/>
      <c r="E31" s="1144"/>
      <c r="F31" s="1144"/>
      <c r="G31" s="1144"/>
      <c r="H31" s="1144"/>
      <c r="I31" s="1144"/>
      <c r="J31" s="1144"/>
      <c r="K31" s="1144"/>
      <c r="L31" s="1144"/>
      <c r="M31" s="1144"/>
      <c r="N31" s="1144"/>
      <c r="O31" s="1684"/>
      <c r="P31" s="1628"/>
      <c r="Q31" s="1628"/>
      <c r="R31" s="2856"/>
      <c r="S31" s="2898"/>
    </row>
    <row r="32" spans="1:39" ht="80.099999999999994" customHeight="1">
      <c r="B32" s="1724" t="s">
        <v>1425</v>
      </c>
      <c r="C32" s="1340"/>
      <c r="D32" s="1340"/>
      <c r="E32" s="1339"/>
      <c r="F32" s="1339"/>
      <c r="G32" s="1339"/>
      <c r="H32" s="2905" t="s">
        <v>1433</v>
      </c>
      <c r="I32" s="2905"/>
      <c r="J32" s="2905"/>
      <c r="K32" s="2905"/>
      <c r="L32" s="2905"/>
      <c r="M32" s="2905"/>
      <c r="N32" s="2905"/>
      <c r="O32" s="1339" t="s">
        <v>1493</v>
      </c>
      <c r="P32" s="1155" t="s">
        <v>1435</v>
      </c>
    </row>
    <row r="33" spans="1:20" ht="40.5" customHeight="1">
      <c r="A33" s="1541"/>
      <c r="B33" s="2680" t="s">
        <v>2306</v>
      </c>
      <c r="C33" s="2681"/>
      <c r="D33" s="2681"/>
      <c r="E33" s="2681"/>
      <c r="F33" s="2681"/>
      <c r="G33" s="2738"/>
      <c r="H33" s="2907"/>
      <c r="I33" s="2907"/>
      <c r="J33" s="2907"/>
      <c r="K33" s="2907"/>
      <c r="L33" s="2907"/>
      <c r="M33" s="2907"/>
      <c r="N33" s="2907"/>
      <c r="O33" s="1388"/>
      <c r="P33" s="1388"/>
    </row>
    <row r="34" spans="1:20" ht="154.5" customHeight="1">
      <c r="A34" s="1541"/>
      <c r="B34" s="2680" t="s">
        <v>2305</v>
      </c>
      <c r="C34" s="2681"/>
      <c r="D34" s="2681"/>
      <c r="E34" s="2681"/>
      <c r="F34" s="2681"/>
      <c r="G34" s="2738"/>
      <c r="H34" s="2907"/>
      <c r="I34" s="2907"/>
      <c r="J34" s="2907"/>
      <c r="K34" s="2907"/>
      <c r="L34" s="2907"/>
      <c r="M34" s="2907"/>
      <c r="N34" s="2907"/>
      <c r="O34" s="1388"/>
      <c r="P34" s="1388"/>
    </row>
    <row r="35" spans="1:20" ht="103.5" customHeight="1">
      <c r="A35" s="1541"/>
      <c r="B35" s="2680" t="s">
        <v>2563</v>
      </c>
      <c r="C35" s="2681"/>
      <c r="D35" s="2681"/>
      <c r="E35" s="2681"/>
      <c r="F35" s="2681"/>
      <c r="G35" s="2738"/>
      <c r="H35" s="2907"/>
      <c r="I35" s="2907"/>
      <c r="J35" s="2907"/>
      <c r="K35" s="2907"/>
      <c r="L35" s="2907"/>
      <c r="M35" s="2907"/>
      <c r="N35" s="2907"/>
      <c r="O35" s="1388"/>
      <c r="P35" s="1388"/>
    </row>
    <row r="36" spans="1:20" ht="80.099999999999994" customHeight="1">
      <c r="B36" s="1233" t="s">
        <v>1453</v>
      </c>
      <c r="C36" s="1233" t="s">
        <v>1454</v>
      </c>
      <c r="D36" s="1233" t="s">
        <v>1431</v>
      </c>
      <c r="E36" s="1233" t="s">
        <v>1430</v>
      </c>
      <c r="F36" s="1163" t="s">
        <v>1428</v>
      </c>
      <c r="G36" s="1163" t="s">
        <v>1429</v>
      </c>
      <c r="H36" s="1339" t="s">
        <v>1797</v>
      </c>
      <c r="I36" s="1339" t="s">
        <v>1798</v>
      </c>
      <c r="J36" s="1339" t="s">
        <v>2193</v>
      </c>
      <c r="K36" s="1163" t="s">
        <v>1799</v>
      </c>
      <c r="L36" s="1339" t="s">
        <v>1800</v>
      </c>
      <c r="M36" s="1339" t="s">
        <v>1801</v>
      </c>
      <c r="N36" s="1163" t="s">
        <v>1802</v>
      </c>
      <c r="O36" s="1339" t="s">
        <v>1493</v>
      </c>
      <c r="P36" s="1155" t="s">
        <v>1435</v>
      </c>
      <c r="Q36" s="1155" t="s">
        <v>1436</v>
      </c>
      <c r="R36" s="2849" t="s">
        <v>1803</v>
      </c>
      <c r="S36" s="2849"/>
      <c r="T36" s="2849"/>
    </row>
    <row r="37" spans="1:20" ht="25.5" customHeight="1">
      <c r="B37" s="892"/>
      <c r="C37" s="892"/>
      <c r="D37" s="892"/>
      <c r="E37" s="892"/>
      <c r="F37" s="892"/>
      <c r="G37" s="892"/>
      <c r="H37" s="944"/>
      <c r="I37" s="944"/>
      <c r="J37" s="945"/>
      <c r="K37" s="892"/>
      <c r="L37" s="945"/>
      <c r="M37" s="945"/>
      <c r="N37" s="892"/>
      <c r="O37" s="892"/>
      <c r="P37" s="1376"/>
      <c r="Q37" s="1786"/>
      <c r="R37" s="2897"/>
      <c r="S37" s="2897"/>
      <c r="T37" s="2897"/>
    </row>
    <row r="38" spans="1:20" ht="25.5" customHeight="1">
      <c r="B38" s="892"/>
      <c r="C38" s="892"/>
      <c r="D38" s="892"/>
      <c r="E38" s="892"/>
      <c r="F38" s="892"/>
      <c r="G38" s="892"/>
      <c r="H38" s="944"/>
      <c r="I38" s="944"/>
      <c r="J38" s="933"/>
      <c r="K38" s="892"/>
      <c r="L38" s="933"/>
      <c r="M38" s="933"/>
      <c r="N38" s="892"/>
      <c r="O38" s="892"/>
      <c r="P38" s="1376"/>
      <c r="Q38" s="1786"/>
      <c r="R38" s="2897"/>
      <c r="S38" s="2897"/>
      <c r="T38" s="2897"/>
    </row>
    <row r="39" spans="1:20" ht="25.5" customHeight="1">
      <c r="B39" s="892"/>
      <c r="C39" s="892"/>
      <c r="D39" s="892"/>
      <c r="E39" s="892"/>
      <c r="F39" s="892"/>
      <c r="G39" s="892"/>
      <c r="H39" s="944"/>
      <c r="I39" s="944"/>
      <c r="J39" s="933"/>
      <c r="K39" s="892"/>
      <c r="L39" s="933"/>
      <c r="M39" s="933"/>
      <c r="N39" s="892"/>
      <c r="O39" s="892"/>
      <c r="P39" s="1376"/>
      <c r="Q39" s="1786"/>
      <c r="R39" s="2897"/>
      <c r="S39" s="2897"/>
      <c r="T39" s="2897"/>
    </row>
    <row r="40" spans="1:20">
      <c r="B40" s="892"/>
      <c r="C40" s="892"/>
      <c r="D40" s="892"/>
      <c r="E40" s="892"/>
      <c r="F40" s="892"/>
      <c r="G40" s="892"/>
      <c r="H40" s="944"/>
      <c r="I40" s="944"/>
      <c r="J40" s="933"/>
      <c r="K40" s="933"/>
      <c r="L40" s="933"/>
      <c r="M40" s="933"/>
      <c r="N40" s="892"/>
      <c r="O40" s="892"/>
      <c r="P40" s="1376"/>
      <c r="Q40" s="1786"/>
      <c r="R40" s="2897"/>
      <c r="S40" s="2897"/>
      <c r="T40" s="2897"/>
    </row>
    <row r="41" spans="1:20">
      <c r="B41" s="892"/>
      <c r="C41" s="892"/>
      <c r="D41" s="892"/>
      <c r="E41" s="892"/>
      <c r="F41" s="892"/>
      <c r="G41" s="892"/>
      <c r="H41" s="944"/>
      <c r="I41" s="944"/>
      <c r="J41" s="933"/>
      <c r="K41" s="933"/>
      <c r="L41" s="933"/>
      <c r="M41" s="933"/>
      <c r="N41" s="892"/>
      <c r="O41" s="892"/>
      <c r="P41" s="1376"/>
      <c r="Q41" s="1786"/>
      <c r="R41" s="2897"/>
      <c r="S41" s="2897"/>
      <c r="T41" s="2897"/>
    </row>
    <row r="42" spans="1:20">
      <c r="B42" s="892"/>
      <c r="C42" s="892"/>
      <c r="D42" s="892"/>
      <c r="E42" s="892"/>
      <c r="F42" s="892"/>
      <c r="G42" s="892"/>
      <c r="H42" s="944"/>
      <c r="I42" s="944"/>
      <c r="J42" s="933"/>
      <c r="K42" s="933"/>
      <c r="L42" s="933"/>
      <c r="M42" s="933"/>
      <c r="N42" s="892"/>
      <c r="O42" s="892"/>
      <c r="P42" s="1376"/>
      <c r="Q42" s="1786"/>
      <c r="R42" s="2897"/>
      <c r="S42" s="2897"/>
      <c r="T42" s="2897"/>
    </row>
    <row r="43" spans="1:20">
      <c r="B43" s="892"/>
      <c r="C43" s="892"/>
      <c r="D43" s="892"/>
      <c r="E43" s="892"/>
      <c r="F43" s="892"/>
      <c r="G43" s="892"/>
      <c r="H43" s="944"/>
      <c r="I43" s="944"/>
      <c r="J43" s="933"/>
      <c r="K43" s="933"/>
      <c r="L43" s="933"/>
      <c r="M43" s="933"/>
      <c r="N43" s="892"/>
      <c r="O43" s="892"/>
      <c r="P43" s="1376"/>
      <c r="Q43" s="1786"/>
      <c r="R43" s="2897"/>
      <c r="S43" s="2897"/>
      <c r="T43" s="2897"/>
    </row>
    <row r="44" spans="1:20" ht="12.75" customHeight="1">
      <c r="B44" s="892"/>
      <c r="C44" s="892"/>
      <c r="D44" s="892"/>
      <c r="E44" s="892"/>
      <c r="F44" s="892"/>
      <c r="G44" s="892"/>
      <c r="H44" s="944"/>
      <c r="I44" s="944"/>
      <c r="J44" s="933"/>
      <c r="K44" s="933"/>
      <c r="L44" s="933"/>
      <c r="M44" s="933"/>
      <c r="N44" s="892"/>
      <c r="O44" s="892"/>
      <c r="P44" s="1376"/>
      <c r="Q44" s="1786"/>
      <c r="R44" s="2897"/>
      <c r="S44" s="2897"/>
      <c r="T44" s="2897"/>
    </row>
    <row r="45" spans="1:20">
      <c r="B45" s="892"/>
      <c r="C45" s="892"/>
      <c r="D45" s="892"/>
      <c r="E45" s="892"/>
      <c r="F45" s="892"/>
      <c r="G45" s="892"/>
      <c r="H45" s="944"/>
      <c r="I45" s="944"/>
      <c r="J45" s="933"/>
      <c r="K45" s="933"/>
      <c r="L45" s="933"/>
      <c r="M45" s="933"/>
      <c r="N45" s="892"/>
      <c r="O45" s="892"/>
      <c r="P45" s="1376"/>
      <c r="Q45" s="1786"/>
      <c r="R45" s="2897"/>
      <c r="S45" s="2897"/>
      <c r="T45" s="2897"/>
    </row>
    <row r="46" spans="1:20">
      <c r="B46" s="1529"/>
      <c r="C46" s="1529"/>
      <c r="D46" s="1529"/>
      <c r="E46" s="1529"/>
      <c r="F46" s="1529"/>
      <c r="G46" s="1529"/>
      <c r="H46" s="1529"/>
      <c r="I46" s="1529"/>
      <c r="J46" s="1529"/>
      <c r="K46" s="1529"/>
      <c r="L46" s="1529"/>
      <c r="M46" s="1529"/>
      <c r="N46" s="1529"/>
      <c r="O46" s="1529"/>
      <c r="P46" s="1529"/>
      <c r="Q46" s="1529"/>
      <c r="R46" s="1529"/>
      <c r="S46" s="1529"/>
    </row>
    <row r="47" spans="1:20">
      <c r="B47" s="1529"/>
      <c r="C47" s="1529"/>
      <c r="D47" s="1529"/>
      <c r="E47" s="1529"/>
      <c r="F47" s="1529"/>
      <c r="G47" s="1529"/>
      <c r="H47" s="1529"/>
      <c r="I47" s="1529"/>
      <c r="J47" s="1529"/>
      <c r="K47" s="1529"/>
      <c r="L47" s="1529"/>
      <c r="M47" s="1529"/>
      <c r="N47" s="1529"/>
      <c r="O47" s="1529"/>
      <c r="P47" s="1529"/>
      <c r="Q47" s="1529"/>
      <c r="R47" s="1529"/>
      <c r="S47" s="1529"/>
    </row>
    <row r="48" spans="1:20" ht="80.099999999999994" customHeight="1" thickBot="1">
      <c r="A48" s="1526"/>
      <c r="B48" s="1623" t="s">
        <v>1439</v>
      </c>
      <c r="C48" s="1785"/>
      <c r="D48" s="1785"/>
      <c r="E48" s="1784" t="s">
        <v>1426</v>
      </c>
      <c r="F48" s="2906" t="s">
        <v>1504</v>
      </c>
      <c r="G48" s="2906"/>
      <c r="H48" s="2904" t="s">
        <v>1433</v>
      </c>
      <c r="I48" s="2904"/>
      <c r="J48" s="2904"/>
      <c r="K48" s="2904"/>
      <c r="L48" s="2904"/>
      <c r="M48" s="2904"/>
      <c r="N48" s="2904"/>
      <c r="O48" s="1623" t="s">
        <v>1493</v>
      </c>
      <c r="P48" s="1783" t="s">
        <v>1435</v>
      </c>
      <c r="Q48" s="1783" t="s">
        <v>1436</v>
      </c>
      <c r="R48" s="2901" t="s">
        <v>1803</v>
      </c>
      <c r="S48" s="2902"/>
      <c r="T48" s="1782"/>
    </row>
    <row r="49" spans="1:68" s="1539" customFormat="1" ht="15.75">
      <c r="A49" s="1540"/>
      <c r="B49" s="2903" t="s">
        <v>1338</v>
      </c>
      <c r="C49" s="2688"/>
      <c r="D49" s="2688"/>
      <c r="E49" s="2688"/>
      <c r="F49" s="2688"/>
      <c r="G49" s="2688"/>
      <c r="H49" s="2688"/>
      <c r="I49" s="2688"/>
      <c r="J49" s="2688"/>
      <c r="K49" s="2688"/>
      <c r="L49" s="2688"/>
      <c r="M49" s="2688"/>
      <c r="N49" s="2688"/>
      <c r="O49" s="2688"/>
      <c r="P49" s="2688"/>
      <c r="Q49" s="2688"/>
      <c r="R49" s="2688"/>
      <c r="S49" s="2688"/>
      <c r="T49" s="2688"/>
      <c r="U49" s="1540"/>
      <c r="V49" s="1540"/>
      <c r="W49" s="1540"/>
      <c r="X49" s="1540"/>
      <c r="Y49" s="1540"/>
      <c r="Z49" s="1540"/>
      <c r="AA49" s="1540"/>
      <c r="AB49" s="1540"/>
      <c r="AC49" s="1540"/>
      <c r="AD49" s="1540"/>
      <c r="AE49" s="1540"/>
      <c r="AF49" s="1540"/>
      <c r="AG49" s="1540"/>
      <c r="AH49" s="1540"/>
      <c r="AI49" s="1540"/>
      <c r="AJ49" s="1540"/>
      <c r="AK49" s="1540"/>
      <c r="AL49" s="1540"/>
      <c r="AM49" s="1540"/>
      <c r="AN49" s="1540"/>
      <c r="AO49" s="1540"/>
      <c r="AP49" s="1540"/>
      <c r="AQ49" s="1540"/>
      <c r="AR49" s="1540"/>
      <c r="AS49" s="1540"/>
      <c r="AT49" s="1540"/>
      <c r="AU49" s="1540"/>
      <c r="AV49" s="1540"/>
      <c r="AW49" s="1540"/>
      <c r="AX49" s="1540"/>
      <c r="AY49" s="1540"/>
      <c r="AZ49" s="1540"/>
      <c r="BA49" s="1540"/>
      <c r="BB49" s="1540"/>
      <c r="BC49" s="1540"/>
      <c r="BD49" s="1540"/>
      <c r="BE49" s="1540"/>
      <c r="BF49" s="1540"/>
      <c r="BG49" s="1540"/>
      <c r="BH49" s="1540"/>
      <c r="BI49" s="1540"/>
      <c r="BJ49" s="1540"/>
      <c r="BK49" s="1540"/>
      <c r="BL49" s="1540"/>
      <c r="BM49" s="1540"/>
      <c r="BN49" s="1540"/>
      <c r="BO49" s="1540"/>
      <c r="BP49" s="1540"/>
    </row>
    <row r="50" spans="1:68" ht="54" customHeight="1">
      <c r="A50" s="1781"/>
      <c r="B50" s="2693" t="s">
        <v>2304</v>
      </c>
      <c r="C50" s="2694"/>
      <c r="D50" s="2694"/>
      <c r="E50" s="2694"/>
      <c r="F50" s="2694"/>
      <c r="G50" s="2812"/>
      <c r="H50" s="2907"/>
      <c r="I50" s="2907"/>
      <c r="J50" s="2907"/>
      <c r="K50" s="2907"/>
      <c r="L50" s="2907"/>
      <c r="M50" s="2907"/>
      <c r="N50" s="2907"/>
      <c r="O50" s="1388"/>
      <c r="P50" s="1388"/>
      <c r="Q50" s="1370"/>
      <c r="R50" s="2677"/>
      <c r="S50" s="2890"/>
      <c r="T50" s="2678"/>
    </row>
    <row r="51" spans="1:68" s="1539" customFormat="1" ht="15.75">
      <c r="A51" s="1540"/>
      <c r="B51" s="2903" t="s">
        <v>2303</v>
      </c>
      <c r="C51" s="2688"/>
      <c r="D51" s="2688"/>
      <c r="E51" s="2688"/>
      <c r="F51" s="2688"/>
      <c r="G51" s="2688"/>
      <c r="H51" s="2688"/>
      <c r="I51" s="2688"/>
      <c r="J51" s="2688"/>
      <c r="K51" s="2688"/>
      <c r="L51" s="2688"/>
      <c r="M51" s="2688"/>
      <c r="N51" s="2688"/>
      <c r="O51" s="2688"/>
      <c r="P51" s="2688"/>
      <c r="Q51" s="2688"/>
      <c r="R51" s="2688"/>
      <c r="S51" s="2688"/>
      <c r="T51" s="2688"/>
      <c r="U51" s="1540"/>
      <c r="V51" s="1540"/>
      <c r="W51" s="1540"/>
      <c r="X51" s="1540"/>
      <c r="Y51" s="1540"/>
      <c r="Z51" s="1540"/>
      <c r="AA51" s="1540"/>
      <c r="AB51" s="1540"/>
      <c r="AC51" s="1540"/>
      <c r="AD51" s="1540"/>
      <c r="AE51" s="1540"/>
      <c r="AF51" s="1540"/>
      <c r="AG51" s="1540"/>
      <c r="AH51" s="1540"/>
      <c r="AI51" s="1540"/>
      <c r="AJ51" s="1540"/>
      <c r="AK51" s="1540"/>
      <c r="AL51" s="1540"/>
      <c r="AM51" s="1540"/>
      <c r="AN51" s="1540"/>
      <c r="AO51" s="1540"/>
      <c r="AP51" s="1540"/>
      <c r="AQ51" s="1540"/>
      <c r="AR51" s="1540"/>
      <c r="AS51" s="1540"/>
      <c r="AT51" s="1540"/>
      <c r="AU51" s="1540"/>
      <c r="AV51" s="1540"/>
      <c r="AW51" s="1540"/>
      <c r="AX51" s="1540"/>
      <c r="AY51" s="1540"/>
      <c r="AZ51" s="1540"/>
      <c r="BA51" s="1540"/>
      <c r="BB51" s="1540"/>
      <c r="BC51" s="1540"/>
      <c r="BD51" s="1540"/>
      <c r="BE51" s="1540"/>
      <c r="BF51" s="1540"/>
      <c r="BG51" s="1540"/>
      <c r="BH51" s="1540"/>
      <c r="BI51" s="1540"/>
      <c r="BJ51" s="1540"/>
      <c r="BK51" s="1540"/>
      <c r="BL51" s="1540"/>
      <c r="BM51" s="1540"/>
      <c r="BN51" s="1540"/>
      <c r="BO51" s="1540"/>
      <c r="BP51" s="1540"/>
    </row>
    <row r="52" spans="1:68" ht="180" customHeight="1">
      <c r="A52" s="1781"/>
      <c r="B52" s="2693" t="s">
        <v>1804</v>
      </c>
      <c r="C52" s="2694"/>
      <c r="D52" s="2699"/>
      <c r="E52" s="891" t="str">
        <f>IF('Project Info'!C4='Project Info'!P32,'Prescriptive Path Checklist'!C120,IF('Project Info'!C4='Project Info'!P33,"NA","&lt;Select compliance path on the 'Project Info' tab&gt;"))</f>
        <v>Central exhaust fans 1/16 HP and less must be direct-drive and have variable speed controllers.
Central exhaust fans greater than 1/16 HP and less than 1 HP must be direct-drive with ECM motors and variable speed controllers.
Central exhaust fans 1 HP and larger must have NEMA Premium efficient motors.</v>
      </c>
      <c r="F52" s="2706">
        <f>ERMs!B57</f>
        <v>0</v>
      </c>
      <c r="G52" s="2707"/>
      <c r="H52" s="2907"/>
      <c r="I52" s="2907"/>
      <c r="J52" s="2907"/>
      <c r="K52" s="2907"/>
      <c r="L52" s="2907"/>
      <c r="M52" s="2907"/>
      <c r="N52" s="2907"/>
      <c r="O52" s="1388"/>
      <c r="P52" s="1388"/>
      <c r="Q52" s="1370"/>
      <c r="R52" s="2677"/>
      <c r="S52" s="2890"/>
      <c r="T52" s="2890"/>
    </row>
    <row r="53" spans="1:68" ht="183" customHeight="1">
      <c r="A53" s="1536"/>
      <c r="B53" s="2693" t="s">
        <v>1805</v>
      </c>
      <c r="C53" s="2694"/>
      <c r="D53" s="2699"/>
      <c r="E53" s="891" t="str">
        <f>IF('Project Info'!C4='Project Info'!P32,'Prescriptive Path Checklist'!C124,IF('Project Info'!C4='Project Info'!P33,"NA","&lt;Select compliance path on the 'Project Info' tab&gt;"))</f>
        <v>Central exhaust fans 1/16 HP and less must be direct-drive and have variable speed controllers.
Central exhaust fans greater than 1/16 HP and less than 1 HP must be direct-drive with ECM motors and variable speed controllers.
Central exhaust fans 1 HP and larger must have NEMA Premium efficient motors.</v>
      </c>
      <c r="F53" s="2706">
        <f>ERMs!B55</f>
        <v>0</v>
      </c>
      <c r="G53" s="2707"/>
      <c r="H53" s="2907"/>
      <c r="I53" s="2907"/>
      <c r="J53" s="2907"/>
      <c r="K53" s="2907"/>
      <c r="L53" s="2907"/>
      <c r="M53" s="2907"/>
      <c r="N53" s="2907"/>
      <c r="O53" s="1388"/>
      <c r="P53" s="1388"/>
      <c r="Q53" s="1370"/>
      <c r="R53" s="2899"/>
      <c r="S53" s="2900"/>
      <c r="T53" s="2900"/>
    </row>
    <row r="54" spans="1:68" ht="47.25" customHeight="1">
      <c r="A54" s="1536"/>
      <c r="B54" s="2693" t="s">
        <v>1806</v>
      </c>
      <c r="C54" s="2694"/>
      <c r="D54" s="2699"/>
      <c r="E54" s="891" t="str">
        <f>IF('Project Info'!C4='Project Info'!P32,'Prescriptive Path Checklist'!C125,IF('Project Info'!C4='Project Info'!P33,#REF!,"&lt;Select compliance path on the 'Project Info' tab&gt;"))</f>
        <v>Apartment in-line and ceiling exhaust fans must be ENERGY STAR certified.</v>
      </c>
      <c r="F54" s="2706">
        <f>ERMs!B56</f>
        <v>0</v>
      </c>
      <c r="G54" s="2707"/>
      <c r="H54" s="2907"/>
      <c r="I54" s="2907"/>
      <c r="J54" s="2907"/>
      <c r="K54" s="2907"/>
      <c r="L54" s="2907"/>
      <c r="M54" s="2907"/>
      <c r="N54" s="2907"/>
      <c r="O54" s="1388"/>
      <c r="P54" s="1388"/>
      <c r="Q54" s="1370"/>
      <c r="R54" s="2899"/>
      <c r="S54" s="2900"/>
      <c r="T54" s="2900"/>
    </row>
    <row r="55" spans="1:68" ht="369.75" customHeight="1">
      <c r="A55" s="1541"/>
      <c r="B55" s="2680" t="s">
        <v>2302</v>
      </c>
      <c r="C55" s="2681"/>
      <c r="D55" s="2917"/>
      <c r="E55" s="891" t="str">
        <f>IF('Project Info'!C4='Project Info'!P32,'Prescriptive Path Checklist'!C119&amp;"
"&amp;'Prescriptive Path Checklist'!C122,IF('Project Info'!C4='Project Info'!P33,#REF!&amp;"
"&amp;#REF!,"&lt;Select compliance path on the 'Project Info' tab&gt;"))</f>
        <v>Common area ventilation systems shall be designed and tested to satisfy minimum requirements of ASHRAE 62.1-2007, without exceeding the minimum ventilation rates by more than 50%.
Apartment ventilation and local exhaust systems shall be designed and tested to satisfy minimum requirements of Section 4.1 of ASHRAE 62.2-2007, without reliance on natural ventilation and without exceeding the minimum ventilation rates by more than 50%. 
Outdoor air must be provided to each unit directly from the outdoors.  Projects using exhaust ventilation systems must specify how outside air is delivered at the flow rate required by ASHRAE 62.2-2007.  Systems that rely on transfer air from pressurized hallways or corridors, adjacent to dwelling units, attics, etc., are prohibited.</v>
      </c>
      <c r="F55" s="2706">
        <f>ERMs!B52</f>
        <v>0</v>
      </c>
      <c r="G55" s="2707"/>
      <c r="H55" s="2907"/>
      <c r="I55" s="2907"/>
      <c r="J55" s="2907"/>
      <c r="K55" s="2907"/>
      <c r="L55" s="2907"/>
      <c r="M55" s="2907"/>
      <c r="N55" s="2907"/>
      <c r="O55" s="1388"/>
      <c r="P55" s="1388"/>
      <c r="Q55" s="1370"/>
      <c r="R55" s="2899"/>
      <c r="S55" s="2900"/>
      <c r="T55" s="2900"/>
    </row>
    <row r="56" spans="1:68" ht="240" customHeight="1">
      <c r="A56" s="1541"/>
      <c r="B56" s="2693" t="s">
        <v>2301</v>
      </c>
      <c r="C56" s="2694"/>
      <c r="D56" s="2699"/>
      <c r="E56" s="891" t="str">
        <f>IF('Project Info'!C4='Project Info'!P32,'Prescriptive Path Checklist'!C121,IF('Project Info'!C4='Project Info'!P33,"NA","&lt;Select compliance path on the 'Project Info' tab&gt;"))</f>
        <v xml:space="preserve">Powered common laundry ventilation must be installed with automatic demand control to turn off ventilation fans when no dryers are operating.  </v>
      </c>
      <c r="F56" s="2706">
        <f>ERMs!B58</f>
        <v>0</v>
      </c>
      <c r="G56" s="2707"/>
      <c r="H56" s="2907"/>
      <c r="I56" s="2907"/>
      <c r="J56" s="2907"/>
      <c r="K56" s="2907"/>
      <c r="L56" s="2907"/>
      <c r="M56" s="2907"/>
      <c r="N56" s="2907"/>
      <c r="O56" s="1388"/>
      <c r="P56" s="1388"/>
      <c r="Q56" s="1370"/>
      <c r="R56" s="2899"/>
      <c r="S56" s="2900"/>
      <c r="T56" s="2900"/>
    </row>
    <row r="57" spans="1:68" ht="54.75" customHeight="1">
      <c r="A57" s="1541"/>
      <c r="B57" s="2680" t="s">
        <v>1807</v>
      </c>
      <c r="C57" s="2681"/>
      <c r="D57" s="2681"/>
      <c r="E57" s="891" t="s">
        <v>946</v>
      </c>
      <c r="F57" s="2706">
        <f>ERMs!B53</f>
        <v>0</v>
      </c>
      <c r="G57" s="2707"/>
      <c r="H57" s="2907"/>
      <c r="I57" s="2907"/>
      <c r="J57" s="2907"/>
      <c r="K57" s="2907"/>
      <c r="L57" s="2907"/>
      <c r="M57" s="2907"/>
      <c r="N57" s="2907"/>
      <c r="O57" s="1388"/>
      <c r="P57" s="1388"/>
      <c r="Q57" s="1370"/>
      <c r="R57" s="2899"/>
      <c r="S57" s="2900"/>
      <c r="T57" s="2900"/>
    </row>
    <row r="58" spans="1:68" s="1539" customFormat="1" ht="15.75">
      <c r="A58" s="1665"/>
      <c r="B58" s="2903" t="s">
        <v>1352</v>
      </c>
      <c r="C58" s="2688"/>
      <c r="D58" s="2688"/>
      <c r="E58" s="2688"/>
      <c r="F58" s="2688"/>
      <c r="G58" s="2688"/>
      <c r="H58" s="2688"/>
      <c r="I58" s="2688"/>
      <c r="J58" s="2688"/>
      <c r="K58" s="2688"/>
      <c r="L58" s="2688"/>
      <c r="M58" s="2688"/>
      <c r="N58" s="2688"/>
      <c r="O58" s="2688"/>
      <c r="P58" s="2688"/>
      <c r="Q58" s="2688"/>
      <c r="R58" s="2688"/>
      <c r="S58" s="2688"/>
      <c r="T58" s="2688"/>
      <c r="U58" s="1540"/>
      <c r="V58" s="1540"/>
      <c r="W58" s="1540"/>
      <c r="X58" s="1540"/>
      <c r="Y58" s="1540"/>
      <c r="Z58" s="1540"/>
      <c r="AA58" s="1540"/>
      <c r="AB58" s="1540"/>
      <c r="AC58" s="1540"/>
      <c r="AD58" s="1540"/>
      <c r="AE58" s="1540"/>
      <c r="AF58" s="1540"/>
      <c r="AG58" s="1540"/>
      <c r="AH58" s="1540"/>
      <c r="AI58" s="1540"/>
      <c r="AJ58" s="1540"/>
      <c r="AK58" s="1540"/>
      <c r="AL58" s="1540"/>
      <c r="AM58" s="1540"/>
      <c r="AN58" s="1540"/>
      <c r="AO58" s="1540"/>
      <c r="AP58" s="1540"/>
      <c r="AQ58" s="1540"/>
      <c r="AR58" s="1540"/>
      <c r="AS58" s="1540"/>
      <c r="AT58" s="1540"/>
      <c r="AU58" s="1540"/>
      <c r="AV58" s="1540"/>
      <c r="AW58" s="1540"/>
      <c r="AX58" s="1540"/>
      <c r="AY58" s="1540"/>
      <c r="AZ58" s="1540"/>
      <c r="BA58" s="1540"/>
      <c r="BB58" s="1540"/>
      <c r="BC58" s="1540"/>
      <c r="BD58" s="1540"/>
      <c r="BE58" s="1540"/>
      <c r="BF58" s="1540"/>
      <c r="BG58" s="1540"/>
      <c r="BH58" s="1540"/>
      <c r="BI58" s="1540"/>
      <c r="BJ58" s="1540"/>
      <c r="BK58" s="1540"/>
      <c r="BL58" s="1540"/>
      <c r="BM58" s="1540"/>
      <c r="BN58" s="1540"/>
      <c r="BO58" s="1540"/>
      <c r="BP58" s="1540"/>
    </row>
    <row r="59" spans="1:68" ht="114.75" customHeight="1">
      <c r="A59" s="1536"/>
      <c r="B59" s="2680" t="s">
        <v>2564</v>
      </c>
      <c r="C59" s="2681"/>
      <c r="D59" s="2681"/>
      <c r="E59" s="2681"/>
      <c r="F59" s="2681"/>
      <c r="G59" s="2681"/>
      <c r="H59" s="2907"/>
      <c r="I59" s="2907"/>
      <c r="J59" s="2907"/>
      <c r="K59" s="2907"/>
      <c r="L59" s="2907"/>
      <c r="M59" s="2907"/>
      <c r="N59" s="2907"/>
      <c r="O59" s="1388"/>
      <c r="P59" s="1388"/>
      <c r="Q59" s="1370"/>
      <c r="R59" s="2899"/>
      <c r="S59" s="2900"/>
      <c r="T59" s="2900"/>
    </row>
    <row r="60" spans="1:68" ht="120" customHeight="1">
      <c r="A60" s="1652"/>
      <c r="B60" s="2680" t="s">
        <v>2300</v>
      </c>
      <c r="C60" s="2681"/>
      <c r="D60" s="2681"/>
      <c r="E60" s="2681"/>
      <c r="F60" s="2681"/>
      <c r="G60" s="2681"/>
      <c r="H60" s="2907"/>
      <c r="I60" s="2907"/>
      <c r="J60" s="2907"/>
      <c r="K60" s="2907"/>
      <c r="L60" s="2907"/>
      <c r="M60" s="2907"/>
      <c r="N60" s="2907"/>
      <c r="O60" s="1388"/>
      <c r="P60" s="1388"/>
      <c r="Q60" s="1370"/>
      <c r="R60" s="2677"/>
      <c r="S60" s="2890"/>
      <c r="T60" s="2678"/>
    </row>
    <row r="61" spans="1:68" ht="30.75" customHeight="1">
      <c r="A61" s="1780"/>
      <c r="B61" s="2674" t="s">
        <v>2299</v>
      </c>
      <c r="C61" s="2674"/>
      <c r="D61" s="2674"/>
      <c r="E61" s="2674"/>
      <c r="F61" s="2674"/>
      <c r="G61" s="2680"/>
      <c r="H61" s="2907"/>
      <c r="I61" s="2907"/>
      <c r="J61" s="2907"/>
      <c r="K61" s="2907"/>
      <c r="L61" s="2907"/>
      <c r="M61" s="2907"/>
      <c r="N61" s="2907"/>
      <c r="O61" s="1388"/>
      <c r="P61" s="1388"/>
      <c r="Q61" s="1370"/>
      <c r="R61" s="2677"/>
      <c r="S61" s="2890"/>
      <c r="T61" s="2678"/>
    </row>
    <row r="62" spans="1:68" ht="39" customHeight="1">
      <c r="A62" s="1652"/>
      <c r="B62" s="2903" t="s">
        <v>1359</v>
      </c>
      <c r="C62" s="2688"/>
      <c r="D62" s="2688"/>
      <c r="E62" s="2688"/>
      <c r="F62" s="2688"/>
      <c r="G62" s="2688"/>
      <c r="H62" s="2688"/>
      <c r="I62" s="2688"/>
      <c r="J62" s="2688"/>
      <c r="K62" s="2688"/>
      <c r="L62" s="2688"/>
      <c r="M62" s="2688"/>
      <c r="N62" s="2688"/>
      <c r="O62" s="2688"/>
      <c r="P62" s="2688"/>
      <c r="Q62" s="2688"/>
      <c r="R62" s="2688"/>
      <c r="S62" s="2688"/>
      <c r="T62" s="2688"/>
    </row>
    <row r="63" spans="1:68" s="1539" customFormat="1">
      <c r="A63" s="1665"/>
      <c r="B63" s="2680" t="s">
        <v>2298</v>
      </c>
      <c r="C63" s="2681"/>
      <c r="D63" s="2681"/>
      <c r="E63" s="2681"/>
      <c r="F63" s="2681"/>
      <c r="G63" s="2681"/>
      <c r="H63" s="2907"/>
      <c r="I63" s="2907"/>
      <c r="J63" s="2907"/>
      <c r="K63" s="2907"/>
      <c r="L63" s="2907"/>
      <c r="M63" s="2907"/>
      <c r="N63" s="2907"/>
      <c r="O63" s="1388"/>
      <c r="P63" s="1388"/>
      <c r="Q63" s="1370"/>
      <c r="R63" s="2677"/>
      <c r="S63" s="2890"/>
      <c r="T63" s="2678"/>
      <c r="U63" s="1540"/>
      <c r="V63" s="1540"/>
      <c r="W63" s="1540"/>
      <c r="X63" s="1540"/>
      <c r="Y63" s="1540"/>
      <c r="Z63" s="1540"/>
      <c r="AA63" s="1540"/>
      <c r="AB63" s="1540"/>
      <c r="AC63" s="1540"/>
      <c r="AD63" s="1540"/>
      <c r="AE63" s="1540"/>
      <c r="AF63" s="1540"/>
      <c r="AG63" s="1540"/>
      <c r="AH63" s="1540"/>
      <c r="AI63" s="1540"/>
      <c r="AJ63" s="1540"/>
      <c r="AK63" s="1540"/>
      <c r="AL63" s="1540"/>
      <c r="AM63" s="1540"/>
      <c r="AN63" s="1540"/>
      <c r="AO63" s="1540"/>
      <c r="AP63" s="1540"/>
      <c r="AQ63" s="1540"/>
      <c r="AR63" s="1540"/>
      <c r="AS63" s="1540"/>
      <c r="AT63" s="1540"/>
      <c r="AU63" s="1540"/>
      <c r="AV63" s="1540"/>
      <c r="AW63" s="1540"/>
      <c r="AX63" s="1540"/>
      <c r="AY63" s="1540"/>
      <c r="AZ63" s="1540"/>
      <c r="BA63" s="1540"/>
      <c r="BB63" s="1540"/>
      <c r="BC63" s="1540"/>
      <c r="BD63" s="1540"/>
      <c r="BE63" s="1540"/>
      <c r="BF63" s="1540"/>
      <c r="BG63" s="1540"/>
      <c r="BH63" s="1540"/>
      <c r="BI63" s="1540"/>
      <c r="BJ63" s="1540"/>
      <c r="BK63" s="1540"/>
      <c r="BL63" s="1540"/>
      <c r="BM63" s="1540"/>
      <c r="BN63" s="1540"/>
      <c r="BO63" s="1540"/>
      <c r="BP63" s="1540"/>
    </row>
    <row r="64" spans="1:68" ht="180" customHeight="1">
      <c r="A64" s="1426"/>
      <c r="B64" s="2807" t="s">
        <v>1808</v>
      </c>
      <c r="C64" s="2808"/>
      <c r="D64" s="2808"/>
      <c r="E64" s="2808"/>
      <c r="F64" s="2808"/>
      <c r="G64" s="2808"/>
      <c r="H64" s="2907"/>
      <c r="I64" s="2907"/>
      <c r="J64" s="2907"/>
      <c r="K64" s="2907"/>
      <c r="L64" s="2907"/>
      <c r="M64" s="2907"/>
      <c r="N64" s="2907"/>
      <c r="O64" s="1388"/>
      <c r="P64" s="1388"/>
      <c r="Q64" s="1370"/>
      <c r="R64" s="2677"/>
      <c r="S64" s="2890"/>
      <c r="T64" s="2678"/>
    </row>
    <row r="65" spans="1:22" ht="70.5" customHeight="1">
      <c r="A65" s="1426"/>
      <c r="B65" s="2693" t="s">
        <v>2297</v>
      </c>
      <c r="C65" s="2694"/>
      <c r="D65" s="2694"/>
      <c r="E65" s="2694"/>
      <c r="F65" s="2694"/>
      <c r="G65" s="2694"/>
      <c r="H65" s="2907"/>
      <c r="I65" s="2907"/>
      <c r="J65" s="2907"/>
      <c r="K65" s="2907"/>
      <c r="L65" s="2907"/>
      <c r="M65" s="2907"/>
      <c r="N65" s="2907"/>
      <c r="O65" s="1388"/>
      <c r="P65" s="1388"/>
      <c r="Q65" s="1370"/>
      <c r="R65" s="2677"/>
      <c r="S65" s="2890"/>
      <c r="T65" s="2678"/>
    </row>
    <row r="66" spans="1:22" ht="40.5" customHeight="1">
      <c r="A66" s="1426"/>
      <c r="B66" s="2693" t="s">
        <v>2296</v>
      </c>
      <c r="C66" s="2694"/>
      <c r="D66" s="2694"/>
      <c r="E66" s="2694"/>
      <c r="F66" s="2694"/>
      <c r="G66" s="2694"/>
      <c r="H66" s="2907"/>
      <c r="I66" s="2907"/>
      <c r="J66" s="2907"/>
      <c r="K66" s="2907"/>
      <c r="L66" s="2907"/>
      <c r="M66" s="2907"/>
      <c r="N66" s="2907"/>
      <c r="O66" s="1388"/>
      <c r="P66" s="1388"/>
      <c r="Q66" s="1370"/>
      <c r="R66" s="2677"/>
      <c r="S66" s="2890"/>
      <c r="T66" s="2678"/>
    </row>
    <row r="67" spans="1:22" ht="42.75" customHeight="1">
      <c r="A67" s="1535"/>
      <c r="B67" s="2675" t="s">
        <v>2561</v>
      </c>
      <c r="C67" s="2675"/>
      <c r="D67" s="2675"/>
      <c r="E67" s="2675"/>
      <c r="F67" s="2675"/>
      <c r="G67" s="2693"/>
      <c r="H67" s="2907"/>
      <c r="I67" s="2907"/>
      <c r="J67" s="2907"/>
      <c r="K67" s="2907"/>
      <c r="L67" s="2907"/>
      <c r="M67" s="2907"/>
      <c r="N67" s="2907"/>
      <c r="O67" s="1388"/>
      <c r="P67" s="1388"/>
      <c r="Q67" s="1370"/>
      <c r="R67" s="2677"/>
      <c r="S67" s="2890"/>
      <c r="T67" s="2678"/>
    </row>
    <row r="68" spans="1:22" ht="53.25" customHeight="1">
      <c r="A68" s="1536"/>
      <c r="B68" s="2675" t="s">
        <v>2295</v>
      </c>
      <c r="C68" s="2675"/>
      <c r="D68" s="2675"/>
      <c r="E68" s="2675"/>
      <c r="F68" s="2675"/>
      <c r="G68" s="2675"/>
      <c r="H68" s="2734"/>
      <c r="I68" s="2734"/>
      <c r="J68" s="2734"/>
      <c r="K68" s="2734"/>
      <c r="L68" s="2734"/>
      <c r="M68" s="2734"/>
      <c r="N68" s="2734"/>
      <c r="O68" s="2734"/>
      <c r="P68" s="2752"/>
      <c r="Q68" s="1370"/>
      <c r="R68" s="2677"/>
      <c r="S68" s="2890"/>
      <c r="T68" s="2678"/>
    </row>
    <row r="69" spans="1:22" ht="42.75" customHeight="1">
      <c r="A69" s="1426"/>
      <c r="B69" s="2674" t="s">
        <v>1809</v>
      </c>
      <c r="C69" s="2674"/>
      <c r="D69" s="2674"/>
      <c r="E69" s="2674"/>
      <c r="F69" s="2674"/>
      <c r="G69" s="2674"/>
      <c r="H69" s="2674"/>
      <c r="I69" s="2674"/>
      <c r="J69" s="2674"/>
      <c r="K69" s="2674"/>
      <c r="L69" s="2674"/>
      <c r="M69" s="2674"/>
      <c r="N69" s="2674"/>
      <c r="O69" s="2674"/>
      <c r="P69" s="2680"/>
      <c r="Q69" s="1370"/>
      <c r="R69" s="2899"/>
      <c r="S69" s="2900"/>
      <c r="T69" s="2900"/>
    </row>
    <row r="70" spans="1:22" ht="27.75" customHeight="1">
      <c r="A70" s="1535"/>
      <c r="B70" s="2675" t="s">
        <v>2294</v>
      </c>
      <c r="C70" s="2675"/>
      <c r="D70" s="2675"/>
      <c r="E70" s="2675"/>
      <c r="F70" s="2675"/>
      <c r="G70" s="2675"/>
      <c r="H70" s="2675"/>
      <c r="I70" s="2675"/>
      <c r="J70" s="2675"/>
      <c r="K70" s="2675"/>
      <c r="L70" s="2675"/>
      <c r="M70" s="2675"/>
      <c r="N70" s="2675"/>
      <c r="O70" s="2675"/>
      <c r="P70" s="2693"/>
      <c r="Q70" s="1370"/>
      <c r="R70" s="2677"/>
      <c r="S70" s="2890"/>
      <c r="T70" s="2678"/>
    </row>
    <row r="71" spans="1:22" ht="42.75" customHeight="1">
      <c r="A71" s="1535"/>
      <c r="B71" s="2675" t="s">
        <v>1810</v>
      </c>
      <c r="C71" s="2675"/>
      <c r="D71" s="2675"/>
      <c r="E71" s="2675"/>
      <c r="F71" s="2675"/>
      <c r="G71" s="2675"/>
      <c r="H71" s="2675"/>
      <c r="I71" s="2675"/>
      <c r="J71" s="2675"/>
      <c r="K71" s="2675"/>
      <c r="L71" s="2675"/>
      <c r="M71" s="2675"/>
      <c r="N71" s="2675"/>
      <c r="O71" s="2675"/>
      <c r="P71" s="2693"/>
      <c r="Q71" s="1370"/>
      <c r="R71" s="2677"/>
      <c r="S71" s="2890"/>
      <c r="T71" s="2678"/>
    </row>
    <row r="72" spans="1:22" ht="42.75" customHeight="1">
      <c r="A72" s="1535"/>
      <c r="B72" s="795"/>
      <c r="C72" s="795"/>
      <c r="D72" s="795"/>
      <c r="E72" s="795"/>
      <c r="F72" s="795"/>
      <c r="G72" s="795"/>
      <c r="H72" s="795"/>
      <c r="I72" s="795"/>
      <c r="J72" s="795"/>
      <c r="K72" s="795"/>
      <c r="L72" s="795"/>
      <c r="M72" s="795"/>
      <c r="N72" s="795"/>
      <c r="O72" s="795"/>
      <c r="P72" s="795"/>
      <c r="Q72" s="795"/>
      <c r="R72" s="795"/>
      <c r="S72" s="795"/>
      <c r="T72" s="795"/>
    </row>
    <row r="73" spans="1:22" ht="13.5" thickBot="1">
      <c r="B73" s="1757" t="s">
        <v>2293</v>
      </c>
      <c r="C73" s="1144"/>
      <c r="D73" s="1144"/>
      <c r="E73" s="1144"/>
      <c r="F73" s="1144"/>
      <c r="G73" s="1144"/>
      <c r="H73" s="1144"/>
      <c r="I73" s="1144"/>
      <c r="J73" s="1144"/>
      <c r="K73" s="1144"/>
      <c r="L73" s="1529"/>
      <c r="M73" s="1529"/>
      <c r="N73" s="1529"/>
      <c r="O73" s="1529"/>
      <c r="P73" s="1529"/>
      <c r="Q73" s="1529"/>
      <c r="R73" s="1529"/>
      <c r="S73" s="1529"/>
    </row>
    <row r="74" spans="1:22" ht="25.5" customHeight="1">
      <c r="B74" s="1773" t="s">
        <v>1811</v>
      </c>
      <c r="C74" s="2908">
        <f>B37</f>
        <v>0</v>
      </c>
      <c r="D74" s="2909"/>
      <c r="E74" s="2910"/>
      <c r="F74" s="2908">
        <f>B38</f>
        <v>0</v>
      </c>
      <c r="G74" s="2909"/>
      <c r="H74" s="2910"/>
      <c r="I74" s="2908">
        <f>B39</f>
        <v>0</v>
      </c>
      <c r="J74" s="2909"/>
      <c r="K74" s="2910"/>
      <c r="L74" s="2908">
        <f>B40</f>
        <v>0</v>
      </c>
      <c r="M74" s="2909"/>
      <c r="N74" s="2936"/>
      <c r="O74" s="2919">
        <f>B41</f>
        <v>0</v>
      </c>
      <c r="P74" s="2920"/>
      <c r="Q74" s="2921"/>
      <c r="R74" s="2919">
        <f>B42</f>
        <v>0</v>
      </c>
      <c r="S74" s="2920"/>
      <c r="T74" s="2921"/>
    </row>
    <row r="75" spans="1:22" ht="25.5" customHeight="1">
      <c r="A75" s="1426"/>
      <c r="B75" s="1773" t="s">
        <v>1812</v>
      </c>
      <c r="C75" s="2914"/>
      <c r="D75" s="2915"/>
      <c r="E75" s="2935"/>
      <c r="F75" s="2914"/>
      <c r="G75" s="2915"/>
      <c r="H75" s="2935"/>
      <c r="I75" s="2914"/>
      <c r="J75" s="2915"/>
      <c r="K75" s="2935"/>
      <c r="L75" s="2914"/>
      <c r="M75" s="2915"/>
      <c r="N75" s="2916"/>
      <c r="O75" s="2914"/>
      <c r="P75" s="2915"/>
      <c r="Q75" s="2916"/>
      <c r="R75" s="2914"/>
      <c r="S75" s="2915"/>
      <c r="T75" s="2916"/>
      <c r="U75" s="1662"/>
      <c r="V75" s="1662"/>
    </row>
    <row r="76" spans="1:22" ht="25.5" customHeight="1">
      <c r="B76" s="1779" t="s">
        <v>1813</v>
      </c>
      <c r="C76" s="1778" t="s">
        <v>1781</v>
      </c>
      <c r="D76" s="1394" t="s">
        <v>1630</v>
      </c>
      <c r="E76" s="1392" t="s">
        <v>2292</v>
      </c>
      <c r="F76" s="1778" t="s">
        <v>1781</v>
      </c>
      <c r="G76" s="1394" t="s">
        <v>1630</v>
      </c>
      <c r="H76" s="1392" t="s">
        <v>2292</v>
      </c>
      <c r="I76" s="1778" t="s">
        <v>1781</v>
      </c>
      <c r="J76" s="1394" t="s">
        <v>1630</v>
      </c>
      <c r="K76" s="1392" t="s">
        <v>2292</v>
      </c>
      <c r="L76" s="1778" t="s">
        <v>1781</v>
      </c>
      <c r="M76" s="1394" t="s">
        <v>1630</v>
      </c>
      <c r="N76" s="1777" t="s">
        <v>2292</v>
      </c>
      <c r="O76" s="1778" t="s">
        <v>1781</v>
      </c>
      <c r="P76" s="1394" t="s">
        <v>1630</v>
      </c>
      <c r="Q76" s="1777" t="s">
        <v>2292</v>
      </c>
      <c r="R76" s="1778" t="s">
        <v>1781</v>
      </c>
      <c r="S76" s="1394" t="s">
        <v>1630</v>
      </c>
      <c r="T76" s="1777" t="s">
        <v>2292</v>
      </c>
      <c r="U76" s="1662"/>
      <c r="V76" s="1662"/>
    </row>
    <row r="77" spans="1:22" ht="25.5" customHeight="1">
      <c r="B77" s="1776"/>
      <c r="C77" s="1775"/>
      <c r="D77" s="946"/>
      <c r="E77" s="1393"/>
      <c r="F77" s="1775"/>
      <c r="G77" s="946"/>
      <c r="H77" s="1393"/>
      <c r="I77" s="1775"/>
      <c r="J77" s="946"/>
      <c r="K77" s="1393"/>
      <c r="L77" s="1775"/>
      <c r="M77" s="946"/>
      <c r="N77" s="1774"/>
      <c r="O77" s="1775"/>
      <c r="P77" s="946"/>
      <c r="Q77" s="1774"/>
      <c r="R77" s="1775"/>
      <c r="S77" s="946"/>
      <c r="T77" s="1774"/>
      <c r="U77" s="1662"/>
      <c r="V77" s="1662"/>
    </row>
    <row r="78" spans="1:22" ht="40.5" customHeight="1">
      <c r="B78" s="1776"/>
      <c r="C78" s="1775"/>
      <c r="D78" s="946"/>
      <c r="E78" s="1393"/>
      <c r="F78" s="1775"/>
      <c r="G78" s="946"/>
      <c r="H78" s="1393"/>
      <c r="I78" s="1775"/>
      <c r="J78" s="946"/>
      <c r="K78" s="1393"/>
      <c r="L78" s="1775"/>
      <c r="M78" s="946"/>
      <c r="N78" s="1774"/>
      <c r="O78" s="1775"/>
      <c r="P78" s="946"/>
      <c r="Q78" s="1774"/>
      <c r="R78" s="1775"/>
      <c r="S78" s="946"/>
      <c r="T78" s="1774"/>
      <c r="U78" s="1662"/>
      <c r="V78" s="1662"/>
    </row>
    <row r="79" spans="1:22" ht="40.5" customHeight="1">
      <c r="B79" s="1776"/>
      <c r="C79" s="1775"/>
      <c r="D79" s="946"/>
      <c r="E79" s="1393"/>
      <c r="F79" s="1775"/>
      <c r="G79" s="946"/>
      <c r="H79" s="1393"/>
      <c r="I79" s="1775"/>
      <c r="J79" s="946"/>
      <c r="K79" s="1393"/>
      <c r="L79" s="1775"/>
      <c r="M79" s="946"/>
      <c r="N79" s="1774"/>
      <c r="O79" s="1775"/>
      <c r="P79" s="946"/>
      <c r="Q79" s="1774"/>
      <c r="R79" s="1775"/>
      <c r="S79" s="946"/>
      <c r="T79" s="1774"/>
      <c r="U79" s="1662"/>
      <c r="V79" s="1662"/>
    </row>
    <row r="80" spans="1:22" ht="24" customHeight="1">
      <c r="B80" s="1776"/>
      <c r="C80" s="1775"/>
      <c r="D80" s="946"/>
      <c r="E80" s="1393"/>
      <c r="F80" s="1775"/>
      <c r="G80" s="946"/>
      <c r="H80" s="1393"/>
      <c r="I80" s="1775"/>
      <c r="J80" s="946"/>
      <c r="K80" s="1393"/>
      <c r="L80" s="1775"/>
      <c r="M80" s="946"/>
      <c r="N80" s="1774"/>
      <c r="O80" s="1775"/>
      <c r="P80" s="946"/>
      <c r="Q80" s="1774"/>
      <c r="R80" s="1775"/>
      <c r="S80" s="946"/>
      <c r="T80" s="1774"/>
      <c r="U80" s="1662"/>
      <c r="V80" s="1662"/>
    </row>
    <row r="81" spans="2:24" ht="24" customHeight="1">
      <c r="B81" s="1776"/>
      <c r="C81" s="1775"/>
      <c r="D81" s="946"/>
      <c r="E81" s="1393"/>
      <c r="F81" s="1775"/>
      <c r="G81" s="946"/>
      <c r="H81" s="1393"/>
      <c r="I81" s="1775"/>
      <c r="J81" s="946"/>
      <c r="K81" s="1393"/>
      <c r="L81" s="1775"/>
      <c r="M81" s="946"/>
      <c r="N81" s="1774"/>
      <c r="O81" s="1775"/>
      <c r="P81" s="946"/>
      <c r="Q81" s="1774"/>
      <c r="R81" s="1775"/>
      <c r="S81" s="946"/>
      <c r="T81" s="1774"/>
      <c r="U81" s="1662"/>
      <c r="V81" s="1662"/>
    </row>
    <row r="82" spans="2:24" ht="24" customHeight="1">
      <c r="B82" s="1776"/>
      <c r="C82" s="1775"/>
      <c r="D82" s="946"/>
      <c r="E82" s="1393"/>
      <c r="F82" s="1775"/>
      <c r="G82" s="946"/>
      <c r="H82" s="1393"/>
      <c r="I82" s="1775"/>
      <c r="J82" s="946"/>
      <c r="K82" s="1393"/>
      <c r="L82" s="1775"/>
      <c r="M82" s="946"/>
      <c r="N82" s="1774"/>
      <c r="O82" s="1775"/>
      <c r="P82" s="946"/>
      <c r="Q82" s="1774"/>
      <c r="R82" s="1775"/>
      <c r="S82" s="946"/>
      <c r="T82" s="1774"/>
      <c r="U82" s="1662"/>
      <c r="V82" s="1662"/>
    </row>
    <row r="83" spans="2:24" ht="24" customHeight="1" thickBot="1">
      <c r="B83" s="1773" t="s">
        <v>2291</v>
      </c>
      <c r="C83" s="2937"/>
      <c r="D83" s="2938"/>
      <c r="E83" s="2938"/>
      <c r="F83" s="2911"/>
      <c r="G83" s="2912"/>
      <c r="H83" s="2913"/>
      <c r="I83" s="2911"/>
      <c r="J83" s="2912"/>
      <c r="K83" s="2913"/>
      <c r="L83" s="2911"/>
      <c r="M83" s="2912"/>
      <c r="N83" s="2918"/>
      <c r="O83" s="2911"/>
      <c r="P83" s="2912"/>
      <c r="Q83" s="2918"/>
      <c r="R83" s="2911"/>
      <c r="S83" s="2912"/>
      <c r="T83" s="2918"/>
      <c r="U83" s="1662"/>
      <c r="V83" s="1662"/>
    </row>
    <row r="84" spans="2:24" ht="36" customHeight="1">
      <c r="B84" s="1545"/>
      <c r="R84" s="1529"/>
      <c r="S84" s="1529"/>
      <c r="T84" s="1529"/>
      <c r="U84" s="1662"/>
      <c r="V84" s="1662"/>
    </row>
    <row r="85" spans="2:24" ht="24" customHeight="1">
      <c r="B85" s="1757" t="s">
        <v>1814</v>
      </c>
      <c r="C85" s="790"/>
      <c r="D85" s="790"/>
      <c r="E85" s="790"/>
      <c r="R85" s="1529"/>
      <c r="S85" s="1529"/>
      <c r="T85" s="1529"/>
    </row>
    <row r="86" spans="2:24" ht="13.5" customHeight="1">
      <c r="B86" s="1772"/>
      <c r="K86" s="2934" t="s">
        <v>2290</v>
      </c>
      <c r="L86" s="2934"/>
      <c r="R86" s="1529"/>
      <c r="S86" s="1529"/>
      <c r="T86" s="1529"/>
    </row>
    <row r="87" spans="2:24" ht="32.25" customHeight="1">
      <c r="B87" s="1105" t="s">
        <v>1815</v>
      </c>
      <c r="C87" s="1105" t="s">
        <v>1816</v>
      </c>
      <c r="D87" s="1387" t="s">
        <v>1817</v>
      </c>
      <c r="E87" s="1387" t="s">
        <v>1818</v>
      </c>
      <c r="F87" s="1387" t="s">
        <v>1819</v>
      </c>
      <c r="G87" s="1769" t="s">
        <v>1820</v>
      </c>
      <c r="H87" s="1769" t="s">
        <v>2289</v>
      </c>
      <c r="I87" s="1235" t="s">
        <v>1821</v>
      </c>
      <c r="J87" s="1235" t="s">
        <v>1822</v>
      </c>
      <c r="K87" s="1771" t="s">
        <v>2288</v>
      </c>
      <c r="L87" s="1770" t="s">
        <v>2287</v>
      </c>
      <c r="M87" s="1375" t="s">
        <v>2286</v>
      </c>
      <c r="N87" s="1769"/>
      <c r="O87" s="1769" t="s">
        <v>698</v>
      </c>
      <c r="P87" s="790"/>
    </row>
    <row r="88" spans="2:24" ht="50.1" customHeight="1">
      <c r="B88" s="947"/>
      <c r="C88" s="947"/>
      <c r="D88" s="1768"/>
      <c r="E88" s="1236" t="e">
        <f>VLOOKUP(D88,$B$152:$G$163,2,FALSE)</f>
        <v>#N/A</v>
      </c>
      <c r="F88" s="1236" t="e">
        <f>VLOOKUP(D88,$B$152:$G$163,3,FALSE)</f>
        <v>#N/A</v>
      </c>
      <c r="G88" s="1236" t="e">
        <f>VLOOKUP(D88,$B$152:$G$163,4,FALSE)</f>
        <v>#N/A</v>
      </c>
      <c r="H88" s="947"/>
      <c r="I88" s="947"/>
      <c r="J88" s="947"/>
      <c r="K88" s="1236" t="e">
        <f>((I88*F88)+(G88*(I88/1000)*E88))*C88</f>
        <v>#N/A</v>
      </c>
      <c r="L88" s="1236" t="e">
        <f>H88*(VLOOKUP(D88,$B$152:$G$163,5,FALSE))</f>
        <v>#N/A</v>
      </c>
      <c r="M88" s="1237" t="e">
        <f>IF(L88=0,(J88-(MAX(K88:L88)))/(MAX(K88:L88)),IF(ABS(J88-L88)&gt;ABS(J88-K88),(J88-K88)/K88,(J88-L88)/L88))</f>
        <v>#N/A</v>
      </c>
      <c r="N88" s="2931"/>
      <c r="O88" s="2932"/>
      <c r="P88" s="2933"/>
      <c r="R88" s="1767"/>
      <c r="T88" s="1529"/>
      <c r="V88" s="1529"/>
      <c r="W88" s="1529"/>
      <c r="X88" s="1529"/>
    </row>
    <row r="89" spans="2:24" ht="31.5" customHeight="1">
      <c r="B89" s="947"/>
      <c r="C89" s="947"/>
      <c r="D89" s="948"/>
      <c r="E89" s="1236" t="e">
        <f>VLOOKUP(D89,$B$152:$G$163,2,FALSE)</f>
        <v>#N/A</v>
      </c>
      <c r="F89" s="1236" t="e">
        <f>VLOOKUP(D89,$B$152:$G$163,3,FALSE)</f>
        <v>#N/A</v>
      </c>
      <c r="G89" s="1236" t="e">
        <f>VLOOKUP(D89,$B$152:$G$163,4,FALSE)</f>
        <v>#N/A</v>
      </c>
      <c r="H89" s="947"/>
      <c r="I89" s="947"/>
      <c r="J89" s="947"/>
      <c r="K89" s="1236" t="e">
        <f>((I89*F89)+(G89*(I89/1000)*E89))*C89</f>
        <v>#N/A</v>
      </c>
      <c r="L89" s="1236" t="e">
        <f>H89*(VLOOKUP(D89,$B$152:$G$163,5,FALSE))</f>
        <v>#N/A</v>
      </c>
      <c r="M89" s="1237" t="e">
        <f>IF(L89=0,(J89-(MAX(K89:L89)))/(MAX(K89:L89)),IF(ABS(J89-L89)&gt;ABS(J89-K89),(J89-K89)/K89,(J89-L89)/L89))</f>
        <v>#N/A</v>
      </c>
      <c r="N89" s="2931"/>
      <c r="O89" s="2932"/>
      <c r="P89" s="2933"/>
      <c r="T89" s="1529"/>
      <c r="U89" s="1529"/>
    </row>
    <row r="90" spans="2:24" ht="31.5" customHeight="1">
      <c r="B90" s="947"/>
      <c r="C90" s="947"/>
      <c r="D90" s="948"/>
      <c r="E90" s="1236" t="e">
        <f>VLOOKUP(D90,$B$152:$G$163,2,FALSE)</f>
        <v>#N/A</v>
      </c>
      <c r="F90" s="1236" t="e">
        <f>VLOOKUP(D90,$B$152:$G$163,3,FALSE)</f>
        <v>#N/A</v>
      </c>
      <c r="G90" s="1236" t="e">
        <f>VLOOKUP(D90,$B$152:$G$163,4,FALSE)</f>
        <v>#N/A</v>
      </c>
      <c r="H90" s="947"/>
      <c r="I90" s="947"/>
      <c r="J90" s="947"/>
      <c r="K90" s="1236" t="e">
        <f>((I90*F90)+(G90*(I90/1000)*E90))*C90</f>
        <v>#N/A</v>
      </c>
      <c r="L90" s="1236" t="e">
        <f>H90*(VLOOKUP(D90,$B$152:$G$163,5,FALSE))</f>
        <v>#N/A</v>
      </c>
      <c r="M90" s="1237" t="e">
        <f>IF(L90=0,(J90-(MAX(K90:L90)))/(MAX(K90:L90)),IF(ABS(J90-L90)&gt;ABS(J90-K90),(J90-K90)/K90,(J90-L90)/L90))</f>
        <v>#N/A</v>
      </c>
      <c r="N90" s="2931"/>
      <c r="O90" s="2932"/>
      <c r="P90" s="2933"/>
      <c r="T90" s="1529"/>
      <c r="U90" s="1529"/>
    </row>
    <row r="91" spans="2:24" ht="31.5" customHeight="1">
      <c r="B91" s="947"/>
      <c r="C91" s="947"/>
      <c r="D91" s="948"/>
      <c r="E91" s="1236" t="e">
        <f>VLOOKUP(D91,$B$152:$G$163,2,FALSE)</f>
        <v>#N/A</v>
      </c>
      <c r="F91" s="1236" t="e">
        <f>VLOOKUP(D91,$B$152:$G$163,3,FALSE)</f>
        <v>#N/A</v>
      </c>
      <c r="G91" s="1236" t="e">
        <f>VLOOKUP(D91,$B$152:$G$163,4,FALSE)</f>
        <v>#N/A</v>
      </c>
      <c r="H91" s="947"/>
      <c r="I91" s="947"/>
      <c r="J91" s="947"/>
      <c r="K91" s="1236" t="e">
        <f>((I91*F91)+(G91*(I91/1000)*E91))*C91</f>
        <v>#N/A</v>
      </c>
      <c r="L91" s="1236" t="e">
        <f>H91*(VLOOKUP(D91,$B$152:$G$163,5,FALSE))</f>
        <v>#N/A</v>
      </c>
      <c r="M91" s="1237" t="e">
        <f>IF(L91=0,(J91-(MAX(K91:L91)))/(MAX(K91:L91)),IF(ABS(J91-L91)&gt;ABS(J91-K91),(J91-K91)/K91,(J91-L91)/L91))</f>
        <v>#N/A</v>
      </c>
      <c r="N91" s="2931"/>
      <c r="O91" s="2932"/>
      <c r="P91" s="2933"/>
      <c r="T91" s="1529"/>
      <c r="U91" s="1529"/>
    </row>
    <row r="92" spans="2:24" ht="31.5" customHeight="1">
      <c r="B92" s="947"/>
      <c r="C92" s="947"/>
      <c r="D92" s="948"/>
      <c r="E92" s="1236" t="e">
        <f>VLOOKUP(D92,$B$152:$G$163,2,FALSE)</f>
        <v>#N/A</v>
      </c>
      <c r="F92" s="1236" t="e">
        <f>VLOOKUP(D92,$B$152:$G$163,3,FALSE)</f>
        <v>#N/A</v>
      </c>
      <c r="G92" s="1236" t="e">
        <f>VLOOKUP(D92,$B$152:$G$163,4,FALSE)</f>
        <v>#N/A</v>
      </c>
      <c r="H92" s="947"/>
      <c r="I92" s="947"/>
      <c r="J92" s="947"/>
      <c r="K92" s="1236" t="e">
        <f>((I92*F92)+(G92*(I92/1000)*E92))*C92</f>
        <v>#N/A</v>
      </c>
      <c r="L92" s="1236" t="e">
        <f>H92*(VLOOKUP(D92,$B$152:$G$163,5,FALSE))</f>
        <v>#N/A</v>
      </c>
      <c r="M92" s="1237" t="e">
        <f>IF(L92=0,(J92-(MAX(K92:L92)))/(MAX(K92:L92)),IF(ABS(J92-L92)&gt;ABS(J92-K92),(J92-K92)/K92,(J92-L92)/L92))</f>
        <v>#N/A</v>
      </c>
      <c r="N92" s="2931"/>
      <c r="O92" s="2932"/>
      <c r="P92" s="2933"/>
      <c r="T92" s="1529"/>
      <c r="U92" s="1529"/>
    </row>
    <row r="93" spans="2:24" ht="31.5" customHeight="1">
      <c r="I93" s="1238" t="s">
        <v>1824</v>
      </c>
      <c r="J93" s="1239">
        <f>SUM(J88:J92)</f>
        <v>0</v>
      </c>
      <c r="K93" s="1766" t="e">
        <f>SUM(K88:K92)</f>
        <v>#N/A</v>
      </c>
      <c r="L93" s="1766" t="e">
        <f>SUM(L88:L92)</f>
        <v>#N/A</v>
      </c>
      <c r="U93" s="1529"/>
    </row>
    <row r="94" spans="2:24" ht="21" customHeight="1">
      <c r="H94" s="1759"/>
      <c r="I94" s="1761"/>
      <c r="J94" s="1761"/>
      <c r="K94" s="1761"/>
      <c r="L94" s="1761"/>
      <c r="M94" s="1761"/>
      <c r="N94" s="1760"/>
      <c r="O94" s="1583"/>
    </row>
    <row r="95" spans="2:24">
      <c r="H95" s="1759"/>
      <c r="I95" s="1761"/>
      <c r="J95" s="1761"/>
      <c r="K95" s="1761"/>
      <c r="L95" s="1761"/>
      <c r="M95" s="1761"/>
      <c r="N95" s="1760"/>
      <c r="O95" s="1765"/>
    </row>
    <row r="96" spans="2:24">
      <c r="B96" s="1757" t="s">
        <v>1825</v>
      </c>
      <c r="C96" s="790"/>
      <c r="D96" s="790"/>
      <c r="E96" s="790"/>
      <c r="H96" s="1759"/>
      <c r="I96" s="1761"/>
      <c r="J96" s="1761"/>
      <c r="K96" s="1761"/>
      <c r="L96" s="1761"/>
      <c r="M96" s="1761"/>
      <c r="N96" s="1760"/>
      <c r="O96" s="1583"/>
    </row>
    <row r="97" spans="2:15">
      <c r="B97" s="1764"/>
      <c r="H97" s="1759"/>
      <c r="I97" s="1761"/>
      <c r="J97" s="1761"/>
      <c r="K97" s="1761"/>
      <c r="L97" s="1761"/>
      <c r="M97" s="1761"/>
      <c r="N97" s="1760"/>
      <c r="O97" s="1583"/>
    </row>
    <row r="98" spans="2:15">
      <c r="B98" s="1757" t="s">
        <v>2285</v>
      </c>
      <c r="I98" s="1759"/>
    </row>
    <row r="99" spans="2:15">
      <c r="B99" s="1762"/>
      <c r="I99" s="1759"/>
      <c r="J99" s="1759"/>
    </row>
    <row r="100" spans="2:15" ht="76.5">
      <c r="B100" s="1226" t="s">
        <v>2284</v>
      </c>
      <c r="C100" s="1235" t="s">
        <v>1826</v>
      </c>
      <c r="D100" s="1235" t="s">
        <v>1822</v>
      </c>
      <c r="E100" s="1235" t="s">
        <v>2283</v>
      </c>
      <c r="F100" s="1235" t="s">
        <v>2282</v>
      </c>
      <c r="G100" s="1758" t="s">
        <v>2281</v>
      </c>
      <c r="H100" s="1758" t="s">
        <v>2280</v>
      </c>
      <c r="I100" s="1759"/>
      <c r="J100" s="1761"/>
    </row>
    <row r="101" spans="2:15" ht="82.5" customHeight="1">
      <c r="B101" s="949"/>
      <c r="C101" s="947"/>
      <c r="D101" s="947"/>
      <c r="E101" s="1236" t="str">
        <f>IF(OR(B101="",C101="",D101=""),"-",IF(C101="",0,((0.01*C101)+(7.5*(IF(B101=0,1,B101)+1)))))</f>
        <v>-</v>
      </c>
      <c r="F101" s="1236" t="str">
        <f t="shared" ref="F101:F109" si="0">IF(OR(B101="",C101="",D101=""),"-",IF(C101&lt;=$B$143,HLOOKUP(B101,$C$142:$M$148,2,FALSE),IF(C101&lt;=$B$144,HLOOKUP(B101,$C$142:$M$148,3,FALSE),IF(C101&lt;=$B$145,HLOOKUP(B101,$C$142:$M$148,4,FALSE),IF(C101&lt;=$B$146,HLOOKUP(B101,$C$142:$M$148,5,FALSE),IF(C101&lt;=$B$147,HLOOKUP(B101,$C$142:$M$148,6,FALSE),HLOOKUP(B101,$C$142:$M$148,7,FALSE)))))))</f>
        <v>-</v>
      </c>
      <c r="G101" s="1237" t="e">
        <f t="shared" ref="G101:G109" si="1">(D101-E101)/E101</f>
        <v>#VALUE!</v>
      </c>
      <c r="H101" s="1237" t="e">
        <f t="shared" ref="H101:H109" si="2">(D101-F101)/F101</f>
        <v>#VALUE!</v>
      </c>
      <c r="I101" s="1761"/>
    </row>
    <row r="102" spans="2:15" ht="21" customHeight="1">
      <c r="B102" s="949"/>
      <c r="C102" s="947"/>
      <c r="D102" s="947"/>
      <c r="E102" s="1236" t="str">
        <f t="shared" ref="E102:E109" si="3">IF(OR(B102="",C102="",D102=""),"-",IF(C102="",0,((0.01*C102)+(7.5*(IF(B102=0,1,B102)+1)))))</f>
        <v>-</v>
      </c>
      <c r="F102" s="1236" t="str">
        <f t="shared" si="0"/>
        <v>-</v>
      </c>
      <c r="G102" s="1237" t="e">
        <f t="shared" si="1"/>
        <v>#VALUE!</v>
      </c>
      <c r="H102" s="1237" t="e">
        <f t="shared" si="2"/>
        <v>#VALUE!</v>
      </c>
      <c r="I102" s="1759"/>
      <c r="J102" s="1761"/>
    </row>
    <row r="103" spans="2:15" ht="21" customHeight="1">
      <c r="B103" s="949"/>
      <c r="C103" s="947"/>
      <c r="D103" s="947"/>
      <c r="E103" s="1236" t="str">
        <f t="shared" si="3"/>
        <v>-</v>
      </c>
      <c r="F103" s="1236" t="str">
        <f t="shared" si="0"/>
        <v>-</v>
      </c>
      <c r="G103" s="1237" t="e">
        <f t="shared" si="1"/>
        <v>#VALUE!</v>
      </c>
      <c r="H103" s="1237" t="e">
        <f t="shared" si="2"/>
        <v>#VALUE!</v>
      </c>
      <c r="I103" s="1759"/>
      <c r="J103" s="1761"/>
    </row>
    <row r="104" spans="2:15" ht="21" customHeight="1">
      <c r="B104" s="950"/>
      <c r="C104" s="947"/>
      <c r="D104" s="947"/>
      <c r="E104" s="1236" t="str">
        <f t="shared" si="3"/>
        <v>-</v>
      </c>
      <c r="F104" s="1236" t="str">
        <f t="shared" si="0"/>
        <v>-</v>
      </c>
      <c r="G104" s="1237" t="e">
        <f t="shared" si="1"/>
        <v>#VALUE!</v>
      </c>
      <c r="H104" s="1237" t="e">
        <f t="shared" si="2"/>
        <v>#VALUE!</v>
      </c>
      <c r="I104" s="1759"/>
      <c r="J104" s="1761"/>
    </row>
    <row r="105" spans="2:15" ht="21" customHeight="1">
      <c r="B105" s="950"/>
      <c r="C105" s="947"/>
      <c r="D105" s="947"/>
      <c r="E105" s="1236" t="str">
        <f t="shared" si="3"/>
        <v>-</v>
      </c>
      <c r="F105" s="1236" t="str">
        <f t="shared" si="0"/>
        <v>-</v>
      </c>
      <c r="G105" s="1237" t="e">
        <f t="shared" si="1"/>
        <v>#VALUE!</v>
      </c>
      <c r="H105" s="1237" t="e">
        <f t="shared" si="2"/>
        <v>#VALUE!</v>
      </c>
      <c r="I105" s="1759"/>
      <c r="J105" s="1761"/>
    </row>
    <row r="106" spans="2:15" ht="21" customHeight="1">
      <c r="B106" s="950"/>
      <c r="C106" s="947"/>
      <c r="D106" s="947"/>
      <c r="E106" s="1236" t="str">
        <f t="shared" si="3"/>
        <v>-</v>
      </c>
      <c r="F106" s="1236" t="str">
        <f t="shared" si="0"/>
        <v>-</v>
      </c>
      <c r="G106" s="1237" t="e">
        <f t="shared" si="1"/>
        <v>#VALUE!</v>
      </c>
      <c r="H106" s="1237" t="e">
        <f t="shared" si="2"/>
        <v>#VALUE!</v>
      </c>
      <c r="I106" s="1759"/>
      <c r="J106" s="1761"/>
    </row>
    <row r="107" spans="2:15" ht="21" customHeight="1">
      <c r="B107" s="950"/>
      <c r="C107" s="947"/>
      <c r="D107" s="947"/>
      <c r="E107" s="1236" t="str">
        <f t="shared" si="3"/>
        <v>-</v>
      </c>
      <c r="F107" s="1236" t="str">
        <f t="shared" si="0"/>
        <v>-</v>
      </c>
      <c r="G107" s="1237" t="e">
        <f t="shared" si="1"/>
        <v>#VALUE!</v>
      </c>
      <c r="H107" s="1237" t="e">
        <f t="shared" si="2"/>
        <v>#VALUE!</v>
      </c>
      <c r="I107" s="1759"/>
      <c r="J107" s="1761"/>
    </row>
    <row r="108" spans="2:15" ht="21" customHeight="1">
      <c r="B108" s="950"/>
      <c r="C108" s="947"/>
      <c r="D108" s="947"/>
      <c r="E108" s="1236" t="str">
        <f t="shared" si="3"/>
        <v>-</v>
      </c>
      <c r="F108" s="1236" t="str">
        <f t="shared" si="0"/>
        <v>-</v>
      </c>
      <c r="G108" s="1237" t="e">
        <f t="shared" si="1"/>
        <v>#VALUE!</v>
      </c>
      <c r="H108" s="1237" t="e">
        <f t="shared" si="2"/>
        <v>#VALUE!</v>
      </c>
      <c r="I108" s="1759"/>
      <c r="J108" s="1761"/>
    </row>
    <row r="109" spans="2:15" ht="21" customHeight="1">
      <c r="B109" s="950"/>
      <c r="C109" s="947"/>
      <c r="D109" s="947"/>
      <c r="E109" s="1236" t="str">
        <f t="shared" si="3"/>
        <v>-</v>
      </c>
      <c r="F109" s="1236" t="str">
        <f t="shared" si="0"/>
        <v>-</v>
      </c>
      <c r="G109" s="1237" t="e">
        <f t="shared" si="1"/>
        <v>#VALUE!</v>
      </c>
      <c r="H109" s="1237" t="e">
        <f t="shared" si="2"/>
        <v>#VALUE!</v>
      </c>
      <c r="I109" s="1759"/>
      <c r="J109" s="1761"/>
    </row>
    <row r="110" spans="2:15" ht="21" customHeight="1">
      <c r="C110" s="1238" t="s">
        <v>1824</v>
      </c>
      <c r="D110" s="1239">
        <f>SUM(D101:D109)</f>
        <v>0</v>
      </c>
      <c r="E110" s="1239">
        <f>SUM(E101:E109)</f>
        <v>0</v>
      </c>
      <c r="F110" s="1763"/>
      <c r="G110" s="1583"/>
      <c r="H110" s="1583"/>
      <c r="J110" s="1583"/>
      <c r="K110" s="1583"/>
      <c r="L110" s="1583"/>
      <c r="M110" s="1583"/>
    </row>
    <row r="111" spans="2:15" ht="24.75" customHeight="1">
      <c r="B111" s="1426"/>
      <c r="C111" s="1740"/>
      <c r="D111" s="1740"/>
      <c r="E111" s="1740"/>
      <c r="F111" s="1740"/>
      <c r="G111" s="1740"/>
    </row>
    <row r="112" spans="2:15" ht="15.75" customHeight="1">
      <c r="B112" s="1426"/>
      <c r="C112" s="1740"/>
      <c r="D112" s="1740"/>
      <c r="E112" s="1740"/>
      <c r="F112" s="1740"/>
      <c r="G112" s="1740"/>
      <c r="K112" s="1761"/>
    </row>
    <row r="113" spans="2:15" ht="15.75" customHeight="1">
      <c r="B113" s="1757" t="s">
        <v>1827</v>
      </c>
      <c r="C113" s="790"/>
      <c r="D113" s="790"/>
      <c r="H113" s="1759"/>
      <c r="I113" s="1761"/>
      <c r="J113" s="1761"/>
      <c r="K113" s="1761"/>
      <c r="L113" s="1761"/>
      <c r="M113" s="1761"/>
      <c r="N113" s="1760"/>
      <c r="O113" s="1583"/>
    </row>
    <row r="114" spans="2:15">
      <c r="B114" s="1762"/>
      <c r="H114" s="1759"/>
      <c r="I114" s="1761"/>
      <c r="J114" s="1761"/>
      <c r="K114" s="1760"/>
      <c r="L114" s="1761"/>
      <c r="M114" s="1761"/>
      <c r="N114" s="1760"/>
      <c r="O114" s="1583"/>
    </row>
    <row r="115" spans="2:15" ht="106.5">
      <c r="B115" s="1226" t="s">
        <v>1828</v>
      </c>
      <c r="C115" s="1235" t="s">
        <v>1829</v>
      </c>
      <c r="D115" s="1235" t="s">
        <v>1822</v>
      </c>
      <c r="E115" s="1235" t="s">
        <v>1823</v>
      </c>
      <c r="F115" s="1758" t="s">
        <v>2279</v>
      </c>
      <c r="G115" s="1760"/>
      <c r="H115" s="1760"/>
      <c r="I115" s="1760"/>
      <c r="J115" s="1760"/>
      <c r="K115" s="1583"/>
    </row>
    <row r="116" spans="2:15" ht="103.5" customHeight="1">
      <c r="B116" s="949"/>
      <c r="C116" s="947"/>
      <c r="D116" s="947"/>
      <c r="E116" s="1243">
        <f t="shared" ref="E116:E121" si="4">5*C116/60</f>
        <v>0</v>
      </c>
      <c r="F116" s="1237" t="e">
        <f t="shared" ref="F116:F121" si="5">(D116-E116)/E116</f>
        <v>#DIV/0!</v>
      </c>
      <c r="G116" s="1763"/>
      <c r="H116" s="1760"/>
      <c r="I116" s="1760"/>
      <c r="J116" s="1760"/>
      <c r="K116" s="1583"/>
    </row>
    <row r="117" spans="2:15" ht="21" customHeight="1">
      <c r="B117" s="949"/>
      <c r="C117" s="947"/>
      <c r="D117" s="947"/>
      <c r="E117" s="1243">
        <f t="shared" si="4"/>
        <v>0</v>
      </c>
      <c r="F117" s="1237" t="e">
        <f t="shared" si="5"/>
        <v>#DIV/0!</v>
      </c>
      <c r="G117" s="1760"/>
      <c r="H117" s="1760"/>
      <c r="I117" s="1760"/>
      <c r="J117" s="1760"/>
      <c r="K117" s="1583"/>
    </row>
    <row r="118" spans="2:15" ht="21" customHeight="1">
      <c r="B118" s="949"/>
      <c r="C118" s="947"/>
      <c r="D118" s="947"/>
      <c r="E118" s="1243">
        <f t="shared" si="4"/>
        <v>0</v>
      </c>
      <c r="F118" s="1237" t="e">
        <f t="shared" si="5"/>
        <v>#DIV/0!</v>
      </c>
      <c r="G118" s="1760"/>
      <c r="H118" s="1760"/>
      <c r="I118" s="1760"/>
      <c r="J118" s="1760"/>
      <c r="K118" s="1583"/>
    </row>
    <row r="119" spans="2:15" ht="21" customHeight="1">
      <c r="B119" s="949"/>
      <c r="C119" s="947"/>
      <c r="D119" s="947"/>
      <c r="E119" s="1243">
        <f t="shared" si="4"/>
        <v>0</v>
      </c>
      <c r="F119" s="1237" t="e">
        <f t="shared" si="5"/>
        <v>#DIV/0!</v>
      </c>
      <c r="G119" s="1760"/>
      <c r="H119" s="1760"/>
      <c r="I119" s="1760"/>
      <c r="J119" s="1760"/>
      <c r="K119" s="1583"/>
    </row>
    <row r="120" spans="2:15" ht="21" customHeight="1">
      <c r="B120" s="949"/>
      <c r="C120" s="947"/>
      <c r="D120" s="947"/>
      <c r="E120" s="1243">
        <f t="shared" si="4"/>
        <v>0</v>
      </c>
      <c r="F120" s="1237" t="e">
        <f t="shared" si="5"/>
        <v>#DIV/0!</v>
      </c>
      <c r="G120" s="1760"/>
      <c r="H120" s="1760"/>
      <c r="I120" s="1760"/>
      <c r="J120" s="1760"/>
      <c r="K120" s="1583"/>
    </row>
    <row r="121" spans="2:15" ht="21" customHeight="1">
      <c r="B121" s="949"/>
      <c r="C121" s="947"/>
      <c r="D121" s="947"/>
      <c r="E121" s="1243">
        <f t="shared" si="4"/>
        <v>0</v>
      </c>
      <c r="F121" s="1237" t="e">
        <f t="shared" si="5"/>
        <v>#DIV/0!</v>
      </c>
      <c r="G121" s="1760"/>
      <c r="H121" s="1583"/>
      <c r="I121" s="1760"/>
      <c r="J121" s="1760"/>
      <c r="K121" s="1583"/>
    </row>
    <row r="122" spans="2:15" ht="21" customHeight="1">
      <c r="C122" s="1740"/>
      <c r="D122" s="1740"/>
      <c r="E122" s="1583"/>
      <c r="G122" s="1583"/>
      <c r="H122" s="1583"/>
      <c r="I122" s="1583"/>
      <c r="J122" s="1583"/>
    </row>
    <row r="123" spans="2:15" ht="32.25" customHeight="1">
      <c r="B123" s="1426"/>
      <c r="C123" s="1740"/>
      <c r="D123" s="1740"/>
      <c r="E123" s="1740"/>
      <c r="F123" s="1740"/>
      <c r="G123" s="1740"/>
    </row>
    <row r="124" spans="2:15" ht="15.75" customHeight="1">
      <c r="B124" s="1244" t="s">
        <v>1830</v>
      </c>
      <c r="C124" s="1235" t="s">
        <v>1822</v>
      </c>
      <c r="D124" s="1106" t="s">
        <v>1831</v>
      </c>
      <c r="E124" s="1758" t="s">
        <v>2279</v>
      </c>
    </row>
    <row r="125" spans="2:15" ht="99.95" customHeight="1">
      <c r="B125" s="949"/>
      <c r="C125" s="947"/>
      <c r="D125" s="1245">
        <v>20</v>
      </c>
      <c r="E125" s="1237">
        <f>(C125-D125)/D125</f>
        <v>-1</v>
      </c>
    </row>
    <row r="126" spans="2:15" ht="22.5" customHeight="1">
      <c r="B126" s="949"/>
      <c r="C126" s="947"/>
      <c r="D126" s="1245">
        <v>20</v>
      </c>
      <c r="E126" s="1237">
        <f>(C126-D126)/D126</f>
        <v>-1</v>
      </c>
    </row>
    <row r="127" spans="2:15" ht="22.5" customHeight="1">
      <c r="B127" s="949"/>
      <c r="C127" s="947"/>
      <c r="D127" s="1245">
        <v>20</v>
      </c>
      <c r="E127" s="1237">
        <f>(C127-D127)/D127</f>
        <v>-1</v>
      </c>
    </row>
    <row r="128" spans="2:15" ht="22.5" customHeight="1">
      <c r="B128" s="949"/>
      <c r="C128" s="947"/>
      <c r="D128" s="1245">
        <v>20</v>
      </c>
      <c r="E128" s="1237">
        <f>(C128-D128)/D128</f>
        <v>-1</v>
      </c>
    </row>
    <row r="129" spans="2:15" ht="22.5" customHeight="1">
      <c r="B129" s="949"/>
      <c r="C129" s="947"/>
      <c r="D129" s="1245">
        <v>20</v>
      </c>
      <c r="E129" s="1237">
        <f>(C129-D129)/D129</f>
        <v>-1</v>
      </c>
      <c r="H129" s="1583"/>
    </row>
    <row r="130" spans="2:15" ht="22.5" customHeight="1">
      <c r="C130" s="1740"/>
      <c r="D130" s="1740"/>
      <c r="K130" s="1761"/>
    </row>
    <row r="131" spans="2:15" ht="15.75" customHeight="1">
      <c r="C131" s="1740"/>
      <c r="D131" s="1740"/>
      <c r="K131" s="1761"/>
    </row>
    <row r="132" spans="2:15" ht="15.75" customHeight="1">
      <c r="B132" s="1757" t="s">
        <v>1832</v>
      </c>
      <c r="C132" s="790"/>
      <c r="D132" s="790"/>
      <c r="I132" s="1761"/>
      <c r="J132" s="1761"/>
      <c r="K132" s="1761"/>
      <c r="L132" s="1761"/>
      <c r="M132" s="1761"/>
      <c r="N132" s="1760"/>
      <c r="O132" s="1583"/>
    </row>
    <row r="133" spans="2:15">
      <c r="B133" s="1762"/>
      <c r="H133" s="1759"/>
      <c r="I133" s="1761"/>
      <c r="J133" s="1761"/>
      <c r="L133" s="1761"/>
      <c r="M133" s="1761"/>
      <c r="N133" s="1760"/>
      <c r="O133" s="1583"/>
    </row>
    <row r="134" spans="2:15">
      <c r="B134" s="1426"/>
      <c r="C134" s="1740"/>
      <c r="D134" s="1740"/>
      <c r="E134" s="1740"/>
      <c r="F134" s="1740"/>
      <c r="G134" s="1740"/>
      <c r="H134" s="1759"/>
    </row>
    <row r="135" spans="2:15" ht="15.75" customHeight="1">
      <c r="B135" s="1244" t="s">
        <v>1817</v>
      </c>
      <c r="C135" s="1235" t="s">
        <v>1822</v>
      </c>
      <c r="D135" s="1235" t="s">
        <v>1823</v>
      </c>
      <c r="E135" s="1758" t="s">
        <v>2279</v>
      </c>
    </row>
    <row r="136" spans="2:15" ht="99.95" customHeight="1">
      <c r="B136" s="949"/>
      <c r="C136" s="947"/>
      <c r="D136" s="1243" t="e">
        <f>VLOOKUP(B136,$B$169:$C$170,2,FALSE)</f>
        <v>#N/A</v>
      </c>
      <c r="E136" s="1237" t="e">
        <f>(C136-D136)/D136</f>
        <v>#N/A</v>
      </c>
    </row>
    <row r="137" spans="2:15" ht="22.5" customHeight="1">
      <c r="B137" s="949"/>
      <c r="C137" s="947"/>
      <c r="D137" s="1243" t="e">
        <f>VLOOKUP(B137,$B$169:$C$170,2,FALSE)</f>
        <v>#N/A</v>
      </c>
      <c r="E137" s="1237" t="e">
        <f>(C137-D137)/D137</f>
        <v>#N/A</v>
      </c>
      <c r="G137" s="1583"/>
    </row>
    <row r="138" spans="2:15" ht="22.5" customHeight="1">
      <c r="C138" s="1740"/>
      <c r="E138" s="1740"/>
      <c r="F138" s="1740"/>
      <c r="G138" s="1583"/>
      <c r="I138" s="1583"/>
      <c r="J138" s="1583"/>
      <c r="K138" s="1583"/>
      <c r="L138" s="1583"/>
    </row>
    <row r="139" spans="2:15" ht="40.5" customHeight="1">
      <c r="C139" s="1740"/>
      <c r="D139" s="1740"/>
      <c r="E139" s="1740"/>
      <c r="F139" s="1740"/>
      <c r="G139" s="1740"/>
    </row>
    <row r="140" spans="2:15" ht="15.75" customHeight="1" thickBot="1">
      <c r="B140" s="1757" t="s">
        <v>2278</v>
      </c>
      <c r="C140" s="1240"/>
      <c r="D140" s="1240"/>
      <c r="E140" s="1240"/>
      <c r="F140" s="1241"/>
      <c r="G140" s="1193"/>
      <c r="H140" s="790"/>
      <c r="I140" s="790"/>
      <c r="J140" s="790"/>
      <c r="K140" s="790"/>
      <c r="L140" s="790"/>
      <c r="M140" s="790"/>
    </row>
    <row r="141" spans="2:15" ht="17.25" customHeight="1">
      <c r="B141" s="1756"/>
      <c r="C141" s="2928" t="s">
        <v>2277</v>
      </c>
      <c r="D141" s="2929"/>
      <c r="E141" s="2929"/>
      <c r="F141" s="2929"/>
      <c r="G141" s="2929"/>
      <c r="H141" s="2929"/>
      <c r="I141" s="2929"/>
      <c r="J141" s="2929"/>
      <c r="K141" s="2929"/>
      <c r="L141" s="2929"/>
      <c r="M141" s="2930"/>
    </row>
    <row r="142" spans="2:15" ht="15.75" customHeight="1">
      <c r="B142" s="1755" t="s">
        <v>2276</v>
      </c>
      <c r="C142" s="1751">
        <v>0</v>
      </c>
      <c r="D142" s="1751">
        <v>1</v>
      </c>
      <c r="E142" s="1754">
        <v>2</v>
      </c>
      <c r="F142" s="1754">
        <v>3</v>
      </c>
      <c r="G142" s="1754">
        <v>4</v>
      </c>
      <c r="H142" s="1754">
        <v>5</v>
      </c>
      <c r="I142" s="1753">
        <v>6</v>
      </c>
      <c r="J142" s="1753">
        <v>7</v>
      </c>
      <c r="K142" s="1751">
        <v>8</v>
      </c>
      <c r="L142" s="1751">
        <v>9</v>
      </c>
      <c r="M142" s="1750">
        <v>10</v>
      </c>
    </row>
    <row r="143" spans="2:15" ht="15.75" customHeight="1">
      <c r="B143" s="1749">
        <v>1500</v>
      </c>
      <c r="C143" s="1751">
        <v>30</v>
      </c>
      <c r="D143" s="1751">
        <v>30</v>
      </c>
      <c r="E143" s="1751">
        <v>45</v>
      </c>
      <c r="F143" s="1751">
        <v>45</v>
      </c>
      <c r="G143" s="1751">
        <v>60</v>
      </c>
      <c r="H143" s="1751">
        <v>60</v>
      </c>
      <c r="I143" s="1752">
        <v>75</v>
      </c>
      <c r="J143" s="1752">
        <v>75</v>
      </c>
      <c r="K143" s="1751">
        <v>90</v>
      </c>
      <c r="L143" s="1751">
        <v>90</v>
      </c>
      <c r="M143" s="1750">
        <v>90</v>
      </c>
    </row>
    <row r="144" spans="2:15" ht="15.75" customHeight="1">
      <c r="B144" s="1749">
        <v>3000</v>
      </c>
      <c r="C144" s="1747">
        <v>45</v>
      </c>
      <c r="D144" s="1747">
        <v>45</v>
      </c>
      <c r="E144" s="1747">
        <v>60</v>
      </c>
      <c r="F144" s="1747">
        <v>60</v>
      </c>
      <c r="G144" s="1747">
        <v>75</v>
      </c>
      <c r="H144" s="1747">
        <v>75</v>
      </c>
      <c r="I144" s="1748">
        <v>90</v>
      </c>
      <c r="J144" s="1748">
        <v>90</v>
      </c>
      <c r="K144" s="1747">
        <v>105</v>
      </c>
      <c r="L144" s="1747">
        <v>105</v>
      </c>
      <c r="M144" s="1746">
        <v>105</v>
      </c>
    </row>
    <row r="145" spans="2:24" ht="15.75" customHeight="1">
      <c r="B145" s="1749">
        <v>4500</v>
      </c>
      <c r="C145" s="1747">
        <v>60</v>
      </c>
      <c r="D145" s="1747">
        <v>60</v>
      </c>
      <c r="E145" s="1747">
        <v>75</v>
      </c>
      <c r="F145" s="1747">
        <v>75</v>
      </c>
      <c r="G145" s="1747">
        <v>90</v>
      </c>
      <c r="H145" s="1747">
        <v>90</v>
      </c>
      <c r="I145" s="1748">
        <v>105</v>
      </c>
      <c r="J145" s="1748">
        <v>105</v>
      </c>
      <c r="K145" s="1747">
        <v>120</v>
      </c>
      <c r="L145" s="1747">
        <v>120</v>
      </c>
      <c r="M145" s="1746">
        <v>120</v>
      </c>
      <c r="X145" s="1426" t="s">
        <v>362</v>
      </c>
    </row>
    <row r="146" spans="2:24" ht="15.75" customHeight="1">
      <c r="B146" s="1749">
        <v>6000</v>
      </c>
      <c r="C146" s="1747">
        <v>75</v>
      </c>
      <c r="D146" s="1747">
        <v>75</v>
      </c>
      <c r="E146" s="1747">
        <v>90</v>
      </c>
      <c r="F146" s="1747">
        <v>90</v>
      </c>
      <c r="G146" s="1747">
        <v>105</v>
      </c>
      <c r="H146" s="1747">
        <v>105</v>
      </c>
      <c r="I146" s="1748">
        <v>120</v>
      </c>
      <c r="J146" s="1748">
        <v>120</v>
      </c>
      <c r="K146" s="1747">
        <v>135</v>
      </c>
      <c r="L146" s="1747">
        <v>135</v>
      </c>
      <c r="M146" s="1746">
        <v>135</v>
      </c>
      <c r="X146" s="1426" t="s">
        <v>364</v>
      </c>
    </row>
    <row r="147" spans="2:24" ht="15.75" customHeight="1">
      <c r="B147" s="1749">
        <v>7500</v>
      </c>
      <c r="C147" s="1747">
        <v>90</v>
      </c>
      <c r="D147" s="1747">
        <v>90</v>
      </c>
      <c r="E147" s="1747">
        <v>105</v>
      </c>
      <c r="F147" s="1747">
        <v>105</v>
      </c>
      <c r="G147" s="1747">
        <v>120</v>
      </c>
      <c r="H147" s="1747">
        <v>120</v>
      </c>
      <c r="I147" s="1748">
        <v>135</v>
      </c>
      <c r="J147" s="1748">
        <v>135</v>
      </c>
      <c r="K147" s="1747">
        <v>150</v>
      </c>
      <c r="L147" s="1747">
        <v>150</v>
      </c>
      <c r="M147" s="1746">
        <v>150</v>
      </c>
      <c r="X147" s="1426" t="s">
        <v>363</v>
      </c>
    </row>
    <row r="148" spans="2:24" ht="15.75" customHeight="1" thickBot="1">
      <c r="B148" s="1745">
        <v>999999</v>
      </c>
      <c r="C148" s="1743">
        <v>105</v>
      </c>
      <c r="D148" s="1743">
        <v>105</v>
      </c>
      <c r="E148" s="1743">
        <v>120</v>
      </c>
      <c r="F148" s="1743">
        <v>120</v>
      </c>
      <c r="G148" s="1743">
        <v>135</v>
      </c>
      <c r="H148" s="1743">
        <v>135</v>
      </c>
      <c r="I148" s="1744">
        <v>150</v>
      </c>
      <c r="J148" s="1744">
        <v>150</v>
      </c>
      <c r="K148" s="1743">
        <v>165</v>
      </c>
      <c r="L148" s="1743">
        <v>165</v>
      </c>
      <c r="M148" s="1742">
        <v>165</v>
      </c>
    </row>
    <row r="149" spans="2:24" ht="15.75" customHeight="1">
      <c r="B149" s="1741"/>
      <c r="C149" s="1740"/>
      <c r="D149" s="1740"/>
      <c r="E149" s="1740"/>
      <c r="F149" s="1740"/>
      <c r="G149" s="1740"/>
    </row>
    <row r="150" spans="2:24" ht="13.5" thickBot="1">
      <c r="B150" s="1068" t="s">
        <v>1835</v>
      </c>
      <c r="C150" s="1242"/>
      <c r="D150" s="1242"/>
      <c r="E150" s="1242"/>
      <c r="F150" s="1242"/>
      <c r="G150" s="1242"/>
    </row>
    <row r="151" spans="2:24" ht="38.25">
      <c r="B151" s="1739" t="s">
        <v>1817</v>
      </c>
      <c r="C151" s="1738" t="s">
        <v>1818</v>
      </c>
      <c r="D151" s="1738" t="s">
        <v>1819</v>
      </c>
      <c r="E151" s="1737" t="s">
        <v>1836</v>
      </c>
      <c r="F151" s="1737" t="s">
        <v>1837</v>
      </c>
      <c r="G151" s="1736" t="s">
        <v>1838</v>
      </c>
      <c r="H151" s="1430"/>
      <c r="I151" s="1430"/>
      <c r="J151" s="1430"/>
      <c r="K151" s="1430"/>
      <c r="L151" s="1430"/>
      <c r="M151" s="1430"/>
      <c r="N151" s="1430"/>
      <c r="O151" s="1430"/>
      <c r="P151" s="1430"/>
      <c r="Q151" s="1430"/>
      <c r="R151" s="1430"/>
      <c r="S151" s="1430"/>
      <c r="T151" s="1430"/>
    </row>
    <row r="152" spans="2:24" s="1430" customFormat="1" ht="25.5">
      <c r="B152" s="1735" t="s">
        <v>1839</v>
      </c>
      <c r="C152" s="1247">
        <v>5</v>
      </c>
      <c r="D152" s="1247">
        <v>0.06</v>
      </c>
      <c r="E152" s="1247">
        <v>50</v>
      </c>
      <c r="F152" s="1247">
        <v>6</v>
      </c>
      <c r="G152" s="1729">
        <v>1</v>
      </c>
      <c r="H152" s="1324"/>
      <c r="I152" s="1324"/>
      <c r="J152" s="1324"/>
      <c r="K152" s="1324"/>
      <c r="L152" s="1324"/>
      <c r="M152" s="1324"/>
      <c r="N152" s="1324"/>
      <c r="O152" s="1324"/>
      <c r="P152" s="1324"/>
      <c r="Q152" s="1324"/>
      <c r="R152" s="1324"/>
      <c r="S152" s="1324"/>
      <c r="T152" s="1324"/>
    </row>
    <row r="153" spans="2:24" ht="27.75" customHeight="1">
      <c r="B153" s="1735" t="s">
        <v>92</v>
      </c>
      <c r="C153" s="1734">
        <v>0</v>
      </c>
      <c r="D153" s="1247">
        <v>0.06</v>
      </c>
      <c r="E153" s="1734">
        <v>0</v>
      </c>
      <c r="F153" s="1734">
        <v>0</v>
      </c>
      <c r="G153" s="1729">
        <v>1</v>
      </c>
    </row>
    <row r="154" spans="2:24" ht="27.75" customHeight="1">
      <c r="B154" s="1735" t="s">
        <v>1840</v>
      </c>
      <c r="C154" s="1734">
        <v>0</v>
      </c>
      <c r="D154" s="1247">
        <v>0.12</v>
      </c>
      <c r="E154" s="1734">
        <v>0</v>
      </c>
      <c r="F154" s="1734">
        <v>0</v>
      </c>
      <c r="G154" s="1729">
        <v>1</v>
      </c>
    </row>
    <row r="155" spans="2:24" ht="27.75" customHeight="1">
      <c r="B155" s="1735" t="s">
        <v>2275</v>
      </c>
      <c r="C155" s="1734">
        <v>5</v>
      </c>
      <c r="D155" s="1247">
        <v>0.12</v>
      </c>
      <c r="E155" s="1734">
        <v>10</v>
      </c>
      <c r="F155" s="1734">
        <v>17</v>
      </c>
      <c r="G155" s="1729">
        <v>2</v>
      </c>
    </row>
    <row r="156" spans="2:24" ht="27.75" customHeight="1">
      <c r="B156" s="1735" t="s">
        <v>1843</v>
      </c>
      <c r="C156" s="1247">
        <v>7.5</v>
      </c>
      <c r="D156" s="1247">
        <v>0.06</v>
      </c>
      <c r="E156" s="1247">
        <v>30</v>
      </c>
      <c r="F156" s="1247">
        <v>10</v>
      </c>
      <c r="G156" s="1729">
        <v>1</v>
      </c>
    </row>
    <row r="157" spans="2:24" ht="27.75" customHeight="1">
      <c r="B157" s="1735" t="s">
        <v>2274</v>
      </c>
      <c r="C157" s="1734">
        <v>5</v>
      </c>
      <c r="D157" s="1247">
        <v>0.06</v>
      </c>
      <c r="E157" s="1734">
        <v>120</v>
      </c>
      <c r="F157" s="1734">
        <v>6</v>
      </c>
      <c r="G157" s="1729">
        <v>1</v>
      </c>
    </row>
    <row r="158" spans="2:24" ht="27.75" customHeight="1">
      <c r="B158" s="1735" t="s">
        <v>2273</v>
      </c>
      <c r="C158" s="1734">
        <v>5</v>
      </c>
      <c r="D158" s="1247">
        <v>0.06</v>
      </c>
      <c r="E158" s="1734">
        <v>5</v>
      </c>
      <c r="F158" s="1734">
        <v>17</v>
      </c>
      <c r="G158" s="1729">
        <v>1</v>
      </c>
    </row>
    <row r="159" spans="2:24" ht="27.75" customHeight="1">
      <c r="B159" s="1735" t="s">
        <v>2272</v>
      </c>
      <c r="C159" s="1734">
        <v>5</v>
      </c>
      <c r="D159" s="1247">
        <v>0.06</v>
      </c>
      <c r="E159" s="1734">
        <v>30</v>
      </c>
      <c r="F159" s="1734">
        <v>7</v>
      </c>
      <c r="G159" s="1729">
        <v>1</v>
      </c>
    </row>
    <row r="160" spans="2:24" ht="27.75" customHeight="1">
      <c r="B160" s="1735" t="s">
        <v>2271</v>
      </c>
      <c r="C160" s="1734">
        <v>5</v>
      </c>
      <c r="D160" s="1247">
        <v>0.06</v>
      </c>
      <c r="E160" s="1734">
        <v>10</v>
      </c>
      <c r="F160" s="1734">
        <v>11</v>
      </c>
      <c r="G160" s="1729">
        <v>1</v>
      </c>
    </row>
    <row r="161" spans="2:7" ht="27.75" customHeight="1">
      <c r="B161" s="1735" t="s">
        <v>2270</v>
      </c>
      <c r="C161" s="1734">
        <v>5</v>
      </c>
      <c r="D161" s="1247">
        <v>0.06</v>
      </c>
      <c r="E161" s="1734">
        <v>4</v>
      </c>
      <c r="F161" s="1734">
        <v>20</v>
      </c>
      <c r="G161" s="1729">
        <v>1</v>
      </c>
    </row>
    <row r="162" spans="2:7" ht="27.75" customHeight="1">
      <c r="B162" s="1735" t="s">
        <v>1841</v>
      </c>
      <c r="C162" s="1734">
        <v>0</v>
      </c>
      <c r="D162" s="1247">
        <v>0.06</v>
      </c>
      <c r="E162" s="1734">
        <v>0</v>
      </c>
      <c r="F162" s="1734">
        <v>0</v>
      </c>
      <c r="G162" s="1729">
        <v>1</v>
      </c>
    </row>
    <row r="163" spans="2:7" ht="27.75" customHeight="1">
      <c r="B163" s="1735" t="s">
        <v>1842</v>
      </c>
      <c r="C163" s="1734">
        <v>0</v>
      </c>
      <c r="D163" s="1247">
        <v>0.12</v>
      </c>
      <c r="E163" s="1734">
        <v>0</v>
      </c>
      <c r="F163" s="1734">
        <v>0</v>
      </c>
      <c r="G163" s="1729">
        <v>1</v>
      </c>
    </row>
    <row r="164" spans="2:7" ht="27.75" customHeight="1"/>
    <row r="167" spans="2:7" ht="13.5" thickBot="1">
      <c r="B167" s="1068" t="s">
        <v>1844</v>
      </c>
      <c r="C167" s="790"/>
      <c r="D167" s="790"/>
      <c r="E167" s="790"/>
      <c r="F167" s="790"/>
    </row>
    <row r="168" spans="2:7">
      <c r="B168" s="1733" t="s">
        <v>1845</v>
      </c>
      <c r="C168" s="1732" t="s">
        <v>1846</v>
      </c>
      <c r="D168" s="1732" t="s">
        <v>1847</v>
      </c>
      <c r="E168" s="1732" t="s">
        <v>1848</v>
      </c>
      <c r="F168" s="1731" t="s">
        <v>1847</v>
      </c>
    </row>
    <row r="169" spans="2:7" ht="18.75" customHeight="1">
      <c r="B169" s="1730" t="s">
        <v>1833</v>
      </c>
      <c r="C169" s="1246">
        <v>100</v>
      </c>
      <c r="D169" s="1247" t="s">
        <v>199</v>
      </c>
      <c r="E169" s="1246">
        <v>5</v>
      </c>
      <c r="F169" s="1729" t="s">
        <v>1849</v>
      </c>
    </row>
    <row r="170" spans="2:7" ht="18.75" customHeight="1" thickBot="1">
      <c r="B170" s="1728" t="s">
        <v>1834</v>
      </c>
      <c r="C170" s="1726">
        <v>50</v>
      </c>
      <c r="D170" s="1727" t="s">
        <v>199</v>
      </c>
      <c r="E170" s="1726">
        <v>20</v>
      </c>
      <c r="F170" s="1725" t="s">
        <v>199</v>
      </c>
    </row>
    <row r="171" spans="2:7" ht="18.75" customHeight="1"/>
    <row r="254" spans="2:2" ht="18">
      <c r="B254" s="794"/>
    </row>
  </sheetData>
  <sheetProtection formatCells="0" formatColumns="0" formatRows="0" insertColumns="0" insertRows="0"/>
  <mergeCells count="126">
    <mergeCell ref="C141:M141"/>
    <mergeCell ref="N88:P88"/>
    <mergeCell ref="H52:N52"/>
    <mergeCell ref="N89:P89"/>
    <mergeCell ref="N90:P90"/>
    <mergeCell ref="N91:P91"/>
    <mergeCell ref="N92:P92"/>
    <mergeCell ref="K86:L86"/>
    <mergeCell ref="H53:N53"/>
    <mergeCell ref="C75:E75"/>
    <mergeCell ref="C74:E74"/>
    <mergeCell ref="F74:H74"/>
    <mergeCell ref="F75:H75"/>
    <mergeCell ref="O83:Q83"/>
    <mergeCell ref="H63:N63"/>
    <mergeCell ref="B65:G65"/>
    <mergeCell ref="I75:K75"/>
    <mergeCell ref="I83:K83"/>
    <mergeCell ref="L74:N74"/>
    <mergeCell ref="L75:N75"/>
    <mergeCell ref="O74:Q74"/>
    <mergeCell ref="L83:N83"/>
    <mergeCell ref="C83:E83"/>
    <mergeCell ref="H67:N67"/>
    <mergeCell ref="H34:N34"/>
    <mergeCell ref="B52:D52"/>
    <mergeCell ref="B26:N26"/>
    <mergeCell ref="Q5:R5"/>
    <mergeCell ref="Q6:R6"/>
    <mergeCell ref="Q7:R7"/>
    <mergeCell ref="Q8:R8"/>
    <mergeCell ref="S6:T6"/>
    <mergeCell ref="S7:T7"/>
    <mergeCell ref="S8:T8"/>
    <mergeCell ref="B8:N8"/>
    <mergeCell ref="B9:N9"/>
    <mergeCell ref="B30:N30"/>
    <mergeCell ref="B29:N29"/>
    <mergeCell ref="B27:N27"/>
    <mergeCell ref="B10:N10"/>
    <mergeCell ref="B28:M28"/>
    <mergeCell ref="B34:G34"/>
    <mergeCell ref="R9:S9"/>
    <mergeCell ref="R10:S10"/>
    <mergeCell ref="B33:G33"/>
    <mergeCell ref="B50:G50"/>
    <mergeCell ref="H33:N33"/>
    <mergeCell ref="H50:N50"/>
    <mergeCell ref="R50:T50"/>
    <mergeCell ref="R38:T38"/>
    <mergeCell ref="F83:H83"/>
    <mergeCell ref="B71:P71"/>
    <mergeCell ref="B70:P70"/>
    <mergeCell ref="O75:Q75"/>
    <mergeCell ref="B35:G35"/>
    <mergeCell ref="H35:N35"/>
    <mergeCell ref="H65:N65"/>
    <mergeCell ref="B64:G64"/>
    <mergeCell ref="R70:T70"/>
    <mergeCell ref="H61:N61"/>
    <mergeCell ref="B55:D55"/>
    <mergeCell ref="B56:D56"/>
    <mergeCell ref="H56:N56"/>
    <mergeCell ref="R66:T66"/>
    <mergeCell ref="B68:P68"/>
    <mergeCell ref="B67:G67"/>
    <mergeCell ref="R75:T75"/>
    <mergeCell ref="R83:T83"/>
    <mergeCell ref="R71:T71"/>
    <mergeCell ref="R74:T74"/>
    <mergeCell ref="R63:T63"/>
    <mergeCell ref="B62:T62"/>
    <mergeCell ref="R69:T69"/>
    <mergeCell ref="R68:T68"/>
    <mergeCell ref="R67:T67"/>
    <mergeCell ref="I74:K74"/>
    <mergeCell ref="H60:N60"/>
    <mergeCell ref="B63:G63"/>
    <mergeCell ref="B61:G61"/>
    <mergeCell ref="R61:T61"/>
    <mergeCell ref="B60:G60"/>
    <mergeCell ref="H64:N64"/>
    <mergeCell ref="B66:G66"/>
    <mergeCell ref="H66:N66"/>
    <mergeCell ref="B69:P69"/>
    <mergeCell ref="R65:T65"/>
    <mergeCell ref="R64:T64"/>
    <mergeCell ref="F55:G55"/>
    <mergeCell ref="R54:T54"/>
    <mergeCell ref="R52:T52"/>
    <mergeCell ref="B58:T58"/>
    <mergeCell ref="R59:T59"/>
    <mergeCell ref="H57:N57"/>
    <mergeCell ref="R56:T56"/>
    <mergeCell ref="R60:T60"/>
    <mergeCell ref="H59:N59"/>
    <mergeCell ref="B59:G59"/>
    <mergeCell ref="F56:G56"/>
    <mergeCell ref="B57:D57"/>
    <mergeCell ref="B54:D54"/>
    <mergeCell ref="H54:N54"/>
    <mergeCell ref="H55:N55"/>
    <mergeCell ref="R45:T45"/>
    <mergeCell ref="R36:T36"/>
    <mergeCell ref="R31:S31"/>
    <mergeCell ref="R37:T37"/>
    <mergeCell ref="R39:T39"/>
    <mergeCell ref="R40:T40"/>
    <mergeCell ref="R41:T41"/>
    <mergeCell ref="R42:T42"/>
    <mergeCell ref="R57:T57"/>
    <mergeCell ref="R48:S48"/>
    <mergeCell ref="R55:T55"/>
    <mergeCell ref="R53:T53"/>
    <mergeCell ref="R43:T43"/>
    <mergeCell ref="B51:T51"/>
    <mergeCell ref="B49:T49"/>
    <mergeCell ref="B53:D53"/>
    <mergeCell ref="H48:N48"/>
    <mergeCell ref="R44:T44"/>
    <mergeCell ref="H32:N32"/>
    <mergeCell ref="F57:G57"/>
    <mergeCell ref="F48:G48"/>
    <mergeCell ref="F52:G52"/>
    <mergeCell ref="F53:G53"/>
    <mergeCell ref="F54:G54"/>
  </mergeCells>
  <conditionalFormatting sqref="G115 I115:J121 G117:G121 K114 H115:H120 N94:N97 F140">
    <cfRule type="cellIs" dxfId="13" priority="13" stopIfTrue="1" operator="greaterThan">
      <formula>0.5</formula>
    </cfRule>
  </conditionalFormatting>
  <conditionalFormatting sqref="N113:N114">
    <cfRule type="cellIs" dxfId="12" priority="12" stopIfTrue="1" operator="greaterThan">
      <formula>0.5</formula>
    </cfRule>
  </conditionalFormatting>
  <conditionalFormatting sqref="N132:N133">
    <cfRule type="cellIs" dxfId="11" priority="11" stopIfTrue="1" operator="greaterThan">
      <formula>0.5</formula>
    </cfRule>
  </conditionalFormatting>
  <conditionalFormatting sqref="M88:M92">
    <cfRule type="cellIs" dxfId="10" priority="9" stopIfTrue="1" operator="lessThan">
      <formula>0</formula>
    </cfRule>
    <cfRule type="cellIs" dxfId="9" priority="10" stopIfTrue="1" operator="greaterThan">
      <formula>0.5</formula>
    </cfRule>
  </conditionalFormatting>
  <conditionalFormatting sqref="G101:G109">
    <cfRule type="cellIs" dxfId="8" priority="8" stopIfTrue="1" operator="lessThan">
      <formula>0</formula>
    </cfRule>
  </conditionalFormatting>
  <conditionalFormatting sqref="H101:H109">
    <cfRule type="cellIs" dxfId="7" priority="7" stopIfTrue="1" operator="greaterThan">
      <formula>0.5</formula>
    </cfRule>
  </conditionalFormatting>
  <conditionalFormatting sqref="F116:F121">
    <cfRule type="cellIs" dxfId="6" priority="5" stopIfTrue="1" operator="lessThan">
      <formula>0</formula>
    </cfRule>
    <cfRule type="cellIs" dxfId="5" priority="6" stopIfTrue="1" operator="greaterThan">
      <formula>0.5</formula>
    </cfRule>
  </conditionalFormatting>
  <conditionalFormatting sqref="E125:E129">
    <cfRule type="cellIs" dxfId="4" priority="3" stopIfTrue="1" operator="lessThan">
      <formula>0</formula>
    </cfRule>
    <cfRule type="cellIs" dxfId="3" priority="4" stopIfTrue="1" operator="greaterThan">
      <formula>0.5</formula>
    </cfRule>
  </conditionalFormatting>
  <conditionalFormatting sqref="E136:E137">
    <cfRule type="cellIs" dxfId="2" priority="1" stopIfTrue="1" operator="lessThan">
      <formula>0</formula>
    </cfRule>
    <cfRule type="cellIs" dxfId="1" priority="2" stopIfTrue="1" operator="greaterThan">
      <formula>0.5</formula>
    </cfRule>
  </conditionalFormatting>
  <dataValidations count="2">
    <dataValidation type="list" allowBlank="1" showInputMessage="1" showErrorMessage="1" sqref="D88:D92 WVL983129:WVL983133 WLP983129:WLP983133 WBT983129:WBT983133 VRX983129:VRX983133 VIB983129:VIB983133 UYF983129:UYF983133 UOJ983129:UOJ983133 UEN983129:UEN983133 TUR983129:TUR983133 TKV983129:TKV983133 TAZ983129:TAZ983133 SRD983129:SRD983133 SHH983129:SHH983133 RXL983129:RXL983133 RNP983129:RNP983133 RDT983129:RDT983133 QTX983129:QTX983133 QKB983129:QKB983133 QAF983129:QAF983133 PQJ983129:PQJ983133 PGN983129:PGN983133 OWR983129:OWR983133 OMV983129:OMV983133 OCZ983129:OCZ983133 NTD983129:NTD983133 NJH983129:NJH983133 MZL983129:MZL983133 MPP983129:MPP983133 MFT983129:MFT983133 LVX983129:LVX983133 LMB983129:LMB983133 LCF983129:LCF983133 KSJ983129:KSJ983133 KIN983129:KIN983133 JYR983129:JYR983133 JOV983129:JOV983133 JEZ983129:JEZ983133 IVD983129:IVD983133 ILH983129:ILH983133 IBL983129:IBL983133 HRP983129:HRP983133 HHT983129:HHT983133 GXX983129:GXX983133 GOB983129:GOB983133 GEF983129:GEF983133 FUJ983129:FUJ983133 FKN983129:FKN983133 FAR983129:FAR983133 EQV983129:EQV983133 EGZ983129:EGZ983133 DXD983129:DXD983133 DNH983129:DNH983133 DDL983129:DDL983133 CTP983129:CTP983133 CJT983129:CJT983133 BZX983129:BZX983133 BQB983129:BQB983133 BGF983129:BGF983133 AWJ983129:AWJ983133 AMN983129:AMN983133 ACR983129:ACR983133 SV983129:SV983133 IZ983129:IZ983133 D983128:D983132 WVL917593:WVL917597 WLP917593:WLP917597 WBT917593:WBT917597 VRX917593:VRX917597 VIB917593:VIB917597 UYF917593:UYF917597 UOJ917593:UOJ917597 UEN917593:UEN917597 TUR917593:TUR917597 TKV917593:TKV917597 TAZ917593:TAZ917597 SRD917593:SRD917597 SHH917593:SHH917597 RXL917593:RXL917597 RNP917593:RNP917597 RDT917593:RDT917597 QTX917593:QTX917597 QKB917593:QKB917597 QAF917593:QAF917597 PQJ917593:PQJ917597 PGN917593:PGN917597 OWR917593:OWR917597 OMV917593:OMV917597 OCZ917593:OCZ917597 NTD917593:NTD917597 NJH917593:NJH917597 MZL917593:MZL917597 MPP917593:MPP917597 MFT917593:MFT917597 LVX917593:LVX917597 LMB917593:LMB917597 LCF917593:LCF917597 KSJ917593:KSJ917597 KIN917593:KIN917597 JYR917593:JYR917597 JOV917593:JOV917597 JEZ917593:JEZ917597 IVD917593:IVD917597 ILH917593:ILH917597 IBL917593:IBL917597 HRP917593:HRP917597 HHT917593:HHT917597 GXX917593:GXX917597 GOB917593:GOB917597 GEF917593:GEF917597 FUJ917593:FUJ917597 FKN917593:FKN917597 FAR917593:FAR917597 EQV917593:EQV917597 EGZ917593:EGZ917597 DXD917593:DXD917597 DNH917593:DNH917597 DDL917593:DDL917597 CTP917593:CTP917597 CJT917593:CJT917597 BZX917593:BZX917597 BQB917593:BQB917597 BGF917593:BGF917597 AWJ917593:AWJ917597 AMN917593:AMN917597 ACR917593:ACR917597 SV917593:SV917597 IZ917593:IZ917597 D917592:D917596 WVL852057:WVL852061 WLP852057:WLP852061 WBT852057:WBT852061 VRX852057:VRX852061 VIB852057:VIB852061 UYF852057:UYF852061 UOJ852057:UOJ852061 UEN852057:UEN852061 TUR852057:TUR852061 TKV852057:TKV852061 TAZ852057:TAZ852061 SRD852057:SRD852061 SHH852057:SHH852061 RXL852057:RXL852061 RNP852057:RNP852061 RDT852057:RDT852061 QTX852057:QTX852061 QKB852057:QKB852061 QAF852057:QAF852061 PQJ852057:PQJ852061 PGN852057:PGN852061 OWR852057:OWR852061 OMV852057:OMV852061 OCZ852057:OCZ852061 NTD852057:NTD852061 NJH852057:NJH852061 MZL852057:MZL852061 MPP852057:MPP852061 MFT852057:MFT852061 LVX852057:LVX852061 LMB852057:LMB852061 LCF852057:LCF852061 KSJ852057:KSJ852061 KIN852057:KIN852061 JYR852057:JYR852061 JOV852057:JOV852061 JEZ852057:JEZ852061 IVD852057:IVD852061 ILH852057:ILH852061 IBL852057:IBL852061 HRP852057:HRP852061 HHT852057:HHT852061 GXX852057:GXX852061 GOB852057:GOB852061 GEF852057:GEF852061 FUJ852057:FUJ852061 FKN852057:FKN852061 FAR852057:FAR852061 EQV852057:EQV852061 EGZ852057:EGZ852061 DXD852057:DXD852061 DNH852057:DNH852061 DDL852057:DDL852061 CTP852057:CTP852061 CJT852057:CJT852061 BZX852057:BZX852061 BQB852057:BQB852061 BGF852057:BGF852061 AWJ852057:AWJ852061 AMN852057:AMN852061 ACR852057:ACR852061 SV852057:SV852061 IZ852057:IZ852061 D852056:D852060 WVL786521:WVL786525 WLP786521:WLP786525 WBT786521:WBT786525 VRX786521:VRX786525 VIB786521:VIB786525 UYF786521:UYF786525 UOJ786521:UOJ786525 UEN786521:UEN786525 TUR786521:TUR786525 TKV786521:TKV786525 TAZ786521:TAZ786525 SRD786521:SRD786525 SHH786521:SHH786525 RXL786521:RXL786525 RNP786521:RNP786525 RDT786521:RDT786525 QTX786521:QTX786525 QKB786521:QKB786525 QAF786521:QAF786525 PQJ786521:PQJ786525 PGN786521:PGN786525 OWR786521:OWR786525 OMV786521:OMV786525 OCZ786521:OCZ786525 NTD786521:NTD786525 NJH786521:NJH786525 MZL786521:MZL786525 MPP786521:MPP786525 MFT786521:MFT786525 LVX786521:LVX786525 LMB786521:LMB786525 LCF786521:LCF786525 KSJ786521:KSJ786525 KIN786521:KIN786525 JYR786521:JYR786525 JOV786521:JOV786525 JEZ786521:JEZ786525 IVD786521:IVD786525 ILH786521:ILH786525 IBL786521:IBL786525 HRP786521:HRP786525 HHT786521:HHT786525 GXX786521:GXX786525 GOB786521:GOB786525 GEF786521:GEF786525 FUJ786521:FUJ786525 FKN786521:FKN786525 FAR786521:FAR786525 EQV786521:EQV786525 EGZ786521:EGZ786525 DXD786521:DXD786525 DNH786521:DNH786525 DDL786521:DDL786525 CTP786521:CTP786525 CJT786521:CJT786525 BZX786521:BZX786525 BQB786521:BQB786525 BGF786521:BGF786525 AWJ786521:AWJ786525 AMN786521:AMN786525 ACR786521:ACR786525 SV786521:SV786525 IZ786521:IZ786525 D786520:D786524 WVL720985:WVL720989 WLP720985:WLP720989 WBT720985:WBT720989 VRX720985:VRX720989 VIB720985:VIB720989 UYF720985:UYF720989 UOJ720985:UOJ720989 UEN720985:UEN720989 TUR720985:TUR720989 TKV720985:TKV720989 TAZ720985:TAZ720989 SRD720985:SRD720989 SHH720985:SHH720989 RXL720985:RXL720989 RNP720985:RNP720989 RDT720985:RDT720989 QTX720985:QTX720989 QKB720985:QKB720989 QAF720985:QAF720989 PQJ720985:PQJ720989 PGN720985:PGN720989 OWR720985:OWR720989 OMV720985:OMV720989 OCZ720985:OCZ720989 NTD720985:NTD720989 NJH720985:NJH720989 MZL720985:MZL720989 MPP720985:MPP720989 MFT720985:MFT720989 LVX720985:LVX720989 LMB720985:LMB720989 LCF720985:LCF720989 KSJ720985:KSJ720989 KIN720985:KIN720989 JYR720985:JYR720989 JOV720985:JOV720989 JEZ720985:JEZ720989 IVD720985:IVD720989 ILH720985:ILH720989 IBL720985:IBL720989 HRP720985:HRP720989 HHT720985:HHT720989 GXX720985:GXX720989 GOB720985:GOB720989 GEF720985:GEF720989 FUJ720985:FUJ720989 FKN720985:FKN720989 FAR720985:FAR720989 EQV720985:EQV720989 EGZ720985:EGZ720989 DXD720985:DXD720989 DNH720985:DNH720989 DDL720985:DDL720989 CTP720985:CTP720989 CJT720985:CJT720989 BZX720985:BZX720989 BQB720985:BQB720989 BGF720985:BGF720989 AWJ720985:AWJ720989 AMN720985:AMN720989 ACR720985:ACR720989 SV720985:SV720989 IZ720985:IZ720989 D720984:D720988 WVL655449:WVL655453 WLP655449:WLP655453 WBT655449:WBT655453 VRX655449:VRX655453 VIB655449:VIB655453 UYF655449:UYF655453 UOJ655449:UOJ655453 UEN655449:UEN655453 TUR655449:TUR655453 TKV655449:TKV655453 TAZ655449:TAZ655453 SRD655449:SRD655453 SHH655449:SHH655453 RXL655449:RXL655453 RNP655449:RNP655453 RDT655449:RDT655453 QTX655449:QTX655453 QKB655449:QKB655453 QAF655449:QAF655453 PQJ655449:PQJ655453 PGN655449:PGN655453 OWR655449:OWR655453 OMV655449:OMV655453 OCZ655449:OCZ655453 NTD655449:NTD655453 NJH655449:NJH655453 MZL655449:MZL655453 MPP655449:MPP655453 MFT655449:MFT655453 LVX655449:LVX655453 LMB655449:LMB655453 LCF655449:LCF655453 KSJ655449:KSJ655453 KIN655449:KIN655453 JYR655449:JYR655453 JOV655449:JOV655453 JEZ655449:JEZ655453 IVD655449:IVD655453 ILH655449:ILH655453 IBL655449:IBL655453 HRP655449:HRP655453 HHT655449:HHT655453 GXX655449:GXX655453 GOB655449:GOB655453 GEF655449:GEF655453 FUJ655449:FUJ655453 FKN655449:FKN655453 FAR655449:FAR655453 EQV655449:EQV655453 EGZ655449:EGZ655453 DXD655449:DXD655453 DNH655449:DNH655453 DDL655449:DDL655453 CTP655449:CTP655453 CJT655449:CJT655453 BZX655449:BZX655453 BQB655449:BQB655453 BGF655449:BGF655453 AWJ655449:AWJ655453 AMN655449:AMN655453 ACR655449:ACR655453 SV655449:SV655453 IZ655449:IZ655453 D655448:D655452 WVL589913:WVL589917 WLP589913:WLP589917 WBT589913:WBT589917 VRX589913:VRX589917 VIB589913:VIB589917 UYF589913:UYF589917 UOJ589913:UOJ589917 UEN589913:UEN589917 TUR589913:TUR589917 TKV589913:TKV589917 TAZ589913:TAZ589917 SRD589913:SRD589917 SHH589913:SHH589917 RXL589913:RXL589917 RNP589913:RNP589917 RDT589913:RDT589917 QTX589913:QTX589917 QKB589913:QKB589917 QAF589913:QAF589917 PQJ589913:PQJ589917 PGN589913:PGN589917 OWR589913:OWR589917 OMV589913:OMV589917 OCZ589913:OCZ589917 NTD589913:NTD589917 NJH589913:NJH589917 MZL589913:MZL589917 MPP589913:MPP589917 MFT589913:MFT589917 LVX589913:LVX589917 LMB589913:LMB589917 LCF589913:LCF589917 KSJ589913:KSJ589917 KIN589913:KIN589917 JYR589913:JYR589917 JOV589913:JOV589917 JEZ589913:JEZ589917 IVD589913:IVD589917 ILH589913:ILH589917 IBL589913:IBL589917 HRP589913:HRP589917 HHT589913:HHT589917 GXX589913:GXX589917 GOB589913:GOB589917 GEF589913:GEF589917 FUJ589913:FUJ589917 FKN589913:FKN589917 FAR589913:FAR589917 EQV589913:EQV589917 EGZ589913:EGZ589917 DXD589913:DXD589917 DNH589913:DNH589917 DDL589913:DDL589917 CTP589913:CTP589917 CJT589913:CJT589917 BZX589913:BZX589917 BQB589913:BQB589917 BGF589913:BGF589917 AWJ589913:AWJ589917 AMN589913:AMN589917 ACR589913:ACR589917 SV589913:SV589917 IZ589913:IZ589917 D589912:D589916 WVL524377:WVL524381 WLP524377:WLP524381 WBT524377:WBT524381 VRX524377:VRX524381 VIB524377:VIB524381 UYF524377:UYF524381 UOJ524377:UOJ524381 UEN524377:UEN524381 TUR524377:TUR524381 TKV524377:TKV524381 TAZ524377:TAZ524381 SRD524377:SRD524381 SHH524377:SHH524381 RXL524377:RXL524381 RNP524377:RNP524381 RDT524377:RDT524381 QTX524377:QTX524381 QKB524377:QKB524381 QAF524377:QAF524381 PQJ524377:PQJ524381 PGN524377:PGN524381 OWR524377:OWR524381 OMV524377:OMV524381 OCZ524377:OCZ524381 NTD524377:NTD524381 NJH524377:NJH524381 MZL524377:MZL524381 MPP524377:MPP524381 MFT524377:MFT524381 LVX524377:LVX524381 LMB524377:LMB524381 LCF524377:LCF524381 KSJ524377:KSJ524381 KIN524377:KIN524381 JYR524377:JYR524381 JOV524377:JOV524381 JEZ524377:JEZ524381 IVD524377:IVD524381 ILH524377:ILH524381 IBL524377:IBL524381 HRP524377:HRP524381 HHT524377:HHT524381 GXX524377:GXX524381 GOB524377:GOB524381 GEF524377:GEF524381 FUJ524377:FUJ524381 FKN524377:FKN524381 FAR524377:FAR524381 EQV524377:EQV524381 EGZ524377:EGZ524381 DXD524377:DXD524381 DNH524377:DNH524381 DDL524377:DDL524381 CTP524377:CTP524381 CJT524377:CJT524381 BZX524377:BZX524381 BQB524377:BQB524381 BGF524377:BGF524381 AWJ524377:AWJ524381 AMN524377:AMN524381 ACR524377:ACR524381 SV524377:SV524381 IZ524377:IZ524381 D524376:D524380 WVL458841:WVL458845 WLP458841:WLP458845 WBT458841:WBT458845 VRX458841:VRX458845 VIB458841:VIB458845 UYF458841:UYF458845 UOJ458841:UOJ458845 UEN458841:UEN458845 TUR458841:TUR458845 TKV458841:TKV458845 TAZ458841:TAZ458845 SRD458841:SRD458845 SHH458841:SHH458845 RXL458841:RXL458845 RNP458841:RNP458845 RDT458841:RDT458845 QTX458841:QTX458845 QKB458841:QKB458845 QAF458841:QAF458845 PQJ458841:PQJ458845 PGN458841:PGN458845 OWR458841:OWR458845 OMV458841:OMV458845 OCZ458841:OCZ458845 NTD458841:NTD458845 NJH458841:NJH458845 MZL458841:MZL458845 MPP458841:MPP458845 MFT458841:MFT458845 LVX458841:LVX458845 LMB458841:LMB458845 LCF458841:LCF458845 KSJ458841:KSJ458845 KIN458841:KIN458845 JYR458841:JYR458845 JOV458841:JOV458845 JEZ458841:JEZ458845 IVD458841:IVD458845 ILH458841:ILH458845 IBL458841:IBL458845 HRP458841:HRP458845 HHT458841:HHT458845 GXX458841:GXX458845 GOB458841:GOB458845 GEF458841:GEF458845 FUJ458841:FUJ458845 FKN458841:FKN458845 FAR458841:FAR458845 EQV458841:EQV458845 EGZ458841:EGZ458845 DXD458841:DXD458845 DNH458841:DNH458845 DDL458841:DDL458845 CTP458841:CTP458845 CJT458841:CJT458845 BZX458841:BZX458845 BQB458841:BQB458845 BGF458841:BGF458845 AWJ458841:AWJ458845 AMN458841:AMN458845 ACR458841:ACR458845 SV458841:SV458845 IZ458841:IZ458845 D458840:D458844 WVL393305:WVL393309 WLP393305:WLP393309 WBT393305:WBT393309 VRX393305:VRX393309 VIB393305:VIB393309 UYF393305:UYF393309 UOJ393305:UOJ393309 UEN393305:UEN393309 TUR393305:TUR393309 TKV393305:TKV393309 TAZ393305:TAZ393309 SRD393305:SRD393309 SHH393305:SHH393309 RXL393305:RXL393309 RNP393305:RNP393309 RDT393305:RDT393309 QTX393305:QTX393309 QKB393305:QKB393309 QAF393305:QAF393309 PQJ393305:PQJ393309 PGN393305:PGN393309 OWR393305:OWR393309 OMV393305:OMV393309 OCZ393305:OCZ393309 NTD393305:NTD393309 NJH393305:NJH393309 MZL393305:MZL393309 MPP393305:MPP393309 MFT393305:MFT393309 LVX393305:LVX393309 LMB393305:LMB393309 LCF393305:LCF393309 KSJ393305:KSJ393309 KIN393305:KIN393309 JYR393305:JYR393309 JOV393305:JOV393309 JEZ393305:JEZ393309 IVD393305:IVD393309 ILH393305:ILH393309 IBL393305:IBL393309 HRP393305:HRP393309 HHT393305:HHT393309 GXX393305:GXX393309 GOB393305:GOB393309 GEF393305:GEF393309 FUJ393305:FUJ393309 FKN393305:FKN393309 FAR393305:FAR393309 EQV393305:EQV393309 EGZ393305:EGZ393309 DXD393305:DXD393309 DNH393305:DNH393309 DDL393305:DDL393309 CTP393305:CTP393309 CJT393305:CJT393309 BZX393305:BZX393309 BQB393305:BQB393309 BGF393305:BGF393309 AWJ393305:AWJ393309 AMN393305:AMN393309 ACR393305:ACR393309 SV393305:SV393309 IZ393305:IZ393309 D393304:D393308 WVL327769:WVL327773 WLP327769:WLP327773 WBT327769:WBT327773 VRX327769:VRX327773 VIB327769:VIB327773 UYF327769:UYF327773 UOJ327769:UOJ327773 UEN327769:UEN327773 TUR327769:TUR327773 TKV327769:TKV327773 TAZ327769:TAZ327773 SRD327769:SRD327773 SHH327769:SHH327773 RXL327769:RXL327773 RNP327769:RNP327773 RDT327769:RDT327773 QTX327769:QTX327773 QKB327769:QKB327773 QAF327769:QAF327773 PQJ327769:PQJ327773 PGN327769:PGN327773 OWR327769:OWR327773 OMV327769:OMV327773 OCZ327769:OCZ327773 NTD327769:NTD327773 NJH327769:NJH327773 MZL327769:MZL327773 MPP327769:MPP327773 MFT327769:MFT327773 LVX327769:LVX327773 LMB327769:LMB327773 LCF327769:LCF327773 KSJ327769:KSJ327773 KIN327769:KIN327773 JYR327769:JYR327773 JOV327769:JOV327773 JEZ327769:JEZ327773 IVD327769:IVD327773 ILH327769:ILH327773 IBL327769:IBL327773 HRP327769:HRP327773 HHT327769:HHT327773 GXX327769:GXX327773 GOB327769:GOB327773 GEF327769:GEF327773 FUJ327769:FUJ327773 FKN327769:FKN327773 FAR327769:FAR327773 EQV327769:EQV327773 EGZ327769:EGZ327773 DXD327769:DXD327773 DNH327769:DNH327773 DDL327769:DDL327773 CTP327769:CTP327773 CJT327769:CJT327773 BZX327769:BZX327773 BQB327769:BQB327773 BGF327769:BGF327773 AWJ327769:AWJ327773 AMN327769:AMN327773 ACR327769:ACR327773 SV327769:SV327773 IZ327769:IZ327773 D327768:D327772 WVL262233:WVL262237 WLP262233:WLP262237 WBT262233:WBT262237 VRX262233:VRX262237 VIB262233:VIB262237 UYF262233:UYF262237 UOJ262233:UOJ262237 UEN262233:UEN262237 TUR262233:TUR262237 TKV262233:TKV262237 TAZ262233:TAZ262237 SRD262233:SRD262237 SHH262233:SHH262237 RXL262233:RXL262237 RNP262233:RNP262237 RDT262233:RDT262237 QTX262233:QTX262237 QKB262233:QKB262237 QAF262233:QAF262237 PQJ262233:PQJ262237 PGN262233:PGN262237 OWR262233:OWR262237 OMV262233:OMV262237 OCZ262233:OCZ262237 NTD262233:NTD262237 NJH262233:NJH262237 MZL262233:MZL262237 MPP262233:MPP262237 MFT262233:MFT262237 LVX262233:LVX262237 LMB262233:LMB262237 LCF262233:LCF262237 KSJ262233:KSJ262237 KIN262233:KIN262237 JYR262233:JYR262237 JOV262233:JOV262237 JEZ262233:JEZ262237 IVD262233:IVD262237 ILH262233:ILH262237 IBL262233:IBL262237 HRP262233:HRP262237 HHT262233:HHT262237 GXX262233:GXX262237 GOB262233:GOB262237 GEF262233:GEF262237 FUJ262233:FUJ262237 FKN262233:FKN262237 FAR262233:FAR262237 EQV262233:EQV262237 EGZ262233:EGZ262237 DXD262233:DXD262237 DNH262233:DNH262237 DDL262233:DDL262237 CTP262233:CTP262237 CJT262233:CJT262237 BZX262233:BZX262237 BQB262233:BQB262237 BGF262233:BGF262237 AWJ262233:AWJ262237 AMN262233:AMN262237 ACR262233:ACR262237 SV262233:SV262237 IZ262233:IZ262237 D262232:D262236 WVL196697:WVL196701 WLP196697:WLP196701 WBT196697:WBT196701 VRX196697:VRX196701 VIB196697:VIB196701 UYF196697:UYF196701 UOJ196697:UOJ196701 UEN196697:UEN196701 TUR196697:TUR196701 TKV196697:TKV196701 TAZ196697:TAZ196701 SRD196697:SRD196701 SHH196697:SHH196701 RXL196697:RXL196701 RNP196697:RNP196701 RDT196697:RDT196701 QTX196697:QTX196701 QKB196697:QKB196701 QAF196697:QAF196701 PQJ196697:PQJ196701 PGN196697:PGN196701 OWR196697:OWR196701 OMV196697:OMV196701 OCZ196697:OCZ196701 NTD196697:NTD196701 NJH196697:NJH196701 MZL196697:MZL196701 MPP196697:MPP196701 MFT196697:MFT196701 LVX196697:LVX196701 LMB196697:LMB196701 LCF196697:LCF196701 KSJ196697:KSJ196701 KIN196697:KIN196701 JYR196697:JYR196701 JOV196697:JOV196701 JEZ196697:JEZ196701 IVD196697:IVD196701 ILH196697:ILH196701 IBL196697:IBL196701 HRP196697:HRP196701 HHT196697:HHT196701 GXX196697:GXX196701 GOB196697:GOB196701 GEF196697:GEF196701 FUJ196697:FUJ196701 FKN196697:FKN196701 FAR196697:FAR196701 EQV196697:EQV196701 EGZ196697:EGZ196701 DXD196697:DXD196701 DNH196697:DNH196701 DDL196697:DDL196701 CTP196697:CTP196701 CJT196697:CJT196701 BZX196697:BZX196701 BQB196697:BQB196701 BGF196697:BGF196701 AWJ196697:AWJ196701 AMN196697:AMN196701 ACR196697:ACR196701 SV196697:SV196701 IZ196697:IZ196701 D196696:D196700 WVL131161:WVL131165 WLP131161:WLP131165 WBT131161:WBT131165 VRX131161:VRX131165 VIB131161:VIB131165 UYF131161:UYF131165 UOJ131161:UOJ131165 UEN131161:UEN131165 TUR131161:TUR131165 TKV131161:TKV131165 TAZ131161:TAZ131165 SRD131161:SRD131165 SHH131161:SHH131165 RXL131161:RXL131165 RNP131161:RNP131165 RDT131161:RDT131165 QTX131161:QTX131165 QKB131161:QKB131165 QAF131161:QAF131165 PQJ131161:PQJ131165 PGN131161:PGN131165 OWR131161:OWR131165 OMV131161:OMV131165 OCZ131161:OCZ131165 NTD131161:NTD131165 NJH131161:NJH131165 MZL131161:MZL131165 MPP131161:MPP131165 MFT131161:MFT131165 LVX131161:LVX131165 LMB131161:LMB131165 LCF131161:LCF131165 KSJ131161:KSJ131165 KIN131161:KIN131165 JYR131161:JYR131165 JOV131161:JOV131165 JEZ131161:JEZ131165 IVD131161:IVD131165 ILH131161:ILH131165 IBL131161:IBL131165 HRP131161:HRP131165 HHT131161:HHT131165 GXX131161:GXX131165 GOB131161:GOB131165 GEF131161:GEF131165 FUJ131161:FUJ131165 FKN131161:FKN131165 FAR131161:FAR131165 EQV131161:EQV131165 EGZ131161:EGZ131165 DXD131161:DXD131165 DNH131161:DNH131165 DDL131161:DDL131165 CTP131161:CTP131165 CJT131161:CJT131165 BZX131161:BZX131165 BQB131161:BQB131165 BGF131161:BGF131165 AWJ131161:AWJ131165 AMN131161:AMN131165 ACR131161:ACR131165 SV131161:SV131165 IZ131161:IZ131165 D131160:D131164 WVL65625:WVL65629 WLP65625:WLP65629 WBT65625:WBT65629 VRX65625:VRX65629 VIB65625:VIB65629 UYF65625:UYF65629 UOJ65625:UOJ65629 UEN65625:UEN65629 TUR65625:TUR65629 TKV65625:TKV65629 TAZ65625:TAZ65629 SRD65625:SRD65629 SHH65625:SHH65629 RXL65625:RXL65629 RNP65625:RNP65629 RDT65625:RDT65629 QTX65625:QTX65629 QKB65625:QKB65629 QAF65625:QAF65629 PQJ65625:PQJ65629 PGN65625:PGN65629 OWR65625:OWR65629 OMV65625:OMV65629 OCZ65625:OCZ65629 NTD65625:NTD65629 NJH65625:NJH65629 MZL65625:MZL65629 MPP65625:MPP65629 MFT65625:MFT65629 LVX65625:LVX65629 LMB65625:LMB65629 LCF65625:LCF65629 KSJ65625:KSJ65629 KIN65625:KIN65629 JYR65625:JYR65629 JOV65625:JOV65629 JEZ65625:JEZ65629 IVD65625:IVD65629 ILH65625:ILH65629 IBL65625:IBL65629 HRP65625:HRP65629 HHT65625:HHT65629 GXX65625:GXX65629 GOB65625:GOB65629 GEF65625:GEF65629 FUJ65625:FUJ65629 FKN65625:FKN65629 FAR65625:FAR65629 EQV65625:EQV65629 EGZ65625:EGZ65629 DXD65625:DXD65629 DNH65625:DNH65629 DDL65625:DDL65629 CTP65625:CTP65629 CJT65625:CJT65629 BZX65625:BZX65629 BQB65625:BQB65629 BGF65625:BGF65629 AWJ65625:AWJ65629 AMN65625:AMN65629 ACR65625:ACR65629 SV65625:SV65629 IZ65625:IZ65629 D65624:D65628 WVL89:WVL93 WLP89:WLP93 WBT89:WBT93 VRX89:VRX93 VIB89:VIB93 UYF89:UYF93 UOJ89:UOJ93 UEN89:UEN93 TUR89:TUR93 TKV89:TKV93 TAZ89:TAZ93 SRD89:SRD93 SHH89:SHH93 RXL89:RXL93 RNP89:RNP93 RDT89:RDT93 QTX89:QTX93 QKB89:QKB93 QAF89:QAF93 PQJ89:PQJ93 PGN89:PGN93 OWR89:OWR93 OMV89:OMV93 OCZ89:OCZ93 NTD89:NTD93 NJH89:NJH93 MZL89:MZL93 MPP89:MPP93 MFT89:MFT93 LVX89:LVX93 LMB89:LMB93 LCF89:LCF93 KSJ89:KSJ93 KIN89:KIN93 JYR89:JYR93 JOV89:JOV93 JEZ89:JEZ93 IVD89:IVD93 ILH89:ILH93 IBL89:IBL93 HRP89:HRP93 HHT89:HHT93 GXX89:GXX93 GOB89:GOB93 GEF89:GEF93 FUJ89:FUJ93 FKN89:FKN93 FAR89:FAR93 EQV89:EQV93 EGZ89:EGZ93 DXD89:DXD93 DNH89:DNH93 DDL89:DDL93 CTP89:CTP93 CJT89:CJT93 BZX89:BZX93 BQB89:BQB93 BGF89:BGF93 AWJ89:AWJ93 AMN89:AMN93 ACR89:ACR93 SV89:SV93 IZ89:IZ93">
      <formula1>$B$152:$B$163</formula1>
    </dataValidation>
    <dataValidation type="list" allowBlank="1" showInputMessage="1" showErrorMessage="1" sqref="B136:B137 WVJ983177:WVJ983178 WLN983177:WLN983178 WBR983177:WBR983178 VRV983177:VRV983178 VHZ983177:VHZ983178 UYD983177:UYD983178 UOH983177:UOH983178 UEL983177:UEL983178 TUP983177:TUP983178 TKT983177:TKT983178 TAX983177:TAX983178 SRB983177:SRB983178 SHF983177:SHF983178 RXJ983177:RXJ983178 RNN983177:RNN983178 RDR983177:RDR983178 QTV983177:QTV983178 QJZ983177:QJZ983178 QAD983177:QAD983178 PQH983177:PQH983178 PGL983177:PGL983178 OWP983177:OWP983178 OMT983177:OMT983178 OCX983177:OCX983178 NTB983177:NTB983178 NJF983177:NJF983178 MZJ983177:MZJ983178 MPN983177:MPN983178 MFR983177:MFR983178 LVV983177:LVV983178 LLZ983177:LLZ983178 LCD983177:LCD983178 KSH983177:KSH983178 KIL983177:KIL983178 JYP983177:JYP983178 JOT983177:JOT983178 JEX983177:JEX983178 IVB983177:IVB983178 ILF983177:ILF983178 IBJ983177:IBJ983178 HRN983177:HRN983178 HHR983177:HHR983178 GXV983177:GXV983178 GNZ983177:GNZ983178 GED983177:GED983178 FUH983177:FUH983178 FKL983177:FKL983178 FAP983177:FAP983178 EQT983177:EQT983178 EGX983177:EGX983178 DXB983177:DXB983178 DNF983177:DNF983178 DDJ983177:DDJ983178 CTN983177:CTN983178 CJR983177:CJR983178 BZV983177:BZV983178 BPZ983177:BPZ983178 BGD983177:BGD983178 AWH983177:AWH983178 AML983177:AML983178 ACP983177:ACP983178 ST983177:ST983178 IX983177:IX983178 B983176:B983177 WVJ917641:WVJ917642 WLN917641:WLN917642 WBR917641:WBR917642 VRV917641:VRV917642 VHZ917641:VHZ917642 UYD917641:UYD917642 UOH917641:UOH917642 UEL917641:UEL917642 TUP917641:TUP917642 TKT917641:TKT917642 TAX917641:TAX917642 SRB917641:SRB917642 SHF917641:SHF917642 RXJ917641:RXJ917642 RNN917641:RNN917642 RDR917641:RDR917642 QTV917641:QTV917642 QJZ917641:QJZ917642 QAD917641:QAD917642 PQH917641:PQH917642 PGL917641:PGL917642 OWP917641:OWP917642 OMT917641:OMT917642 OCX917641:OCX917642 NTB917641:NTB917642 NJF917641:NJF917642 MZJ917641:MZJ917642 MPN917641:MPN917642 MFR917641:MFR917642 LVV917641:LVV917642 LLZ917641:LLZ917642 LCD917641:LCD917642 KSH917641:KSH917642 KIL917641:KIL917642 JYP917641:JYP917642 JOT917641:JOT917642 JEX917641:JEX917642 IVB917641:IVB917642 ILF917641:ILF917642 IBJ917641:IBJ917642 HRN917641:HRN917642 HHR917641:HHR917642 GXV917641:GXV917642 GNZ917641:GNZ917642 GED917641:GED917642 FUH917641:FUH917642 FKL917641:FKL917642 FAP917641:FAP917642 EQT917641:EQT917642 EGX917641:EGX917642 DXB917641:DXB917642 DNF917641:DNF917642 DDJ917641:DDJ917642 CTN917641:CTN917642 CJR917641:CJR917642 BZV917641:BZV917642 BPZ917641:BPZ917642 BGD917641:BGD917642 AWH917641:AWH917642 AML917641:AML917642 ACP917641:ACP917642 ST917641:ST917642 IX917641:IX917642 B917640:B917641 WVJ852105:WVJ852106 WLN852105:WLN852106 WBR852105:WBR852106 VRV852105:VRV852106 VHZ852105:VHZ852106 UYD852105:UYD852106 UOH852105:UOH852106 UEL852105:UEL852106 TUP852105:TUP852106 TKT852105:TKT852106 TAX852105:TAX852106 SRB852105:SRB852106 SHF852105:SHF852106 RXJ852105:RXJ852106 RNN852105:RNN852106 RDR852105:RDR852106 QTV852105:QTV852106 QJZ852105:QJZ852106 QAD852105:QAD852106 PQH852105:PQH852106 PGL852105:PGL852106 OWP852105:OWP852106 OMT852105:OMT852106 OCX852105:OCX852106 NTB852105:NTB852106 NJF852105:NJF852106 MZJ852105:MZJ852106 MPN852105:MPN852106 MFR852105:MFR852106 LVV852105:LVV852106 LLZ852105:LLZ852106 LCD852105:LCD852106 KSH852105:KSH852106 KIL852105:KIL852106 JYP852105:JYP852106 JOT852105:JOT852106 JEX852105:JEX852106 IVB852105:IVB852106 ILF852105:ILF852106 IBJ852105:IBJ852106 HRN852105:HRN852106 HHR852105:HHR852106 GXV852105:GXV852106 GNZ852105:GNZ852106 GED852105:GED852106 FUH852105:FUH852106 FKL852105:FKL852106 FAP852105:FAP852106 EQT852105:EQT852106 EGX852105:EGX852106 DXB852105:DXB852106 DNF852105:DNF852106 DDJ852105:DDJ852106 CTN852105:CTN852106 CJR852105:CJR852106 BZV852105:BZV852106 BPZ852105:BPZ852106 BGD852105:BGD852106 AWH852105:AWH852106 AML852105:AML852106 ACP852105:ACP852106 ST852105:ST852106 IX852105:IX852106 B852104:B852105 WVJ786569:WVJ786570 WLN786569:WLN786570 WBR786569:WBR786570 VRV786569:VRV786570 VHZ786569:VHZ786570 UYD786569:UYD786570 UOH786569:UOH786570 UEL786569:UEL786570 TUP786569:TUP786570 TKT786569:TKT786570 TAX786569:TAX786570 SRB786569:SRB786570 SHF786569:SHF786570 RXJ786569:RXJ786570 RNN786569:RNN786570 RDR786569:RDR786570 QTV786569:QTV786570 QJZ786569:QJZ786570 QAD786569:QAD786570 PQH786569:PQH786570 PGL786569:PGL786570 OWP786569:OWP786570 OMT786569:OMT786570 OCX786569:OCX786570 NTB786569:NTB786570 NJF786569:NJF786570 MZJ786569:MZJ786570 MPN786569:MPN786570 MFR786569:MFR786570 LVV786569:LVV786570 LLZ786569:LLZ786570 LCD786569:LCD786570 KSH786569:KSH786570 KIL786569:KIL786570 JYP786569:JYP786570 JOT786569:JOT786570 JEX786569:JEX786570 IVB786569:IVB786570 ILF786569:ILF786570 IBJ786569:IBJ786570 HRN786569:HRN786570 HHR786569:HHR786570 GXV786569:GXV786570 GNZ786569:GNZ786570 GED786569:GED786570 FUH786569:FUH786570 FKL786569:FKL786570 FAP786569:FAP786570 EQT786569:EQT786570 EGX786569:EGX786570 DXB786569:DXB786570 DNF786569:DNF786570 DDJ786569:DDJ786570 CTN786569:CTN786570 CJR786569:CJR786570 BZV786569:BZV786570 BPZ786569:BPZ786570 BGD786569:BGD786570 AWH786569:AWH786570 AML786569:AML786570 ACP786569:ACP786570 ST786569:ST786570 IX786569:IX786570 B786568:B786569 WVJ721033:WVJ721034 WLN721033:WLN721034 WBR721033:WBR721034 VRV721033:VRV721034 VHZ721033:VHZ721034 UYD721033:UYD721034 UOH721033:UOH721034 UEL721033:UEL721034 TUP721033:TUP721034 TKT721033:TKT721034 TAX721033:TAX721034 SRB721033:SRB721034 SHF721033:SHF721034 RXJ721033:RXJ721034 RNN721033:RNN721034 RDR721033:RDR721034 QTV721033:QTV721034 QJZ721033:QJZ721034 QAD721033:QAD721034 PQH721033:PQH721034 PGL721033:PGL721034 OWP721033:OWP721034 OMT721033:OMT721034 OCX721033:OCX721034 NTB721033:NTB721034 NJF721033:NJF721034 MZJ721033:MZJ721034 MPN721033:MPN721034 MFR721033:MFR721034 LVV721033:LVV721034 LLZ721033:LLZ721034 LCD721033:LCD721034 KSH721033:KSH721034 KIL721033:KIL721034 JYP721033:JYP721034 JOT721033:JOT721034 JEX721033:JEX721034 IVB721033:IVB721034 ILF721033:ILF721034 IBJ721033:IBJ721034 HRN721033:HRN721034 HHR721033:HHR721034 GXV721033:GXV721034 GNZ721033:GNZ721034 GED721033:GED721034 FUH721033:FUH721034 FKL721033:FKL721034 FAP721033:FAP721034 EQT721033:EQT721034 EGX721033:EGX721034 DXB721033:DXB721034 DNF721033:DNF721034 DDJ721033:DDJ721034 CTN721033:CTN721034 CJR721033:CJR721034 BZV721033:BZV721034 BPZ721033:BPZ721034 BGD721033:BGD721034 AWH721033:AWH721034 AML721033:AML721034 ACP721033:ACP721034 ST721033:ST721034 IX721033:IX721034 B721032:B721033 WVJ655497:WVJ655498 WLN655497:WLN655498 WBR655497:WBR655498 VRV655497:VRV655498 VHZ655497:VHZ655498 UYD655497:UYD655498 UOH655497:UOH655498 UEL655497:UEL655498 TUP655497:TUP655498 TKT655497:TKT655498 TAX655497:TAX655498 SRB655497:SRB655498 SHF655497:SHF655498 RXJ655497:RXJ655498 RNN655497:RNN655498 RDR655497:RDR655498 QTV655497:QTV655498 QJZ655497:QJZ655498 QAD655497:QAD655498 PQH655497:PQH655498 PGL655497:PGL655498 OWP655497:OWP655498 OMT655497:OMT655498 OCX655497:OCX655498 NTB655497:NTB655498 NJF655497:NJF655498 MZJ655497:MZJ655498 MPN655497:MPN655498 MFR655497:MFR655498 LVV655497:LVV655498 LLZ655497:LLZ655498 LCD655497:LCD655498 KSH655497:KSH655498 KIL655497:KIL655498 JYP655497:JYP655498 JOT655497:JOT655498 JEX655497:JEX655498 IVB655497:IVB655498 ILF655497:ILF655498 IBJ655497:IBJ655498 HRN655497:HRN655498 HHR655497:HHR655498 GXV655497:GXV655498 GNZ655497:GNZ655498 GED655497:GED655498 FUH655497:FUH655498 FKL655497:FKL655498 FAP655497:FAP655498 EQT655497:EQT655498 EGX655497:EGX655498 DXB655497:DXB655498 DNF655497:DNF655498 DDJ655497:DDJ655498 CTN655497:CTN655498 CJR655497:CJR655498 BZV655497:BZV655498 BPZ655497:BPZ655498 BGD655497:BGD655498 AWH655497:AWH655498 AML655497:AML655498 ACP655497:ACP655498 ST655497:ST655498 IX655497:IX655498 B655496:B655497 WVJ589961:WVJ589962 WLN589961:WLN589962 WBR589961:WBR589962 VRV589961:VRV589962 VHZ589961:VHZ589962 UYD589961:UYD589962 UOH589961:UOH589962 UEL589961:UEL589962 TUP589961:TUP589962 TKT589961:TKT589962 TAX589961:TAX589962 SRB589961:SRB589962 SHF589961:SHF589962 RXJ589961:RXJ589962 RNN589961:RNN589962 RDR589961:RDR589962 QTV589961:QTV589962 QJZ589961:QJZ589962 QAD589961:QAD589962 PQH589961:PQH589962 PGL589961:PGL589962 OWP589961:OWP589962 OMT589961:OMT589962 OCX589961:OCX589962 NTB589961:NTB589962 NJF589961:NJF589962 MZJ589961:MZJ589962 MPN589961:MPN589962 MFR589961:MFR589962 LVV589961:LVV589962 LLZ589961:LLZ589962 LCD589961:LCD589962 KSH589961:KSH589962 KIL589961:KIL589962 JYP589961:JYP589962 JOT589961:JOT589962 JEX589961:JEX589962 IVB589961:IVB589962 ILF589961:ILF589962 IBJ589961:IBJ589962 HRN589961:HRN589962 HHR589961:HHR589962 GXV589961:GXV589962 GNZ589961:GNZ589962 GED589961:GED589962 FUH589961:FUH589962 FKL589961:FKL589962 FAP589961:FAP589962 EQT589961:EQT589962 EGX589961:EGX589962 DXB589961:DXB589962 DNF589961:DNF589962 DDJ589961:DDJ589962 CTN589961:CTN589962 CJR589961:CJR589962 BZV589961:BZV589962 BPZ589961:BPZ589962 BGD589961:BGD589962 AWH589961:AWH589962 AML589961:AML589962 ACP589961:ACP589962 ST589961:ST589962 IX589961:IX589962 B589960:B589961 WVJ524425:WVJ524426 WLN524425:WLN524426 WBR524425:WBR524426 VRV524425:VRV524426 VHZ524425:VHZ524426 UYD524425:UYD524426 UOH524425:UOH524426 UEL524425:UEL524426 TUP524425:TUP524426 TKT524425:TKT524426 TAX524425:TAX524426 SRB524425:SRB524426 SHF524425:SHF524426 RXJ524425:RXJ524426 RNN524425:RNN524426 RDR524425:RDR524426 QTV524425:QTV524426 QJZ524425:QJZ524426 QAD524425:QAD524426 PQH524425:PQH524426 PGL524425:PGL524426 OWP524425:OWP524426 OMT524425:OMT524426 OCX524425:OCX524426 NTB524425:NTB524426 NJF524425:NJF524426 MZJ524425:MZJ524426 MPN524425:MPN524426 MFR524425:MFR524426 LVV524425:LVV524426 LLZ524425:LLZ524426 LCD524425:LCD524426 KSH524425:KSH524426 KIL524425:KIL524426 JYP524425:JYP524426 JOT524425:JOT524426 JEX524425:JEX524426 IVB524425:IVB524426 ILF524425:ILF524426 IBJ524425:IBJ524426 HRN524425:HRN524426 HHR524425:HHR524426 GXV524425:GXV524426 GNZ524425:GNZ524426 GED524425:GED524426 FUH524425:FUH524426 FKL524425:FKL524426 FAP524425:FAP524426 EQT524425:EQT524426 EGX524425:EGX524426 DXB524425:DXB524426 DNF524425:DNF524426 DDJ524425:DDJ524426 CTN524425:CTN524426 CJR524425:CJR524426 BZV524425:BZV524426 BPZ524425:BPZ524426 BGD524425:BGD524426 AWH524425:AWH524426 AML524425:AML524426 ACP524425:ACP524426 ST524425:ST524426 IX524425:IX524426 B524424:B524425 WVJ458889:WVJ458890 WLN458889:WLN458890 WBR458889:WBR458890 VRV458889:VRV458890 VHZ458889:VHZ458890 UYD458889:UYD458890 UOH458889:UOH458890 UEL458889:UEL458890 TUP458889:TUP458890 TKT458889:TKT458890 TAX458889:TAX458890 SRB458889:SRB458890 SHF458889:SHF458890 RXJ458889:RXJ458890 RNN458889:RNN458890 RDR458889:RDR458890 QTV458889:QTV458890 QJZ458889:QJZ458890 QAD458889:QAD458890 PQH458889:PQH458890 PGL458889:PGL458890 OWP458889:OWP458890 OMT458889:OMT458890 OCX458889:OCX458890 NTB458889:NTB458890 NJF458889:NJF458890 MZJ458889:MZJ458890 MPN458889:MPN458890 MFR458889:MFR458890 LVV458889:LVV458890 LLZ458889:LLZ458890 LCD458889:LCD458890 KSH458889:KSH458890 KIL458889:KIL458890 JYP458889:JYP458890 JOT458889:JOT458890 JEX458889:JEX458890 IVB458889:IVB458890 ILF458889:ILF458890 IBJ458889:IBJ458890 HRN458889:HRN458890 HHR458889:HHR458890 GXV458889:GXV458890 GNZ458889:GNZ458890 GED458889:GED458890 FUH458889:FUH458890 FKL458889:FKL458890 FAP458889:FAP458890 EQT458889:EQT458890 EGX458889:EGX458890 DXB458889:DXB458890 DNF458889:DNF458890 DDJ458889:DDJ458890 CTN458889:CTN458890 CJR458889:CJR458890 BZV458889:BZV458890 BPZ458889:BPZ458890 BGD458889:BGD458890 AWH458889:AWH458890 AML458889:AML458890 ACP458889:ACP458890 ST458889:ST458890 IX458889:IX458890 B458888:B458889 WVJ393353:WVJ393354 WLN393353:WLN393354 WBR393353:WBR393354 VRV393353:VRV393354 VHZ393353:VHZ393354 UYD393353:UYD393354 UOH393353:UOH393354 UEL393353:UEL393354 TUP393353:TUP393354 TKT393353:TKT393354 TAX393353:TAX393354 SRB393353:SRB393354 SHF393353:SHF393354 RXJ393353:RXJ393354 RNN393353:RNN393354 RDR393353:RDR393354 QTV393353:QTV393354 QJZ393353:QJZ393354 QAD393353:QAD393354 PQH393353:PQH393354 PGL393353:PGL393354 OWP393353:OWP393354 OMT393353:OMT393354 OCX393353:OCX393354 NTB393353:NTB393354 NJF393353:NJF393354 MZJ393353:MZJ393354 MPN393353:MPN393354 MFR393353:MFR393354 LVV393353:LVV393354 LLZ393353:LLZ393354 LCD393353:LCD393354 KSH393353:KSH393354 KIL393353:KIL393354 JYP393353:JYP393354 JOT393353:JOT393354 JEX393353:JEX393354 IVB393353:IVB393354 ILF393353:ILF393354 IBJ393353:IBJ393354 HRN393353:HRN393354 HHR393353:HHR393354 GXV393353:GXV393354 GNZ393353:GNZ393354 GED393353:GED393354 FUH393353:FUH393354 FKL393353:FKL393354 FAP393353:FAP393354 EQT393353:EQT393354 EGX393353:EGX393354 DXB393353:DXB393354 DNF393353:DNF393354 DDJ393353:DDJ393354 CTN393353:CTN393354 CJR393353:CJR393354 BZV393353:BZV393354 BPZ393353:BPZ393354 BGD393353:BGD393354 AWH393353:AWH393354 AML393353:AML393354 ACP393353:ACP393354 ST393353:ST393354 IX393353:IX393354 B393352:B393353 WVJ327817:WVJ327818 WLN327817:WLN327818 WBR327817:WBR327818 VRV327817:VRV327818 VHZ327817:VHZ327818 UYD327817:UYD327818 UOH327817:UOH327818 UEL327817:UEL327818 TUP327817:TUP327818 TKT327817:TKT327818 TAX327817:TAX327818 SRB327817:SRB327818 SHF327817:SHF327818 RXJ327817:RXJ327818 RNN327817:RNN327818 RDR327817:RDR327818 QTV327817:QTV327818 QJZ327817:QJZ327818 QAD327817:QAD327818 PQH327817:PQH327818 PGL327817:PGL327818 OWP327817:OWP327818 OMT327817:OMT327818 OCX327817:OCX327818 NTB327817:NTB327818 NJF327817:NJF327818 MZJ327817:MZJ327818 MPN327817:MPN327818 MFR327817:MFR327818 LVV327817:LVV327818 LLZ327817:LLZ327818 LCD327817:LCD327818 KSH327817:KSH327818 KIL327817:KIL327818 JYP327817:JYP327818 JOT327817:JOT327818 JEX327817:JEX327818 IVB327817:IVB327818 ILF327817:ILF327818 IBJ327817:IBJ327818 HRN327817:HRN327818 HHR327817:HHR327818 GXV327817:GXV327818 GNZ327817:GNZ327818 GED327817:GED327818 FUH327817:FUH327818 FKL327817:FKL327818 FAP327817:FAP327818 EQT327817:EQT327818 EGX327817:EGX327818 DXB327817:DXB327818 DNF327817:DNF327818 DDJ327817:DDJ327818 CTN327817:CTN327818 CJR327817:CJR327818 BZV327817:BZV327818 BPZ327817:BPZ327818 BGD327817:BGD327818 AWH327817:AWH327818 AML327817:AML327818 ACP327817:ACP327818 ST327817:ST327818 IX327817:IX327818 B327816:B327817 WVJ262281:WVJ262282 WLN262281:WLN262282 WBR262281:WBR262282 VRV262281:VRV262282 VHZ262281:VHZ262282 UYD262281:UYD262282 UOH262281:UOH262282 UEL262281:UEL262282 TUP262281:TUP262282 TKT262281:TKT262282 TAX262281:TAX262282 SRB262281:SRB262282 SHF262281:SHF262282 RXJ262281:RXJ262282 RNN262281:RNN262282 RDR262281:RDR262282 QTV262281:QTV262282 QJZ262281:QJZ262282 QAD262281:QAD262282 PQH262281:PQH262282 PGL262281:PGL262282 OWP262281:OWP262282 OMT262281:OMT262282 OCX262281:OCX262282 NTB262281:NTB262282 NJF262281:NJF262282 MZJ262281:MZJ262282 MPN262281:MPN262282 MFR262281:MFR262282 LVV262281:LVV262282 LLZ262281:LLZ262282 LCD262281:LCD262282 KSH262281:KSH262282 KIL262281:KIL262282 JYP262281:JYP262282 JOT262281:JOT262282 JEX262281:JEX262282 IVB262281:IVB262282 ILF262281:ILF262282 IBJ262281:IBJ262282 HRN262281:HRN262282 HHR262281:HHR262282 GXV262281:GXV262282 GNZ262281:GNZ262282 GED262281:GED262282 FUH262281:FUH262282 FKL262281:FKL262282 FAP262281:FAP262282 EQT262281:EQT262282 EGX262281:EGX262282 DXB262281:DXB262282 DNF262281:DNF262282 DDJ262281:DDJ262282 CTN262281:CTN262282 CJR262281:CJR262282 BZV262281:BZV262282 BPZ262281:BPZ262282 BGD262281:BGD262282 AWH262281:AWH262282 AML262281:AML262282 ACP262281:ACP262282 ST262281:ST262282 IX262281:IX262282 B262280:B262281 WVJ196745:WVJ196746 WLN196745:WLN196746 WBR196745:WBR196746 VRV196745:VRV196746 VHZ196745:VHZ196746 UYD196745:UYD196746 UOH196745:UOH196746 UEL196745:UEL196746 TUP196745:TUP196746 TKT196745:TKT196746 TAX196745:TAX196746 SRB196745:SRB196746 SHF196745:SHF196746 RXJ196745:RXJ196746 RNN196745:RNN196746 RDR196745:RDR196746 QTV196745:QTV196746 QJZ196745:QJZ196746 QAD196745:QAD196746 PQH196745:PQH196746 PGL196745:PGL196746 OWP196745:OWP196746 OMT196745:OMT196746 OCX196745:OCX196746 NTB196745:NTB196746 NJF196745:NJF196746 MZJ196745:MZJ196746 MPN196745:MPN196746 MFR196745:MFR196746 LVV196745:LVV196746 LLZ196745:LLZ196746 LCD196745:LCD196746 KSH196745:KSH196746 KIL196745:KIL196746 JYP196745:JYP196746 JOT196745:JOT196746 JEX196745:JEX196746 IVB196745:IVB196746 ILF196745:ILF196746 IBJ196745:IBJ196746 HRN196745:HRN196746 HHR196745:HHR196746 GXV196745:GXV196746 GNZ196745:GNZ196746 GED196745:GED196746 FUH196745:FUH196746 FKL196745:FKL196746 FAP196745:FAP196746 EQT196745:EQT196746 EGX196745:EGX196746 DXB196745:DXB196746 DNF196745:DNF196746 DDJ196745:DDJ196746 CTN196745:CTN196746 CJR196745:CJR196746 BZV196745:BZV196746 BPZ196745:BPZ196746 BGD196745:BGD196746 AWH196745:AWH196746 AML196745:AML196746 ACP196745:ACP196746 ST196745:ST196746 IX196745:IX196746 B196744:B196745 WVJ131209:WVJ131210 WLN131209:WLN131210 WBR131209:WBR131210 VRV131209:VRV131210 VHZ131209:VHZ131210 UYD131209:UYD131210 UOH131209:UOH131210 UEL131209:UEL131210 TUP131209:TUP131210 TKT131209:TKT131210 TAX131209:TAX131210 SRB131209:SRB131210 SHF131209:SHF131210 RXJ131209:RXJ131210 RNN131209:RNN131210 RDR131209:RDR131210 QTV131209:QTV131210 QJZ131209:QJZ131210 QAD131209:QAD131210 PQH131209:PQH131210 PGL131209:PGL131210 OWP131209:OWP131210 OMT131209:OMT131210 OCX131209:OCX131210 NTB131209:NTB131210 NJF131209:NJF131210 MZJ131209:MZJ131210 MPN131209:MPN131210 MFR131209:MFR131210 LVV131209:LVV131210 LLZ131209:LLZ131210 LCD131209:LCD131210 KSH131209:KSH131210 KIL131209:KIL131210 JYP131209:JYP131210 JOT131209:JOT131210 JEX131209:JEX131210 IVB131209:IVB131210 ILF131209:ILF131210 IBJ131209:IBJ131210 HRN131209:HRN131210 HHR131209:HHR131210 GXV131209:GXV131210 GNZ131209:GNZ131210 GED131209:GED131210 FUH131209:FUH131210 FKL131209:FKL131210 FAP131209:FAP131210 EQT131209:EQT131210 EGX131209:EGX131210 DXB131209:DXB131210 DNF131209:DNF131210 DDJ131209:DDJ131210 CTN131209:CTN131210 CJR131209:CJR131210 BZV131209:BZV131210 BPZ131209:BPZ131210 BGD131209:BGD131210 AWH131209:AWH131210 AML131209:AML131210 ACP131209:ACP131210 ST131209:ST131210 IX131209:IX131210 B131208:B131209 WVJ65673:WVJ65674 WLN65673:WLN65674 WBR65673:WBR65674 VRV65673:VRV65674 VHZ65673:VHZ65674 UYD65673:UYD65674 UOH65673:UOH65674 UEL65673:UEL65674 TUP65673:TUP65674 TKT65673:TKT65674 TAX65673:TAX65674 SRB65673:SRB65674 SHF65673:SHF65674 RXJ65673:RXJ65674 RNN65673:RNN65674 RDR65673:RDR65674 QTV65673:QTV65674 QJZ65673:QJZ65674 QAD65673:QAD65674 PQH65673:PQH65674 PGL65673:PGL65674 OWP65673:OWP65674 OMT65673:OMT65674 OCX65673:OCX65674 NTB65673:NTB65674 NJF65673:NJF65674 MZJ65673:MZJ65674 MPN65673:MPN65674 MFR65673:MFR65674 LVV65673:LVV65674 LLZ65673:LLZ65674 LCD65673:LCD65674 KSH65673:KSH65674 KIL65673:KIL65674 JYP65673:JYP65674 JOT65673:JOT65674 JEX65673:JEX65674 IVB65673:IVB65674 ILF65673:ILF65674 IBJ65673:IBJ65674 HRN65673:HRN65674 HHR65673:HHR65674 GXV65673:GXV65674 GNZ65673:GNZ65674 GED65673:GED65674 FUH65673:FUH65674 FKL65673:FKL65674 FAP65673:FAP65674 EQT65673:EQT65674 EGX65673:EGX65674 DXB65673:DXB65674 DNF65673:DNF65674 DDJ65673:DDJ65674 CTN65673:CTN65674 CJR65673:CJR65674 BZV65673:BZV65674 BPZ65673:BPZ65674 BGD65673:BGD65674 AWH65673:AWH65674 AML65673:AML65674 ACP65673:ACP65674 ST65673:ST65674 IX65673:IX65674 B65672:B65673 WVJ137:WVJ138 WLN137:WLN138 WBR137:WBR138 VRV137:VRV138 VHZ137:VHZ138 UYD137:UYD138 UOH137:UOH138 UEL137:UEL138 TUP137:TUP138 TKT137:TKT138 TAX137:TAX138 SRB137:SRB138 SHF137:SHF138 RXJ137:RXJ138 RNN137:RNN138 RDR137:RDR138 QTV137:QTV138 QJZ137:QJZ138 QAD137:QAD138 PQH137:PQH138 PGL137:PGL138 OWP137:OWP138 OMT137:OMT138 OCX137:OCX138 NTB137:NTB138 NJF137:NJF138 MZJ137:MZJ138 MPN137:MPN138 MFR137:MFR138 LVV137:LVV138 LLZ137:LLZ138 LCD137:LCD138 KSH137:KSH138 KIL137:KIL138 JYP137:JYP138 JOT137:JOT138 JEX137:JEX138 IVB137:IVB138 ILF137:ILF138 IBJ137:IBJ138 HRN137:HRN138 HHR137:HHR138 GXV137:GXV138 GNZ137:GNZ138 GED137:GED138 FUH137:FUH138 FKL137:FKL138 FAP137:FAP138 EQT137:EQT138 EGX137:EGX138 DXB137:DXB138 DNF137:DNF138 DDJ137:DDJ138 CTN137:CTN138 CJR137:CJR138 BZV137:BZV138 BPZ137:BPZ138 BGD137:BGD138 AWH137:AWH138 AML137:AML138 ACP137:ACP138 ST137:ST138 IX137:IX138">
      <formula1>$B$169:$B$170</formula1>
    </dataValidation>
  </dataValidations>
  <hyperlinks>
    <hyperlink ref="A1" location="'Table Of Contents'!A1" display="TOC"/>
  </hyperlinks>
  <pageMargins left="0.75" right="0.75" top="1" bottom="1" header="0.5" footer="0.5"/>
  <pageSetup scale="36" fitToHeight="0" orientation="portrait" r:id="rId1"/>
  <headerFooter alignWithMargins="0">
    <oddFooter>Page &amp;P of &amp;N</oddFooter>
  </headerFooter>
  <rowBreaks count="4" manualBreakCount="4">
    <brk id="47" min="1" max="19" man="1"/>
    <brk id="57" min="1" max="19" man="1"/>
    <brk id="95" min="1" max="19" man="1"/>
    <brk id="139" min="1" max="19" man="1"/>
  </rowBreaks>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14:formula1>
            <xm:f>"Yes,No,NA"</xm:f>
          </x14:formula1>
          <xm:sqref>A55 IW55 SS55 ACO55 AMK55 AWG55 BGC55 BPY55 BZU55 CJQ55 CTM55 DDI55 DNE55 DXA55 EGW55 EQS55 FAO55 FKK55 FUG55 GEC55 GNY55 GXU55 HHQ55 HRM55 IBI55 ILE55 IVA55 JEW55 JOS55 JYO55 KIK55 KSG55 LCC55 LLY55 LVU55 MFQ55 MPM55 MZI55 NJE55 NTA55 OCW55 OMS55 OWO55 PGK55 PQG55 QAC55 QJY55 QTU55 RDQ55 RNM55 RXI55 SHE55 SRA55 TAW55 TKS55 TUO55 UEK55 UOG55 UYC55 VHY55 VRU55 WBQ55 WLM55 WVI55 A65591 IW65591 SS65591 ACO65591 AMK65591 AWG65591 BGC65591 BPY65591 BZU65591 CJQ65591 CTM65591 DDI65591 DNE65591 DXA65591 EGW65591 EQS65591 FAO65591 FKK65591 FUG65591 GEC65591 GNY65591 GXU65591 HHQ65591 HRM65591 IBI65591 ILE65591 IVA65591 JEW65591 JOS65591 JYO65591 KIK65591 KSG65591 LCC65591 LLY65591 LVU65591 MFQ65591 MPM65591 MZI65591 NJE65591 NTA65591 OCW65591 OMS65591 OWO65591 PGK65591 PQG65591 QAC65591 QJY65591 QTU65591 RDQ65591 RNM65591 RXI65591 SHE65591 SRA65591 TAW65591 TKS65591 TUO65591 UEK65591 UOG65591 UYC65591 VHY65591 VRU65591 WBQ65591 WLM65591 WVI65591 A131127 IW131127 SS131127 ACO131127 AMK131127 AWG131127 BGC131127 BPY131127 BZU131127 CJQ131127 CTM131127 DDI131127 DNE131127 DXA131127 EGW131127 EQS131127 FAO131127 FKK131127 FUG131127 GEC131127 GNY131127 GXU131127 HHQ131127 HRM131127 IBI131127 ILE131127 IVA131127 JEW131127 JOS131127 JYO131127 KIK131127 KSG131127 LCC131127 LLY131127 LVU131127 MFQ131127 MPM131127 MZI131127 NJE131127 NTA131127 OCW131127 OMS131127 OWO131127 PGK131127 PQG131127 QAC131127 QJY131127 QTU131127 RDQ131127 RNM131127 RXI131127 SHE131127 SRA131127 TAW131127 TKS131127 TUO131127 UEK131127 UOG131127 UYC131127 VHY131127 VRU131127 WBQ131127 WLM131127 WVI131127 A196663 IW196663 SS196663 ACO196663 AMK196663 AWG196663 BGC196663 BPY196663 BZU196663 CJQ196663 CTM196663 DDI196663 DNE196663 DXA196663 EGW196663 EQS196663 FAO196663 FKK196663 FUG196663 GEC196663 GNY196663 GXU196663 HHQ196663 HRM196663 IBI196663 ILE196663 IVA196663 JEW196663 JOS196663 JYO196663 KIK196663 KSG196663 LCC196663 LLY196663 LVU196663 MFQ196663 MPM196663 MZI196663 NJE196663 NTA196663 OCW196663 OMS196663 OWO196663 PGK196663 PQG196663 QAC196663 QJY196663 QTU196663 RDQ196663 RNM196663 RXI196663 SHE196663 SRA196663 TAW196663 TKS196663 TUO196663 UEK196663 UOG196663 UYC196663 VHY196663 VRU196663 WBQ196663 WLM196663 WVI196663 A262199 IW262199 SS262199 ACO262199 AMK262199 AWG262199 BGC262199 BPY262199 BZU262199 CJQ262199 CTM262199 DDI262199 DNE262199 DXA262199 EGW262199 EQS262199 FAO262199 FKK262199 FUG262199 GEC262199 GNY262199 GXU262199 HHQ262199 HRM262199 IBI262199 ILE262199 IVA262199 JEW262199 JOS262199 JYO262199 KIK262199 KSG262199 LCC262199 LLY262199 LVU262199 MFQ262199 MPM262199 MZI262199 NJE262199 NTA262199 OCW262199 OMS262199 OWO262199 PGK262199 PQG262199 QAC262199 QJY262199 QTU262199 RDQ262199 RNM262199 RXI262199 SHE262199 SRA262199 TAW262199 TKS262199 TUO262199 UEK262199 UOG262199 UYC262199 VHY262199 VRU262199 WBQ262199 WLM262199 WVI262199 A327735 IW327735 SS327735 ACO327735 AMK327735 AWG327735 BGC327735 BPY327735 BZU327735 CJQ327735 CTM327735 DDI327735 DNE327735 DXA327735 EGW327735 EQS327735 FAO327735 FKK327735 FUG327735 GEC327735 GNY327735 GXU327735 HHQ327735 HRM327735 IBI327735 ILE327735 IVA327735 JEW327735 JOS327735 JYO327735 KIK327735 KSG327735 LCC327735 LLY327735 LVU327735 MFQ327735 MPM327735 MZI327735 NJE327735 NTA327735 OCW327735 OMS327735 OWO327735 PGK327735 PQG327735 QAC327735 QJY327735 QTU327735 RDQ327735 RNM327735 RXI327735 SHE327735 SRA327735 TAW327735 TKS327735 TUO327735 UEK327735 UOG327735 UYC327735 VHY327735 VRU327735 WBQ327735 WLM327735 WVI327735 A393271 IW393271 SS393271 ACO393271 AMK393271 AWG393271 BGC393271 BPY393271 BZU393271 CJQ393271 CTM393271 DDI393271 DNE393271 DXA393271 EGW393271 EQS393271 FAO393271 FKK393271 FUG393271 GEC393271 GNY393271 GXU393271 HHQ393271 HRM393271 IBI393271 ILE393271 IVA393271 JEW393271 JOS393271 JYO393271 KIK393271 KSG393271 LCC393271 LLY393271 LVU393271 MFQ393271 MPM393271 MZI393271 NJE393271 NTA393271 OCW393271 OMS393271 OWO393271 PGK393271 PQG393271 QAC393271 QJY393271 QTU393271 RDQ393271 RNM393271 RXI393271 SHE393271 SRA393271 TAW393271 TKS393271 TUO393271 UEK393271 UOG393271 UYC393271 VHY393271 VRU393271 WBQ393271 WLM393271 WVI393271 A458807 IW458807 SS458807 ACO458807 AMK458807 AWG458807 BGC458807 BPY458807 BZU458807 CJQ458807 CTM458807 DDI458807 DNE458807 DXA458807 EGW458807 EQS458807 FAO458807 FKK458807 FUG458807 GEC458807 GNY458807 GXU458807 HHQ458807 HRM458807 IBI458807 ILE458807 IVA458807 JEW458807 JOS458807 JYO458807 KIK458807 KSG458807 LCC458807 LLY458807 LVU458807 MFQ458807 MPM458807 MZI458807 NJE458807 NTA458807 OCW458807 OMS458807 OWO458807 PGK458807 PQG458807 QAC458807 QJY458807 QTU458807 RDQ458807 RNM458807 RXI458807 SHE458807 SRA458807 TAW458807 TKS458807 TUO458807 UEK458807 UOG458807 UYC458807 VHY458807 VRU458807 WBQ458807 WLM458807 WVI458807 A524343 IW524343 SS524343 ACO524343 AMK524343 AWG524343 BGC524343 BPY524343 BZU524343 CJQ524343 CTM524343 DDI524343 DNE524343 DXA524343 EGW524343 EQS524343 FAO524343 FKK524343 FUG524343 GEC524343 GNY524343 GXU524343 HHQ524343 HRM524343 IBI524343 ILE524343 IVA524343 JEW524343 JOS524343 JYO524343 KIK524343 KSG524343 LCC524343 LLY524343 LVU524343 MFQ524343 MPM524343 MZI524343 NJE524343 NTA524343 OCW524343 OMS524343 OWO524343 PGK524343 PQG524343 QAC524343 QJY524343 QTU524343 RDQ524343 RNM524343 RXI524343 SHE524343 SRA524343 TAW524343 TKS524343 TUO524343 UEK524343 UOG524343 UYC524343 VHY524343 VRU524343 WBQ524343 WLM524343 WVI524343 A589879 IW589879 SS589879 ACO589879 AMK589879 AWG589879 BGC589879 BPY589879 BZU589879 CJQ589879 CTM589879 DDI589879 DNE589879 DXA589879 EGW589879 EQS589879 FAO589879 FKK589879 FUG589879 GEC589879 GNY589879 GXU589879 HHQ589879 HRM589879 IBI589879 ILE589879 IVA589879 JEW589879 JOS589879 JYO589879 KIK589879 KSG589879 LCC589879 LLY589879 LVU589879 MFQ589879 MPM589879 MZI589879 NJE589879 NTA589879 OCW589879 OMS589879 OWO589879 PGK589879 PQG589879 QAC589879 QJY589879 QTU589879 RDQ589879 RNM589879 RXI589879 SHE589879 SRA589879 TAW589879 TKS589879 TUO589879 UEK589879 UOG589879 UYC589879 VHY589879 VRU589879 WBQ589879 WLM589879 WVI589879 A655415 IW655415 SS655415 ACO655415 AMK655415 AWG655415 BGC655415 BPY655415 BZU655415 CJQ655415 CTM655415 DDI655415 DNE655415 DXA655415 EGW655415 EQS655415 FAO655415 FKK655415 FUG655415 GEC655415 GNY655415 GXU655415 HHQ655415 HRM655415 IBI655415 ILE655415 IVA655415 JEW655415 JOS655415 JYO655415 KIK655415 KSG655415 LCC655415 LLY655415 LVU655415 MFQ655415 MPM655415 MZI655415 NJE655415 NTA655415 OCW655415 OMS655415 OWO655415 PGK655415 PQG655415 QAC655415 QJY655415 QTU655415 RDQ655415 RNM655415 RXI655415 SHE655415 SRA655415 TAW655415 TKS655415 TUO655415 UEK655415 UOG655415 UYC655415 VHY655415 VRU655415 WBQ655415 WLM655415 WVI655415 A720951 IW720951 SS720951 ACO720951 AMK720951 AWG720951 BGC720951 BPY720951 BZU720951 CJQ720951 CTM720951 DDI720951 DNE720951 DXA720951 EGW720951 EQS720951 FAO720951 FKK720951 FUG720951 GEC720951 GNY720951 GXU720951 HHQ720951 HRM720951 IBI720951 ILE720951 IVA720951 JEW720951 JOS720951 JYO720951 KIK720951 KSG720951 LCC720951 LLY720951 LVU720951 MFQ720951 MPM720951 MZI720951 NJE720951 NTA720951 OCW720951 OMS720951 OWO720951 PGK720951 PQG720951 QAC720951 QJY720951 QTU720951 RDQ720951 RNM720951 RXI720951 SHE720951 SRA720951 TAW720951 TKS720951 TUO720951 UEK720951 UOG720951 UYC720951 VHY720951 VRU720951 WBQ720951 WLM720951 WVI720951 A786487 IW786487 SS786487 ACO786487 AMK786487 AWG786487 BGC786487 BPY786487 BZU786487 CJQ786487 CTM786487 DDI786487 DNE786487 DXA786487 EGW786487 EQS786487 FAO786487 FKK786487 FUG786487 GEC786487 GNY786487 GXU786487 HHQ786487 HRM786487 IBI786487 ILE786487 IVA786487 JEW786487 JOS786487 JYO786487 KIK786487 KSG786487 LCC786487 LLY786487 LVU786487 MFQ786487 MPM786487 MZI786487 NJE786487 NTA786487 OCW786487 OMS786487 OWO786487 PGK786487 PQG786487 QAC786487 QJY786487 QTU786487 RDQ786487 RNM786487 RXI786487 SHE786487 SRA786487 TAW786487 TKS786487 TUO786487 UEK786487 UOG786487 UYC786487 VHY786487 VRU786487 WBQ786487 WLM786487 WVI786487 A852023 IW852023 SS852023 ACO852023 AMK852023 AWG852023 BGC852023 BPY852023 BZU852023 CJQ852023 CTM852023 DDI852023 DNE852023 DXA852023 EGW852023 EQS852023 FAO852023 FKK852023 FUG852023 GEC852023 GNY852023 GXU852023 HHQ852023 HRM852023 IBI852023 ILE852023 IVA852023 JEW852023 JOS852023 JYO852023 KIK852023 KSG852023 LCC852023 LLY852023 LVU852023 MFQ852023 MPM852023 MZI852023 NJE852023 NTA852023 OCW852023 OMS852023 OWO852023 PGK852023 PQG852023 QAC852023 QJY852023 QTU852023 RDQ852023 RNM852023 RXI852023 SHE852023 SRA852023 TAW852023 TKS852023 TUO852023 UEK852023 UOG852023 UYC852023 VHY852023 VRU852023 WBQ852023 WLM852023 WVI852023 A917559 IW917559 SS917559 ACO917559 AMK917559 AWG917559 BGC917559 BPY917559 BZU917559 CJQ917559 CTM917559 DDI917559 DNE917559 DXA917559 EGW917559 EQS917559 FAO917559 FKK917559 FUG917559 GEC917559 GNY917559 GXU917559 HHQ917559 HRM917559 IBI917559 ILE917559 IVA917559 JEW917559 JOS917559 JYO917559 KIK917559 KSG917559 LCC917559 LLY917559 LVU917559 MFQ917559 MPM917559 MZI917559 NJE917559 NTA917559 OCW917559 OMS917559 OWO917559 PGK917559 PQG917559 QAC917559 QJY917559 QTU917559 RDQ917559 RNM917559 RXI917559 SHE917559 SRA917559 TAW917559 TKS917559 TUO917559 UEK917559 UOG917559 UYC917559 VHY917559 VRU917559 WBQ917559 WLM917559 WVI917559 A983095 IW983095 SS983095 ACO983095 AMK983095 AWG983095 BGC983095 BPY983095 BZU983095 CJQ983095 CTM983095 DDI983095 DNE983095 DXA983095 EGW983095 EQS983095 FAO983095 FKK983095 FUG983095 GEC983095 GNY983095 GXU983095 HHQ983095 HRM983095 IBI983095 ILE983095 IVA983095 JEW983095 JOS983095 JYO983095 KIK983095 KSG983095 LCC983095 LLY983095 LVU983095 MFQ983095 MPM983095 MZI983095 NJE983095 NTA983095 OCW983095 OMS983095 OWO983095 PGK983095 PQG983095 QAC983095 QJY983095 QTU983095 RDQ983095 RNM983095 RXI983095 SHE983095 SRA983095 TAW983095 TKS983095 TUO983095 UEK983095 UOG983095 UYC983095 VHY983095 VRU983095 WBQ983095 WLM983095 WVI983095 P33:P35 JL33:JL35 TH33:TH35 ADD33:ADD35 AMZ33:AMZ35 AWV33:AWV35 BGR33:BGR35 BQN33:BQN35 CAJ33:CAJ35 CKF33:CKF35 CUB33:CUB35 DDX33:DDX35 DNT33:DNT35 DXP33:DXP35 EHL33:EHL35 ERH33:ERH35 FBD33:FBD35 FKZ33:FKZ35 FUV33:FUV35 GER33:GER35 GON33:GON35 GYJ33:GYJ35 HIF33:HIF35 HSB33:HSB35 IBX33:IBX35 ILT33:ILT35 IVP33:IVP35 JFL33:JFL35 JPH33:JPH35 JZD33:JZD35 KIZ33:KIZ35 KSV33:KSV35 LCR33:LCR35 LMN33:LMN35 LWJ33:LWJ35 MGF33:MGF35 MQB33:MQB35 MZX33:MZX35 NJT33:NJT35 NTP33:NTP35 ODL33:ODL35 ONH33:ONH35 OXD33:OXD35 PGZ33:PGZ35 PQV33:PQV35 QAR33:QAR35 QKN33:QKN35 QUJ33:QUJ35 REF33:REF35 ROB33:ROB35 RXX33:RXX35 SHT33:SHT35 SRP33:SRP35 TBL33:TBL35 TLH33:TLH35 TVD33:TVD35 UEZ33:UEZ35 UOV33:UOV35 UYR33:UYR35 VIN33:VIN35 VSJ33:VSJ35 WCF33:WCF35 WMB33:WMB35 WVX33:WVX35 P65568:P65570 JL65569:JL65571 TH65569:TH65571 ADD65569:ADD65571 AMZ65569:AMZ65571 AWV65569:AWV65571 BGR65569:BGR65571 BQN65569:BQN65571 CAJ65569:CAJ65571 CKF65569:CKF65571 CUB65569:CUB65571 DDX65569:DDX65571 DNT65569:DNT65571 DXP65569:DXP65571 EHL65569:EHL65571 ERH65569:ERH65571 FBD65569:FBD65571 FKZ65569:FKZ65571 FUV65569:FUV65571 GER65569:GER65571 GON65569:GON65571 GYJ65569:GYJ65571 HIF65569:HIF65571 HSB65569:HSB65571 IBX65569:IBX65571 ILT65569:ILT65571 IVP65569:IVP65571 JFL65569:JFL65571 JPH65569:JPH65571 JZD65569:JZD65571 KIZ65569:KIZ65571 KSV65569:KSV65571 LCR65569:LCR65571 LMN65569:LMN65571 LWJ65569:LWJ65571 MGF65569:MGF65571 MQB65569:MQB65571 MZX65569:MZX65571 NJT65569:NJT65571 NTP65569:NTP65571 ODL65569:ODL65571 ONH65569:ONH65571 OXD65569:OXD65571 PGZ65569:PGZ65571 PQV65569:PQV65571 QAR65569:QAR65571 QKN65569:QKN65571 QUJ65569:QUJ65571 REF65569:REF65571 ROB65569:ROB65571 RXX65569:RXX65571 SHT65569:SHT65571 SRP65569:SRP65571 TBL65569:TBL65571 TLH65569:TLH65571 TVD65569:TVD65571 UEZ65569:UEZ65571 UOV65569:UOV65571 UYR65569:UYR65571 VIN65569:VIN65571 VSJ65569:VSJ65571 WCF65569:WCF65571 WMB65569:WMB65571 WVX65569:WVX65571 P131104:P131106 JL131105:JL131107 TH131105:TH131107 ADD131105:ADD131107 AMZ131105:AMZ131107 AWV131105:AWV131107 BGR131105:BGR131107 BQN131105:BQN131107 CAJ131105:CAJ131107 CKF131105:CKF131107 CUB131105:CUB131107 DDX131105:DDX131107 DNT131105:DNT131107 DXP131105:DXP131107 EHL131105:EHL131107 ERH131105:ERH131107 FBD131105:FBD131107 FKZ131105:FKZ131107 FUV131105:FUV131107 GER131105:GER131107 GON131105:GON131107 GYJ131105:GYJ131107 HIF131105:HIF131107 HSB131105:HSB131107 IBX131105:IBX131107 ILT131105:ILT131107 IVP131105:IVP131107 JFL131105:JFL131107 JPH131105:JPH131107 JZD131105:JZD131107 KIZ131105:KIZ131107 KSV131105:KSV131107 LCR131105:LCR131107 LMN131105:LMN131107 LWJ131105:LWJ131107 MGF131105:MGF131107 MQB131105:MQB131107 MZX131105:MZX131107 NJT131105:NJT131107 NTP131105:NTP131107 ODL131105:ODL131107 ONH131105:ONH131107 OXD131105:OXD131107 PGZ131105:PGZ131107 PQV131105:PQV131107 QAR131105:QAR131107 QKN131105:QKN131107 QUJ131105:QUJ131107 REF131105:REF131107 ROB131105:ROB131107 RXX131105:RXX131107 SHT131105:SHT131107 SRP131105:SRP131107 TBL131105:TBL131107 TLH131105:TLH131107 TVD131105:TVD131107 UEZ131105:UEZ131107 UOV131105:UOV131107 UYR131105:UYR131107 VIN131105:VIN131107 VSJ131105:VSJ131107 WCF131105:WCF131107 WMB131105:WMB131107 WVX131105:WVX131107 P196640:P196642 JL196641:JL196643 TH196641:TH196643 ADD196641:ADD196643 AMZ196641:AMZ196643 AWV196641:AWV196643 BGR196641:BGR196643 BQN196641:BQN196643 CAJ196641:CAJ196643 CKF196641:CKF196643 CUB196641:CUB196643 DDX196641:DDX196643 DNT196641:DNT196643 DXP196641:DXP196643 EHL196641:EHL196643 ERH196641:ERH196643 FBD196641:FBD196643 FKZ196641:FKZ196643 FUV196641:FUV196643 GER196641:GER196643 GON196641:GON196643 GYJ196641:GYJ196643 HIF196641:HIF196643 HSB196641:HSB196643 IBX196641:IBX196643 ILT196641:ILT196643 IVP196641:IVP196643 JFL196641:JFL196643 JPH196641:JPH196643 JZD196641:JZD196643 KIZ196641:KIZ196643 KSV196641:KSV196643 LCR196641:LCR196643 LMN196641:LMN196643 LWJ196641:LWJ196643 MGF196641:MGF196643 MQB196641:MQB196643 MZX196641:MZX196643 NJT196641:NJT196643 NTP196641:NTP196643 ODL196641:ODL196643 ONH196641:ONH196643 OXD196641:OXD196643 PGZ196641:PGZ196643 PQV196641:PQV196643 QAR196641:QAR196643 QKN196641:QKN196643 QUJ196641:QUJ196643 REF196641:REF196643 ROB196641:ROB196643 RXX196641:RXX196643 SHT196641:SHT196643 SRP196641:SRP196643 TBL196641:TBL196643 TLH196641:TLH196643 TVD196641:TVD196643 UEZ196641:UEZ196643 UOV196641:UOV196643 UYR196641:UYR196643 VIN196641:VIN196643 VSJ196641:VSJ196643 WCF196641:WCF196643 WMB196641:WMB196643 WVX196641:WVX196643 P262176:P262178 JL262177:JL262179 TH262177:TH262179 ADD262177:ADD262179 AMZ262177:AMZ262179 AWV262177:AWV262179 BGR262177:BGR262179 BQN262177:BQN262179 CAJ262177:CAJ262179 CKF262177:CKF262179 CUB262177:CUB262179 DDX262177:DDX262179 DNT262177:DNT262179 DXP262177:DXP262179 EHL262177:EHL262179 ERH262177:ERH262179 FBD262177:FBD262179 FKZ262177:FKZ262179 FUV262177:FUV262179 GER262177:GER262179 GON262177:GON262179 GYJ262177:GYJ262179 HIF262177:HIF262179 HSB262177:HSB262179 IBX262177:IBX262179 ILT262177:ILT262179 IVP262177:IVP262179 JFL262177:JFL262179 JPH262177:JPH262179 JZD262177:JZD262179 KIZ262177:KIZ262179 KSV262177:KSV262179 LCR262177:LCR262179 LMN262177:LMN262179 LWJ262177:LWJ262179 MGF262177:MGF262179 MQB262177:MQB262179 MZX262177:MZX262179 NJT262177:NJT262179 NTP262177:NTP262179 ODL262177:ODL262179 ONH262177:ONH262179 OXD262177:OXD262179 PGZ262177:PGZ262179 PQV262177:PQV262179 QAR262177:QAR262179 QKN262177:QKN262179 QUJ262177:QUJ262179 REF262177:REF262179 ROB262177:ROB262179 RXX262177:RXX262179 SHT262177:SHT262179 SRP262177:SRP262179 TBL262177:TBL262179 TLH262177:TLH262179 TVD262177:TVD262179 UEZ262177:UEZ262179 UOV262177:UOV262179 UYR262177:UYR262179 VIN262177:VIN262179 VSJ262177:VSJ262179 WCF262177:WCF262179 WMB262177:WMB262179 WVX262177:WVX262179 P327712:P327714 JL327713:JL327715 TH327713:TH327715 ADD327713:ADD327715 AMZ327713:AMZ327715 AWV327713:AWV327715 BGR327713:BGR327715 BQN327713:BQN327715 CAJ327713:CAJ327715 CKF327713:CKF327715 CUB327713:CUB327715 DDX327713:DDX327715 DNT327713:DNT327715 DXP327713:DXP327715 EHL327713:EHL327715 ERH327713:ERH327715 FBD327713:FBD327715 FKZ327713:FKZ327715 FUV327713:FUV327715 GER327713:GER327715 GON327713:GON327715 GYJ327713:GYJ327715 HIF327713:HIF327715 HSB327713:HSB327715 IBX327713:IBX327715 ILT327713:ILT327715 IVP327713:IVP327715 JFL327713:JFL327715 JPH327713:JPH327715 JZD327713:JZD327715 KIZ327713:KIZ327715 KSV327713:KSV327715 LCR327713:LCR327715 LMN327713:LMN327715 LWJ327713:LWJ327715 MGF327713:MGF327715 MQB327713:MQB327715 MZX327713:MZX327715 NJT327713:NJT327715 NTP327713:NTP327715 ODL327713:ODL327715 ONH327713:ONH327715 OXD327713:OXD327715 PGZ327713:PGZ327715 PQV327713:PQV327715 QAR327713:QAR327715 QKN327713:QKN327715 QUJ327713:QUJ327715 REF327713:REF327715 ROB327713:ROB327715 RXX327713:RXX327715 SHT327713:SHT327715 SRP327713:SRP327715 TBL327713:TBL327715 TLH327713:TLH327715 TVD327713:TVD327715 UEZ327713:UEZ327715 UOV327713:UOV327715 UYR327713:UYR327715 VIN327713:VIN327715 VSJ327713:VSJ327715 WCF327713:WCF327715 WMB327713:WMB327715 WVX327713:WVX327715 P393248:P393250 JL393249:JL393251 TH393249:TH393251 ADD393249:ADD393251 AMZ393249:AMZ393251 AWV393249:AWV393251 BGR393249:BGR393251 BQN393249:BQN393251 CAJ393249:CAJ393251 CKF393249:CKF393251 CUB393249:CUB393251 DDX393249:DDX393251 DNT393249:DNT393251 DXP393249:DXP393251 EHL393249:EHL393251 ERH393249:ERH393251 FBD393249:FBD393251 FKZ393249:FKZ393251 FUV393249:FUV393251 GER393249:GER393251 GON393249:GON393251 GYJ393249:GYJ393251 HIF393249:HIF393251 HSB393249:HSB393251 IBX393249:IBX393251 ILT393249:ILT393251 IVP393249:IVP393251 JFL393249:JFL393251 JPH393249:JPH393251 JZD393249:JZD393251 KIZ393249:KIZ393251 KSV393249:KSV393251 LCR393249:LCR393251 LMN393249:LMN393251 LWJ393249:LWJ393251 MGF393249:MGF393251 MQB393249:MQB393251 MZX393249:MZX393251 NJT393249:NJT393251 NTP393249:NTP393251 ODL393249:ODL393251 ONH393249:ONH393251 OXD393249:OXD393251 PGZ393249:PGZ393251 PQV393249:PQV393251 QAR393249:QAR393251 QKN393249:QKN393251 QUJ393249:QUJ393251 REF393249:REF393251 ROB393249:ROB393251 RXX393249:RXX393251 SHT393249:SHT393251 SRP393249:SRP393251 TBL393249:TBL393251 TLH393249:TLH393251 TVD393249:TVD393251 UEZ393249:UEZ393251 UOV393249:UOV393251 UYR393249:UYR393251 VIN393249:VIN393251 VSJ393249:VSJ393251 WCF393249:WCF393251 WMB393249:WMB393251 WVX393249:WVX393251 P458784:P458786 JL458785:JL458787 TH458785:TH458787 ADD458785:ADD458787 AMZ458785:AMZ458787 AWV458785:AWV458787 BGR458785:BGR458787 BQN458785:BQN458787 CAJ458785:CAJ458787 CKF458785:CKF458787 CUB458785:CUB458787 DDX458785:DDX458787 DNT458785:DNT458787 DXP458785:DXP458787 EHL458785:EHL458787 ERH458785:ERH458787 FBD458785:FBD458787 FKZ458785:FKZ458787 FUV458785:FUV458787 GER458785:GER458787 GON458785:GON458787 GYJ458785:GYJ458787 HIF458785:HIF458787 HSB458785:HSB458787 IBX458785:IBX458787 ILT458785:ILT458787 IVP458785:IVP458787 JFL458785:JFL458787 JPH458785:JPH458787 JZD458785:JZD458787 KIZ458785:KIZ458787 KSV458785:KSV458787 LCR458785:LCR458787 LMN458785:LMN458787 LWJ458785:LWJ458787 MGF458785:MGF458787 MQB458785:MQB458787 MZX458785:MZX458787 NJT458785:NJT458787 NTP458785:NTP458787 ODL458785:ODL458787 ONH458785:ONH458787 OXD458785:OXD458787 PGZ458785:PGZ458787 PQV458785:PQV458787 QAR458785:QAR458787 QKN458785:QKN458787 QUJ458785:QUJ458787 REF458785:REF458787 ROB458785:ROB458787 RXX458785:RXX458787 SHT458785:SHT458787 SRP458785:SRP458787 TBL458785:TBL458787 TLH458785:TLH458787 TVD458785:TVD458787 UEZ458785:UEZ458787 UOV458785:UOV458787 UYR458785:UYR458787 VIN458785:VIN458787 VSJ458785:VSJ458787 WCF458785:WCF458787 WMB458785:WMB458787 WVX458785:WVX458787 P524320:P524322 JL524321:JL524323 TH524321:TH524323 ADD524321:ADD524323 AMZ524321:AMZ524323 AWV524321:AWV524323 BGR524321:BGR524323 BQN524321:BQN524323 CAJ524321:CAJ524323 CKF524321:CKF524323 CUB524321:CUB524323 DDX524321:DDX524323 DNT524321:DNT524323 DXP524321:DXP524323 EHL524321:EHL524323 ERH524321:ERH524323 FBD524321:FBD524323 FKZ524321:FKZ524323 FUV524321:FUV524323 GER524321:GER524323 GON524321:GON524323 GYJ524321:GYJ524323 HIF524321:HIF524323 HSB524321:HSB524323 IBX524321:IBX524323 ILT524321:ILT524323 IVP524321:IVP524323 JFL524321:JFL524323 JPH524321:JPH524323 JZD524321:JZD524323 KIZ524321:KIZ524323 KSV524321:KSV524323 LCR524321:LCR524323 LMN524321:LMN524323 LWJ524321:LWJ524323 MGF524321:MGF524323 MQB524321:MQB524323 MZX524321:MZX524323 NJT524321:NJT524323 NTP524321:NTP524323 ODL524321:ODL524323 ONH524321:ONH524323 OXD524321:OXD524323 PGZ524321:PGZ524323 PQV524321:PQV524323 QAR524321:QAR524323 QKN524321:QKN524323 QUJ524321:QUJ524323 REF524321:REF524323 ROB524321:ROB524323 RXX524321:RXX524323 SHT524321:SHT524323 SRP524321:SRP524323 TBL524321:TBL524323 TLH524321:TLH524323 TVD524321:TVD524323 UEZ524321:UEZ524323 UOV524321:UOV524323 UYR524321:UYR524323 VIN524321:VIN524323 VSJ524321:VSJ524323 WCF524321:WCF524323 WMB524321:WMB524323 WVX524321:WVX524323 P589856:P589858 JL589857:JL589859 TH589857:TH589859 ADD589857:ADD589859 AMZ589857:AMZ589859 AWV589857:AWV589859 BGR589857:BGR589859 BQN589857:BQN589859 CAJ589857:CAJ589859 CKF589857:CKF589859 CUB589857:CUB589859 DDX589857:DDX589859 DNT589857:DNT589859 DXP589857:DXP589859 EHL589857:EHL589859 ERH589857:ERH589859 FBD589857:FBD589859 FKZ589857:FKZ589859 FUV589857:FUV589859 GER589857:GER589859 GON589857:GON589859 GYJ589857:GYJ589859 HIF589857:HIF589859 HSB589857:HSB589859 IBX589857:IBX589859 ILT589857:ILT589859 IVP589857:IVP589859 JFL589857:JFL589859 JPH589857:JPH589859 JZD589857:JZD589859 KIZ589857:KIZ589859 KSV589857:KSV589859 LCR589857:LCR589859 LMN589857:LMN589859 LWJ589857:LWJ589859 MGF589857:MGF589859 MQB589857:MQB589859 MZX589857:MZX589859 NJT589857:NJT589859 NTP589857:NTP589859 ODL589857:ODL589859 ONH589857:ONH589859 OXD589857:OXD589859 PGZ589857:PGZ589859 PQV589857:PQV589859 QAR589857:QAR589859 QKN589857:QKN589859 QUJ589857:QUJ589859 REF589857:REF589859 ROB589857:ROB589859 RXX589857:RXX589859 SHT589857:SHT589859 SRP589857:SRP589859 TBL589857:TBL589859 TLH589857:TLH589859 TVD589857:TVD589859 UEZ589857:UEZ589859 UOV589857:UOV589859 UYR589857:UYR589859 VIN589857:VIN589859 VSJ589857:VSJ589859 WCF589857:WCF589859 WMB589857:WMB589859 WVX589857:WVX589859 P655392:P655394 JL655393:JL655395 TH655393:TH655395 ADD655393:ADD655395 AMZ655393:AMZ655395 AWV655393:AWV655395 BGR655393:BGR655395 BQN655393:BQN655395 CAJ655393:CAJ655395 CKF655393:CKF655395 CUB655393:CUB655395 DDX655393:DDX655395 DNT655393:DNT655395 DXP655393:DXP655395 EHL655393:EHL655395 ERH655393:ERH655395 FBD655393:FBD655395 FKZ655393:FKZ655395 FUV655393:FUV655395 GER655393:GER655395 GON655393:GON655395 GYJ655393:GYJ655395 HIF655393:HIF655395 HSB655393:HSB655395 IBX655393:IBX655395 ILT655393:ILT655395 IVP655393:IVP655395 JFL655393:JFL655395 JPH655393:JPH655395 JZD655393:JZD655395 KIZ655393:KIZ655395 KSV655393:KSV655395 LCR655393:LCR655395 LMN655393:LMN655395 LWJ655393:LWJ655395 MGF655393:MGF655395 MQB655393:MQB655395 MZX655393:MZX655395 NJT655393:NJT655395 NTP655393:NTP655395 ODL655393:ODL655395 ONH655393:ONH655395 OXD655393:OXD655395 PGZ655393:PGZ655395 PQV655393:PQV655395 QAR655393:QAR655395 QKN655393:QKN655395 QUJ655393:QUJ655395 REF655393:REF655395 ROB655393:ROB655395 RXX655393:RXX655395 SHT655393:SHT655395 SRP655393:SRP655395 TBL655393:TBL655395 TLH655393:TLH655395 TVD655393:TVD655395 UEZ655393:UEZ655395 UOV655393:UOV655395 UYR655393:UYR655395 VIN655393:VIN655395 VSJ655393:VSJ655395 WCF655393:WCF655395 WMB655393:WMB655395 WVX655393:WVX655395 P720928:P720930 JL720929:JL720931 TH720929:TH720931 ADD720929:ADD720931 AMZ720929:AMZ720931 AWV720929:AWV720931 BGR720929:BGR720931 BQN720929:BQN720931 CAJ720929:CAJ720931 CKF720929:CKF720931 CUB720929:CUB720931 DDX720929:DDX720931 DNT720929:DNT720931 DXP720929:DXP720931 EHL720929:EHL720931 ERH720929:ERH720931 FBD720929:FBD720931 FKZ720929:FKZ720931 FUV720929:FUV720931 GER720929:GER720931 GON720929:GON720931 GYJ720929:GYJ720931 HIF720929:HIF720931 HSB720929:HSB720931 IBX720929:IBX720931 ILT720929:ILT720931 IVP720929:IVP720931 JFL720929:JFL720931 JPH720929:JPH720931 JZD720929:JZD720931 KIZ720929:KIZ720931 KSV720929:KSV720931 LCR720929:LCR720931 LMN720929:LMN720931 LWJ720929:LWJ720931 MGF720929:MGF720931 MQB720929:MQB720931 MZX720929:MZX720931 NJT720929:NJT720931 NTP720929:NTP720931 ODL720929:ODL720931 ONH720929:ONH720931 OXD720929:OXD720931 PGZ720929:PGZ720931 PQV720929:PQV720931 QAR720929:QAR720931 QKN720929:QKN720931 QUJ720929:QUJ720931 REF720929:REF720931 ROB720929:ROB720931 RXX720929:RXX720931 SHT720929:SHT720931 SRP720929:SRP720931 TBL720929:TBL720931 TLH720929:TLH720931 TVD720929:TVD720931 UEZ720929:UEZ720931 UOV720929:UOV720931 UYR720929:UYR720931 VIN720929:VIN720931 VSJ720929:VSJ720931 WCF720929:WCF720931 WMB720929:WMB720931 WVX720929:WVX720931 P786464:P786466 JL786465:JL786467 TH786465:TH786467 ADD786465:ADD786467 AMZ786465:AMZ786467 AWV786465:AWV786467 BGR786465:BGR786467 BQN786465:BQN786467 CAJ786465:CAJ786467 CKF786465:CKF786467 CUB786465:CUB786467 DDX786465:DDX786467 DNT786465:DNT786467 DXP786465:DXP786467 EHL786465:EHL786467 ERH786465:ERH786467 FBD786465:FBD786467 FKZ786465:FKZ786467 FUV786465:FUV786467 GER786465:GER786467 GON786465:GON786467 GYJ786465:GYJ786467 HIF786465:HIF786467 HSB786465:HSB786467 IBX786465:IBX786467 ILT786465:ILT786467 IVP786465:IVP786467 JFL786465:JFL786467 JPH786465:JPH786467 JZD786465:JZD786467 KIZ786465:KIZ786467 KSV786465:KSV786467 LCR786465:LCR786467 LMN786465:LMN786467 LWJ786465:LWJ786467 MGF786465:MGF786467 MQB786465:MQB786467 MZX786465:MZX786467 NJT786465:NJT786467 NTP786465:NTP786467 ODL786465:ODL786467 ONH786465:ONH786467 OXD786465:OXD786467 PGZ786465:PGZ786467 PQV786465:PQV786467 QAR786465:QAR786467 QKN786465:QKN786467 QUJ786465:QUJ786467 REF786465:REF786467 ROB786465:ROB786467 RXX786465:RXX786467 SHT786465:SHT786467 SRP786465:SRP786467 TBL786465:TBL786467 TLH786465:TLH786467 TVD786465:TVD786467 UEZ786465:UEZ786467 UOV786465:UOV786467 UYR786465:UYR786467 VIN786465:VIN786467 VSJ786465:VSJ786467 WCF786465:WCF786467 WMB786465:WMB786467 WVX786465:WVX786467 P852000:P852002 JL852001:JL852003 TH852001:TH852003 ADD852001:ADD852003 AMZ852001:AMZ852003 AWV852001:AWV852003 BGR852001:BGR852003 BQN852001:BQN852003 CAJ852001:CAJ852003 CKF852001:CKF852003 CUB852001:CUB852003 DDX852001:DDX852003 DNT852001:DNT852003 DXP852001:DXP852003 EHL852001:EHL852003 ERH852001:ERH852003 FBD852001:FBD852003 FKZ852001:FKZ852003 FUV852001:FUV852003 GER852001:GER852003 GON852001:GON852003 GYJ852001:GYJ852003 HIF852001:HIF852003 HSB852001:HSB852003 IBX852001:IBX852003 ILT852001:ILT852003 IVP852001:IVP852003 JFL852001:JFL852003 JPH852001:JPH852003 JZD852001:JZD852003 KIZ852001:KIZ852003 KSV852001:KSV852003 LCR852001:LCR852003 LMN852001:LMN852003 LWJ852001:LWJ852003 MGF852001:MGF852003 MQB852001:MQB852003 MZX852001:MZX852003 NJT852001:NJT852003 NTP852001:NTP852003 ODL852001:ODL852003 ONH852001:ONH852003 OXD852001:OXD852003 PGZ852001:PGZ852003 PQV852001:PQV852003 QAR852001:QAR852003 QKN852001:QKN852003 QUJ852001:QUJ852003 REF852001:REF852003 ROB852001:ROB852003 RXX852001:RXX852003 SHT852001:SHT852003 SRP852001:SRP852003 TBL852001:TBL852003 TLH852001:TLH852003 TVD852001:TVD852003 UEZ852001:UEZ852003 UOV852001:UOV852003 UYR852001:UYR852003 VIN852001:VIN852003 VSJ852001:VSJ852003 WCF852001:WCF852003 WMB852001:WMB852003 WVX852001:WVX852003 P917536:P917538 JL917537:JL917539 TH917537:TH917539 ADD917537:ADD917539 AMZ917537:AMZ917539 AWV917537:AWV917539 BGR917537:BGR917539 BQN917537:BQN917539 CAJ917537:CAJ917539 CKF917537:CKF917539 CUB917537:CUB917539 DDX917537:DDX917539 DNT917537:DNT917539 DXP917537:DXP917539 EHL917537:EHL917539 ERH917537:ERH917539 FBD917537:FBD917539 FKZ917537:FKZ917539 FUV917537:FUV917539 GER917537:GER917539 GON917537:GON917539 GYJ917537:GYJ917539 HIF917537:HIF917539 HSB917537:HSB917539 IBX917537:IBX917539 ILT917537:ILT917539 IVP917537:IVP917539 JFL917537:JFL917539 JPH917537:JPH917539 JZD917537:JZD917539 KIZ917537:KIZ917539 KSV917537:KSV917539 LCR917537:LCR917539 LMN917537:LMN917539 LWJ917537:LWJ917539 MGF917537:MGF917539 MQB917537:MQB917539 MZX917537:MZX917539 NJT917537:NJT917539 NTP917537:NTP917539 ODL917537:ODL917539 ONH917537:ONH917539 OXD917537:OXD917539 PGZ917537:PGZ917539 PQV917537:PQV917539 QAR917537:QAR917539 QKN917537:QKN917539 QUJ917537:QUJ917539 REF917537:REF917539 ROB917537:ROB917539 RXX917537:RXX917539 SHT917537:SHT917539 SRP917537:SRP917539 TBL917537:TBL917539 TLH917537:TLH917539 TVD917537:TVD917539 UEZ917537:UEZ917539 UOV917537:UOV917539 UYR917537:UYR917539 VIN917537:VIN917539 VSJ917537:VSJ917539 WCF917537:WCF917539 WMB917537:WMB917539 WVX917537:WVX917539 P983072:P983074 JL983073:JL983075 TH983073:TH983075 ADD983073:ADD983075 AMZ983073:AMZ983075 AWV983073:AWV983075 BGR983073:BGR983075 BQN983073:BQN983075 CAJ983073:CAJ983075 CKF983073:CKF983075 CUB983073:CUB983075 DDX983073:DDX983075 DNT983073:DNT983075 DXP983073:DXP983075 EHL983073:EHL983075 ERH983073:ERH983075 FBD983073:FBD983075 FKZ983073:FKZ983075 FUV983073:FUV983075 GER983073:GER983075 GON983073:GON983075 GYJ983073:GYJ983075 HIF983073:HIF983075 HSB983073:HSB983075 IBX983073:IBX983075 ILT983073:ILT983075 IVP983073:IVP983075 JFL983073:JFL983075 JPH983073:JPH983075 JZD983073:JZD983075 KIZ983073:KIZ983075 KSV983073:KSV983075 LCR983073:LCR983075 LMN983073:LMN983075 LWJ983073:LWJ983075 MGF983073:MGF983075 MQB983073:MQB983075 MZX983073:MZX983075 NJT983073:NJT983075 NTP983073:NTP983075 ODL983073:ODL983075 ONH983073:ONH983075 OXD983073:OXD983075 PGZ983073:PGZ983075 PQV983073:PQV983075 QAR983073:QAR983075 QKN983073:QKN983075 QUJ983073:QUJ983075 REF983073:REF983075 ROB983073:ROB983075 RXX983073:RXX983075 SHT983073:SHT983075 SRP983073:SRP983075 TBL983073:TBL983075 TLH983073:TLH983075 TVD983073:TVD983075 UEZ983073:UEZ983075 UOV983073:UOV983075 UYR983073:UYR983075 VIN983073:VIN983075 VSJ983073:VSJ983075 WCF983073:WCF983075 WMB983073:WMB983075 WVX983073:WVX983075 P37:Q45 JL37:JM45 TH37:TI45 ADD37:ADE45 AMZ37:ANA45 AWV37:AWW45 BGR37:BGS45 BQN37:BQO45 CAJ37:CAK45 CKF37:CKG45 CUB37:CUC45 DDX37:DDY45 DNT37:DNU45 DXP37:DXQ45 EHL37:EHM45 ERH37:ERI45 FBD37:FBE45 FKZ37:FLA45 FUV37:FUW45 GER37:GES45 GON37:GOO45 GYJ37:GYK45 HIF37:HIG45 HSB37:HSC45 IBX37:IBY45 ILT37:ILU45 IVP37:IVQ45 JFL37:JFM45 JPH37:JPI45 JZD37:JZE45 KIZ37:KJA45 KSV37:KSW45 LCR37:LCS45 LMN37:LMO45 LWJ37:LWK45 MGF37:MGG45 MQB37:MQC45 MZX37:MZY45 NJT37:NJU45 NTP37:NTQ45 ODL37:ODM45 ONH37:ONI45 OXD37:OXE45 PGZ37:PHA45 PQV37:PQW45 QAR37:QAS45 QKN37:QKO45 QUJ37:QUK45 REF37:REG45 ROB37:ROC45 RXX37:RXY45 SHT37:SHU45 SRP37:SRQ45 TBL37:TBM45 TLH37:TLI45 TVD37:TVE45 UEZ37:UFA45 UOV37:UOW45 UYR37:UYS45 VIN37:VIO45 VSJ37:VSK45 WCF37:WCG45 WMB37:WMC45 WVX37:WVY45 P65572:Q65580 JL65573:JM65581 TH65573:TI65581 ADD65573:ADE65581 AMZ65573:ANA65581 AWV65573:AWW65581 BGR65573:BGS65581 BQN65573:BQO65581 CAJ65573:CAK65581 CKF65573:CKG65581 CUB65573:CUC65581 DDX65573:DDY65581 DNT65573:DNU65581 DXP65573:DXQ65581 EHL65573:EHM65581 ERH65573:ERI65581 FBD65573:FBE65581 FKZ65573:FLA65581 FUV65573:FUW65581 GER65573:GES65581 GON65573:GOO65581 GYJ65573:GYK65581 HIF65573:HIG65581 HSB65573:HSC65581 IBX65573:IBY65581 ILT65573:ILU65581 IVP65573:IVQ65581 JFL65573:JFM65581 JPH65573:JPI65581 JZD65573:JZE65581 KIZ65573:KJA65581 KSV65573:KSW65581 LCR65573:LCS65581 LMN65573:LMO65581 LWJ65573:LWK65581 MGF65573:MGG65581 MQB65573:MQC65581 MZX65573:MZY65581 NJT65573:NJU65581 NTP65573:NTQ65581 ODL65573:ODM65581 ONH65573:ONI65581 OXD65573:OXE65581 PGZ65573:PHA65581 PQV65573:PQW65581 QAR65573:QAS65581 QKN65573:QKO65581 QUJ65573:QUK65581 REF65573:REG65581 ROB65573:ROC65581 RXX65573:RXY65581 SHT65573:SHU65581 SRP65573:SRQ65581 TBL65573:TBM65581 TLH65573:TLI65581 TVD65573:TVE65581 UEZ65573:UFA65581 UOV65573:UOW65581 UYR65573:UYS65581 VIN65573:VIO65581 VSJ65573:VSK65581 WCF65573:WCG65581 WMB65573:WMC65581 WVX65573:WVY65581 P131108:Q131116 JL131109:JM131117 TH131109:TI131117 ADD131109:ADE131117 AMZ131109:ANA131117 AWV131109:AWW131117 BGR131109:BGS131117 BQN131109:BQO131117 CAJ131109:CAK131117 CKF131109:CKG131117 CUB131109:CUC131117 DDX131109:DDY131117 DNT131109:DNU131117 DXP131109:DXQ131117 EHL131109:EHM131117 ERH131109:ERI131117 FBD131109:FBE131117 FKZ131109:FLA131117 FUV131109:FUW131117 GER131109:GES131117 GON131109:GOO131117 GYJ131109:GYK131117 HIF131109:HIG131117 HSB131109:HSC131117 IBX131109:IBY131117 ILT131109:ILU131117 IVP131109:IVQ131117 JFL131109:JFM131117 JPH131109:JPI131117 JZD131109:JZE131117 KIZ131109:KJA131117 KSV131109:KSW131117 LCR131109:LCS131117 LMN131109:LMO131117 LWJ131109:LWK131117 MGF131109:MGG131117 MQB131109:MQC131117 MZX131109:MZY131117 NJT131109:NJU131117 NTP131109:NTQ131117 ODL131109:ODM131117 ONH131109:ONI131117 OXD131109:OXE131117 PGZ131109:PHA131117 PQV131109:PQW131117 QAR131109:QAS131117 QKN131109:QKO131117 QUJ131109:QUK131117 REF131109:REG131117 ROB131109:ROC131117 RXX131109:RXY131117 SHT131109:SHU131117 SRP131109:SRQ131117 TBL131109:TBM131117 TLH131109:TLI131117 TVD131109:TVE131117 UEZ131109:UFA131117 UOV131109:UOW131117 UYR131109:UYS131117 VIN131109:VIO131117 VSJ131109:VSK131117 WCF131109:WCG131117 WMB131109:WMC131117 WVX131109:WVY131117 P196644:Q196652 JL196645:JM196653 TH196645:TI196653 ADD196645:ADE196653 AMZ196645:ANA196653 AWV196645:AWW196653 BGR196645:BGS196653 BQN196645:BQO196653 CAJ196645:CAK196653 CKF196645:CKG196653 CUB196645:CUC196653 DDX196645:DDY196653 DNT196645:DNU196653 DXP196645:DXQ196653 EHL196645:EHM196653 ERH196645:ERI196653 FBD196645:FBE196653 FKZ196645:FLA196653 FUV196645:FUW196653 GER196645:GES196653 GON196645:GOO196653 GYJ196645:GYK196653 HIF196645:HIG196653 HSB196645:HSC196653 IBX196645:IBY196653 ILT196645:ILU196653 IVP196645:IVQ196653 JFL196645:JFM196653 JPH196645:JPI196653 JZD196645:JZE196653 KIZ196645:KJA196653 KSV196645:KSW196653 LCR196645:LCS196653 LMN196645:LMO196653 LWJ196645:LWK196653 MGF196645:MGG196653 MQB196645:MQC196653 MZX196645:MZY196653 NJT196645:NJU196653 NTP196645:NTQ196653 ODL196645:ODM196653 ONH196645:ONI196653 OXD196645:OXE196653 PGZ196645:PHA196653 PQV196645:PQW196653 QAR196645:QAS196653 QKN196645:QKO196653 QUJ196645:QUK196653 REF196645:REG196653 ROB196645:ROC196653 RXX196645:RXY196653 SHT196645:SHU196653 SRP196645:SRQ196653 TBL196645:TBM196653 TLH196645:TLI196653 TVD196645:TVE196653 UEZ196645:UFA196653 UOV196645:UOW196653 UYR196645:UYS196653 VIN196645:VIO196653 VSJ196645:VSK196653 WCF196645:WCG196653 WMB196645:WMC196653 WVX196645:WVY196653 P262180:Q262188 JL262181:JM262189 TH262181:TI262189 ADD262181:ADE262189 AMZ262181:ANA262189 AWV262181:AWW262189 BGR262181:BGS262189 BQN262181:BQO262189 CAJ262181:CAK262189 CKF262181:CKG262189 CUB262181:CUC262189 DDX262181:DDY262189 DNT262181:DNU262189 DXP262181:DXQ262189 EHL262181:EHM262189 ERH262181:ERI262189 FBD262181:FBE262189 FKZ262181:FLA262189 FUV262181:FUW262189 GER262181:GES262189 GON262181:GOO262189 GYJ262181:GYK262189 HIF262181:HIG262189 HSB262181:HSC262189 IBX262181:IBY262189 ILT262181:ILU262189 IVP262181:IVQ262189 JFL262181:JFM262189 JPH262181:JPI262189 JZD262181:JZE262189 KIZ262181:KJA262189 KSV262181:KSW262189 LCR262181:LCS262189 LMN262181:LMO262189 LWJ262181:LWK262189 MGF262181:MGG262189 MQB262181:MQC262189 MZX262181:MZY262189 NJT262181:NJU262189 NTP262181:NTQ262189 ODL262181:ODM262189 ONH262181:ONI262189 OXD262181:OXE262189 PGZ262181:PHA262189 PQV262181:PQW262189 QAR262181:QAS262189 QKN262181:QKO262189 QUJ262181:QUK262189 REF262181:REG262189 ROB262181:ROC262189 RXX262181:RXY262189 SHT262181:SHU262189 SRP262181:SRQ262189 TBL262181:TBM262189 TLH262181:TLI262189 TVD262181:TVE262189 UEZ262181:UFA262189 UOV262181:UOW262189 UYR262181:UYS262189 VIN262181:VIO262189 VSJ262181:VSK262189 WCF262181:WCG262189 WMB262181:WMC262189 WVX262181:WVY262189 P327716:Q327724 JL327717:JM327725 TH327717:TI327725 ADD327717:ADE327725 AMZ327717:ANA327725 AWV327717:AWW327725 BGR327717:BGS327725 BQN327717:BQO327725 CAJ327717:CAK327725 CKF327717:CKG327725 CUB327717:CUC327725 DDX327717:DDY327725 DNT327717:DNU327725 DXP327717:DXQ327725 EHL327717:EHM327725 ERH327717:ERI327725 FBD327717:FBE327725 FKZ327717:FLA327725 FUV327717:FUW327725 GER327717:GES327725 GON327717:GOO327725 GYJ327717:GYK327725 HIF327717:HIG327725 HSB327717:HSC327725 IBX327717:IBY327725 ILT327717:ILU327725 IVP327717:IVQ327725 JFL327717:JFM327725 JPH327717:JPI327725 JZD327717:JZE327725 KIZ327717:KJA327725 KSV327717:KSW327725 LCR327717:LCS327725 LMN327717:LMO327725 LWJ327717:LWK327725 MGF327717:MGG327725 MQB327717:MQC327725 MZX327717:MZY327725 NJT327717:NJU327725 NTP327717:NTQ327725 ODL327717:ODM327725 ONH327717:ONI327725 OXD327717:OXE327725 PGZ327717:PHA327725 PQV327717:PQW327725 QAR327717:QAS327725 QKN327717:QKO327725 QUJ327717:QUK327725 REF327717:REG327725 ROB327717:ROC327725 RXX327717:RXY327725 SHT327717:SHU327725 SRP327717:SRQ327725 TBL327717:TBM327725 TLH327717:TLI327725 TVD327717:TVE327725 UEZ327717:UFA327725 UOV327717:UOW327725 UYR327717:UYS327725 VIN327717:VIO327725 VSJ327717:VSK327725 WCF327717:WCG327725 WMB327717:WMC327725 WVX327717:WVY327725 P393252:Q393260 JL393253:JM393261 TH393253:TI393261 ADD393253:ADE393261 AMZ393253:ANA393261 AWV393253:AWW393261 BGR393253:BGS393261 BQN393253:BQO393261 CAJ393253:CAK393261 CKF393253:CKG393261 CUB393253:CUC393261 DDX393253:DDY393261 DNT393253:DNU393261 DXP393253:DXQ393261 EHL393253:EHM393261 ERH393253:ERI393261 FBD393253:FBE393261 FKZ393253:FLA393261 FUV393253:FUW393261 GER393253:GES393261 GON393253:GOO393261 GYJ393253:GYK393261 HIF393253:HIG393261 HSB393253:HSC393261 IBX393253:IBY393261 ILT393253:ILU393261 IVP393253:IVQ393261 JFL393253:JFM393261 JPH393253:JPI393261 JZD393253:JZE393261 KIZ393253:KJA393261 KSV393253:KSW393261 LCR393253:LCS393261 LMN393253:LMO393261 LWJ393253:LWK393261 MGF393253:MGG393261 MQB393253:MQC393261 MZX393253:MZY393261 NJT393253:NJU393261 NTP393253:NTQ393261 ODL393253:ODM393261 ONH393253:ONI393261 OXD393253:OXE393261 PGZ393253:PHA393261 PQV393253:PQW393261 QAR393253:QAS393261 QKN393253:QKO393261 QUJ393253:QUK393261 REF393253:REG393261 ROB393253:ROC393261 RXX393253:RXY393261 SHT393253:SHU393261 SRP393253:SRQ393261 TBL393253:TBM393261 TLH393253:TLI393261 TVD393253:TVE393261 UEZ393253:UFA393261 UOV393253:UOW393261 UYR393253:UYS393261 VIN393253:VIO393261 VSJ393253:VSK393261 WCF393253:WCG393261 WMB393253:WMC393261 WVX393253:WVY393261 P458788:Q458796 JL458789:JM458797 TH458789:TI458797 ADD458789:ADE458797 AMZ458789:ANA458797 AWV458789:AWW458797 BGR458789:BGS458797 BQN458789:BQO458797 CAJ458789:CAK458797 CKF458789:CKG458797 CUB458789:CUC458797 DDX458789:DDY458797 DNT458789:DNU458797 DXP458789:DXQ458797 EHL458789:EHM458797 ERH458789:ERI458797 FBD458789:FBE458797 FKZ458789:FLA458797 FUV458789:FUW458797 GER458789:GES458797 GON458789:GOO458797 GYJ458789:GYK458797 HIF458789:HIG458797 HSB458789:HSC458797 IBX458789:IBY458797 ILT458789:ILU458797 IVP458789:IVQ458797 JFL458789:JFM458797 JPH458789:JPI458797 JZD458789:JZE458797 KIZ458789:KJA458797 KSV458789:KSW458797 LCR458789:LCS458797 LMN458789:LMO458797 LWJ458789:LWK458797 MGF458789:MGG458797 MQB458789:MQC458797 MZX458789:MZY458797 NJT458789:NJU458797 NTP458789:NTQ458797 ODL458789:ODM458797 ONH458789:ONI458797 OXD458789:OXE458797 PGZ458789:PHA458797 PQV458789:PQW458797 QAR458789:QAS458797 QKN458789:QKO458797 QUJ458789:QUK458797 REF458789:REG458797 ROB458789:ROC458797 RXX458789:RXY458797 SHT458789:SHU458797 SRP458789:SRQ458797 TBL458789:TBM458797 TLH458789:TLI458797 TVD458789:TVE458797 UEZ458789:UFA458797 UOV458789:UOW458797 UYR458789:UYS458797 VIN458789:VIO458797 VSJ458789:VSK458797 WCF458789:WCG458797 WMB458789:WMC458797 WVX458789:WVY458797 P524324:Q524332 JL524325:JM524333 TH524325:TI524333 ADD524325:ADE524333 AMZ524325:ANA524333 AWV524325:AWW524333 BGR524325:BGS524333 BQN524325:BQO524333 CAJ524325:CAK524333 CKF524325:CKG524333 CUB524325:CUC524333 DDX524325:DDY524333 DNT524325:DNU524333 DXP524325:DXQ524333 EHL524325:EHM524333 ERH524325:ERI524333 FBD524325:FBE524333 FKZ524325:FLA524333 FUV524325:FUW524333 GER524325:GES524333 GON524325:GOO524333 GYJ524325:GYK524333 HIF524325:HIG524333 HSB524325:HSC524333 IBX524325:IBY524333 ILT524325:ILU524333 IVP524325:IVQ524333 JFL524325:JFM524333 JPH524325:JPI524333 JZD524325:JZE524333 KIZ524325:KJA524333 KSV524325:KSW524333 LCR524325:LCS524333 LMN524325:LMO524333 LWJ524325:LWK524333 MGF524325:MGG524333 MQB524325:MQC524333 MZX524325:MZY524333 NJT524325:NJU524333 NTP524325:NTQ524333 ODL524325:ODM524333 ONH524325:ONI524333 OXD524325:OXE524333 PGZ524325:PHA524333 PQV524325:PQW524333 QAR524325:QAS524333 QKN524325:QKO524333 QUJ524325:QUK524333 REF524325:REG524333 ROB524325:ROC524333 RXX524325:RXY524333 SHT524325:SHU524333 SRP524325:SRQ524333 TBL524325:TBM524333 TLH524325:TLI524333 TVD524325:TVE524333 UEZ524325:UFA524333 UOV524325:UOW524333 UYR524325:UYS524333 VIN524325:VIO524333 VSJ524325:VSK524333 WCF524325:WCG524333 WMB524325:WMC524333 WVX524325:WVY524333 P589860:Q589868 JL589861:JM589869 TH589861:TI589869 ADD589861:ADE589869 AMZ589861:ANA589869 AWV589861:AWW589869 BGR589861:BGS589869 BQN589861:BQO589869 CAJ589861:CAK589869 CKF589861:CKG589869 CUB589861:CUC589869 DDX589861:DDY589869 DNT589861:DNU589869 DXP589861:DXQ589869 EHL589861:EHM589869 ERH589861:ERI589869 FBD589861:FBE589869 FKZ589861:FLA589869 FUV589861:FUW589869 GER589861:GES589869 GON589861:GOO589869 GYJ589861:GYK589869 HIF589861:HIG589869 HSB589861:HSC589869 IBX589861:IBY589869 ILT589861:ILU589869 IVP589861:IVQ589869 JFL589861:JFM589869 JPH589861:JPI589869 JZD589861:JZE589869 KIZ589861:KJA589869 KSV589861:KSW589869 LCR589861:LCS589869 LMN589861:LMO589869 LWJ589861:LWK589869 MGF589861:MGG589869 MQB589861:MQC589869 MZX589861:MZY589869 NJT589861:NJU589869 NTP589861:NTQ589869 ODL589861:ODM589869 ONH589861:ONI589869 OXD589861:OXE589869 PGZ589861:PHA589869 PQV589861:PQW589869 QAR589861:QAS589869 QKN589861:QKO589869 QUJ589861:QUK589869 REF589861:REG589869 ROB589861:ROC589869 RXX589861:RXY589869 SHT589861:SHU589869 SRP589861:SRQ589869 TBL589861:TBM589869 TLH589861:TLI589869 TVD589861:TVE589869 UEZ589861:UFA589869 UOV589861:UOW589869 UYR589861:UYS589869 VIN589861:VIO589869 VSJ589861:VSK589869 WCF589861:WCG589869 WMB589861:WMC589869 WVX589861:WVY589869 P655396:Q655404 JL655397:JM655405 TH655397:TI655405 ADD655397:ADE655405 AMZ655397:ANA655405 AWV655397:AWW655405 BGR655397:BGS655405 BQN655397:BQO655405 CAJ655397:CAK655405 CKF655397:CKG655405 CUB655397:CUC655405 DDX655397:DDY655405 DNT655397:DNU655405 DXP655397:DXQ655405 EHL655397:EHM655405 ERH655397:ERI655405 FBD655397:FBE655405 FKZ655397:FLA655405 FUV655397:FUW655405 GER655397:GES655405 GON655397:GOO655405 GYJ655397:GYK655405 HIF655397:HIG655405 HSB655397:HSC655405 IBX655397:IBY655405 ILT655397:ILU655405 IVP655397:IVQ655405 JFL655397:JFM655405 JPH655397:JPI655405 JZD655397:JZE655405 KIZ655397:KJA655405 KSV655397:KSW655405 LCR655397:LCS655405 LMN655397:LMO655405 LWJ655397:LWK655405 MGF655397:MGG655405 MQB655397:MQC655405 MZX655397:MZY655405 NJT655397:NJU655405 NTP655397:NTQ655405 ODL655397:ODM655405 ONH655397:ONI655405 OXD655397:OXE655405 PGZ655397:PHA655405 PQV655397:PQW655405 QAR655397:QAS655405 QKN655397:QKO655405 QUJ655397:QUK655405 REF655397:REG655405 ROB655397:ROC655405 RXX655397:RXY655405 SHT655397:SHU655405 SRP655397:SRQ655405 TBL655397:TBM655405 TLH655397:TLI655405 TVD655397:TVE655405 UEZ655397:UFA655405 UOV655397:UOW655405 UYR655397:UYS655405 VIN655397:VIO655405 VSJ655397:VSK655405 WCF655397:WCG655405 WMB655397:WMC655405 WVX655397:WVY655405 P720932:Q720940 JL720933:JM720941 TH720933:TI720941 ADD720933:ADE720941 AMZ720933:ANA720941 AWV720933:AWW720941 BGR720933:BGS720941 BQN720933:BQO720941 CAJ720933:CAK720941 CKF720933:CKG720941 CUB720933:CUC720941 DDX720933:DDY720941 DNT720933:DNU720941 DXP720933:DXQ720941 EHL720933:EHM720941 ERH720933:ERI720941 FBD720933:FBE720941 FKZ720933:FLA720941 FUV720933:FUW720941 GER720933:GES720941 GON720933:GOO720941 GYJ720933:GYK720941 HIF720933:HIG720941 HSB720933:HSC720941 IBX720933:IBY720941 ILT720933:ILU720941 IVP720933:IVQ720941 JFL720933:JFM720941 JPH720933:JPI720941 JZD720933:JZE720941 KIZ720933:KJA720941 KSV720933:KSW720941 LCR720933:LCS720941 LMN720933:LMO720941 LWJ720933:LWK720941 MGF720933:MGG720941 MQB720933:MQC720941 MZX720933:MZY720941 NJT720933:NJU720941 NTP720933:NTQ720941 ODL720933:ODM720941 ONH720933:ONI720941 OXD720933:OXE720941 PGZ720933:PHA720941 PQV720933:PQW720941 QAR720933:QAS720941 QKN720933:QKO720941 QUJ720933:QUK720941 REF720933:REG720941 ROB720933:ROC720941 RXX720933:RXY720941 SHT720933:SHU720941 SRP720933:SRQ720941 TBL720933:TBM720941 TLH720933:TLI720941 TVD720933:TVE720941 UEZ720933:UFA720941 UOV720933:UOW720941 UYR720933:UYS720941 VIN720933:VIO720941 VSJ720933:VSK720941 WCF720933:WCG720941 WMB720933:WMC720941 WVX720933:WVY720941 P786468:Q786476 JL786469:JM786477 TH786469:TI786477 ADD786469:ADE786477 AMZ786469:ANA786477 AWV786469:AWW786477 BGR786469:BGS786477 BQN786469:BQO786477 CAJ786469:CAK786477 CKF786469:CKG786477 CUB786469:CUC786477 DDX786469:DDY786477 DNT786469:DNU786477 DXP786469:DXQ786477 EHL786469:EHM786477 ERH786469:ERI786477 FBD786469:FBE786477 FKZ786469:FLA786477 FUV786469:FUW786477 GER786469:GES786477 GON786469:GOO786477 GYJ786469:GYK786477 HIF786469:HIG786477 HSB786469:HSC786477 IBX786469:IBY786477 ILT786469:ILU786477 IVP786469:IVQ786477 JFL786469:JFM786477 JPH786469:JPI786477 JZD786469:JZE786477 KIZ786469:KJA786477 KSV786469:KSW786477 LCR786469:LCS786477 LMN786469:LMO786477 LWJ786469:LWK786477 MGF786469:MGG786477 MQB786469:MQC786477 MZX786469:MZY786477 NJT786469:NJU786477 NTP786469:NTQ786477 ODL786469:ODM786477 ONH786469:ONI786477 OXD786469:OXE786477 PGZ786469:PHA786477 PQV786469:PQW786477 QAR786469:QAS786477 QKN786469:QKO786477 QUJ786469:QUK786477 REF786469:REG786477 ROB786469:ROC786477 RXX786469:RXY786477 SHT786469:SHU786477 SRP786469:SRQ786477 TBL786469:TBM786477 TLH786469:TLI786477 TVD786469:TVE786477 UEZ786469:UFA786477 UOV786469:UOW786477 UYR786469:UYS786477 VIN786469:VIO786477 VSJ786469:VSK786477 WCF786469:WCG786477 WMB786469:WMC786477 WVX786469:WVY786477 P852004:Q852012 JL852005:JM852013 TH852005:TI852013 ADD852005:ADE852013 AMZ852005:ANA852013 AWV852005:AWW852013 BGR852005:BGS852013 BQN852005:BQO852013 CAJ852005:CAK852013 CKF852005:CKG852013 CUB852005:CUC852013 DDX852005:DDY852013 DNT852005:DNU852013 DXP852005:DXQ852013 EHL852005:EHM852013 ERH852005:ERI852013 FBD852005:FBE852013 FKZ852005:FLA852013 FUV852005:FUW852013 GER852005:GES852013 GON852005:GOO852013 GYJ852005:GYK852013 HIF852005:HIG852013 HSB852005:HSC852013 IBX852005:IBY852013 ILT852005:ILU852013 IVP852005:IVQ852013 JFL852005:JFM852013 JPH852005:JPI852013 JZD852005:JZE852013 KIZ852005:KJA852013 KSV852005:KSW852013 LCR852005:LCS852013 LMN852005:LMO852013 LWJ852005:LWK852013 MGF852005:MGG852013 MQB852005:MQC852013 MZX852005:MZY852013 NJT852005:NJU852013 NTP852005:NTQ852013 ODL852005:ODM852013 ONH852005:ONI852013 OXD852005:OXE852013 PGZ852005:PHA852013 PQV852005:PQW852013 QAR852005:QAS852013 QKN852005:QKO852013 QUJ852005:QUK852013 REF852005:REG852013 ROB852005:ROC852013 RXX852005:RXY852013 SHT852005:SHU852013 SRP852005:SRQ852013 TBL852005:TBM852013 TLH852005:TLI852013 TVD852005:TVE852013 UEZ852005:UFA852013 UOV852005:UOW852013 UYR852005:UYS852013 VIN852005:VIO852013 VSJ852005:VSK852013 WCF852005:WCG852013 WMB852005:WMC852013 WVX852005:WVY852013 P917540:Q917548 JL917541:JM917549 TH917541:TI917549 ADD917541:ADE917549 AMZ917541:ANA917549 AWV917541:AWW917549 BGR917541:BGS917549 BQN917541:BQO917549 CAJ917541:CAK917549 CKF917541:CKG917549 CUB917541:CUC917549 DDX917541:DDY917549 DNT917541:DNU917549 DXP917541:DXQ917549 EHL917541:EHM917549 ERH917541:ERI917549 FBD917541:FBE917549 FKZ917541:FLA917549 FUV917541:FUW917549 GER917541:GES917549 GON917541:GOO917549 GYJ917541:GYK917549 HIF917541:HIG917549 HSB917541:HSC917549 IBX917541:IBY917549 ILT917541:ILU917549 IVP917541:IVQ917549 JFL917541:JFM917549 JPH917541:JPI917549 JZD917541:JZE917549 KIZ917541:KJA917549 KSV917541:KSW917549 LCR917541:LCS917549 LMN917541:LMO917549 LWJ917541:LWK917549 MGF917541:MGG917549 MQB917541:MQC917549 MZX917541:MZY917549 NJT917541:NJU917549 NTP917541:NTQ917549 ODL917541:ODM917549 ONH917541:ONI917549 OXD917541:OXE917549 PGZ917541:PHA917549 PQV917541:PQW917549 QAR917541:QAS917549 QKN917541:QKO917549 QUJ917541:QUK917549 REF917541:REG917549 ROB917541:ROC917549 RXX917541:RXY917549 SHT917541:SHU917549 SRP917541:SRQ917549 TBL917541:TBM917549 TLH917541:TLI917549 TVD917541:TVE917549 UEZ917541:UFA917549 UOV917541:UOW917549 UYR917541:UYS917549 VIN917541:VIO917549 VSJ917541:VSK917549 WCF917541:WCG917549 WMB917541:WMC917549 WVX917541:WVY917549 P983076:Q983084 JL983077:JM983085 TH983077:TI983085 ADD983077:ADE983085 AMZ983077:ANA983085 AWV983077:AWW983085 BGR983077:BGS983085 BQN983077:BQO983085 CAJ983077:CAK983085 CKF983077:CKG983085 CUB983077:CUC983085 DDX983077:DDY983085 DNT983077:DNU983085 DXP983077:DXQ983085 EHL983077:EHM983085 ERH983077:ERI983085 FBD983077:FBE983085 FKZ983077:FLA983085 FUV983077:FUW983085 GER983077:GES983085 GON983077:GOO983085 GYJ983077:GYK983085 HIF983077:HIG983085 HSB983077:HSC983085 IBX983077:IBY983085 ILT983077:ILU983085 IVP983077:IVQ983085 JFL983077:JFM983085 JPH983077:JPI983085 JZD983077:JZE983085 KIZ983077:KJA983085 KSV983077:KSW983085 LCR983077:LCS983085 LMN983077:LMO983085 LWJ983077:LWK983085 MGF983077:MGG983085 MQB983077:MQC983085 MZX983077:MZY983085 NJT983077:NJU983085 NTP983077:NTQ983085 ODL983077:ODM983085 ONH983077:ONI983085 OXD983077:OXE983085 PGZ983077:PHA983085 PQV983077:PQW983085 QAR983077:QAS983085 QKN983077:QKO983085 QUJ983077:QUK983085 REF983077:REG983085 ROB983077:ROC983085 RXX983077:RXY983085 SHT983077:SHU983085 SRP983077:SRQ983085 TBL983077:TBM983085 TLH983077:TLI983085 TVD983077:TVE983085 UEZ983077:UFA983085 UOV983077:UOW983085 UYR983077:UYS983085 VIN983077:VIO983085 VSJ983077:VSK983085 WCF983077:WCG983085 WMB983077:WMC983085 WVX983077:WVY983085 P50:Q50 JL50:JM50 TH50:TI50 ADD50:ADE50 AMZ50:ANA50 AWV50:AWW50 BGR50:BGS50 BQN50:BQO50 CAJ50:CAK50 CKF50:CKG50 CUB50:CUC50 DDX50:DDY50 DNT50:DNU50 DXP50:DXQ50 EHL50:EHM50 ERH50:ERI50 FBD50:FBE50 FKZ50:FLA50 FUV50:FUW50 GER50:GES50 GON50:GOO50 GYJ50:GYK50 HIF50:HIG50 HSB50:HSC50 IBX50:IBY50 ILT50:ILU50 IVP50:IVQ50 JFL50:JFM50 JPH50:JPI50 JZD50:JZE50 KIZ50:KJA50 KSV50:KSW50 LCR50:LCS50 LMN50:LMO50 LWJ50:LWK50 MGF50:MGG50 MQB50:MQC50 MZX50:MZY50 NJT50:NJU50 NTP50:NTQ50 ODL50:ODM50 ONH50:ONI50 OXD50:OXE50 PGZ50:PHA50 PQV50:PQW50 QAR50:QAS50 QKN50:QKO50 QUJ50:QUK50 REF50:REG50 ROB50:ROC50 RXX50:RXY50 SHT50:SHU50 SRP50:SRQ50 TBL50:TBM50 TLH50:TLI50 TVD50:TVE50 UEZ50:UFA50 UOV50:UOW50 UYR50:UYS50 VIN50:VIO50 VSJ50:VSK50 WCF50:WCG50 WMB50:WMC50 WVX50:WVY50 P65585:Q65585 JL65586:JM65586 TH65586:TI65586 ADD65586:ADE65586 AMZ65586:ANA65586 AWV65586:AWW65586 BGR65586:BGS65586 BQN65586:BQO65586 CAJ65586:CAK65586 CKF65586:CKG65586 CUB65586:CUC65586 DDX65586:DDY65586 DNT65586:DNU65586 DXP65586:DXQ65586 EHL65586:EHM65586 ERH65586:ERI65586 FBD65586:FBE65586 FKZ65586:FLA65586 FUV65586:FUW65586 GER65586:GES65586 GON65586:GOO65586 GYJ65586:GYK65586 HIF65586:HIG65586 HSB65586:HSC65586 IBX65586:IBY65586 ILT65586:ILU65586 IVP65586:IVQ65586 JFL65586:JFM65586 JPH65586:JPI65586 JZD65586:JZE65586 KIZ65586:KJA65586 KSV65586:KSW65586 LCR65586:LCS65586 LMN65586:LMO65586 LWJ65586:LWK65586 MGF65586:MGG65586 MQB65586:MQC65586 MZX65586:MZY65586 NJT65586:NJU65586 NTP65586:NTQ65586 ODL65586:ODM65586 ONH65586:ONI65586 OXD65586:OXE65586 PGZ65586:PHA65586 PQV65586:PQW65586 QAR65586:QAS65586 QKN65586:QKO65586 QUJ65586:QUK65586 REF65586:REG65586 ROB65586:ROC65586 RXX65586:RXY65586 SHT65586:SHU65586 SRP65586:SRQ65586 TBL65586:TBM65586 TLH65586:TLI65586 TVD65586:TVE65586 UEZ65586:UFA65586 UOV65586:UOW65586 UYR65586:UYS65586 VIN65586:VIO65586 VSJ65586:VSK65586 WCF65586:WCG65586 WMB65586:WMC65586 WVX65586:WVY65586 P131121:Q131121 JL131122:JM131122 TH131122:TI131122 ADD131122:ADE131122 AMZ131122:ANA131122 AWV131122:AWW131122 BGR131122:BGS131122 BQN131122:BQO131122 CAJ131122:CAK131122 CKF131122:CKG131122 CUB131122:CUC131122 DDX131122:DDY131122 DNT131122:DNU131122 DXP131122:DXQ131122 EHL131122:EHM131122 ERH131122:ERI131122 FBD131122:FBE131122 FKZ131122:FLA131122 FUV131122:FUW131122 GER131122:GES131122 GON131122:GOO131122 GYJ131122:GYK131122 HIF131122:HIG131122 HSB131122:HSC131122 IBX131122:IBY131122 ILT131122:ILU131122 IVP131122:IVQ131122 JFL131122:JFM131122 JPH131122:JPI131122 JZD131122:JZE131122 KIZ131122:KJA131122 KSV131122:KSW131122 LCR131122:LCS131122 LMN131122:LMO131122 LWJ131122:LWK131122 MGF131122:MGG131122 MQB131122:MQC131122 MZX131122:MZY131122 NJT131122:NJU131122 NTP131122:NTQ131122 ODL131122:ODM131122 ONH131122:ONI131122 OXD131122:OXE131122 PGZ131122:PHA131122 PQV131122:PQW131122 QAR131122:QAS131122 QKN131122:QKO131122 QUJ131122:QUK131122 REF131122:REG131122 ROB131122:ROC131122 RXX131122:RXY131122 SHT131122:SHU131122 SRP131122:SRQ131122 TBL131122:TBM131122 TLH131122:TLI131122 TVD131122:TVE131122 UEZ131122:UFA131122 UOV131122:UOW131122 UYR131122:UYS131122 VIN131122:VIO131122 VSJ131122:VSK131122 WCF131122:WCG131122 WMB131122:WMC131122 WVX131122:WVY131122 P196657:Q196657 JL196658:JM196658 TH196658:TI196658 ADD196658:ADE196658 AMZ196658:ANA196658 AWV196658:AWW196658 BGR196658:BGS196658 BQN196658:BQO196658 CAJ196658:CAK196658 CKF196658:CKG196658 CUB196658:CUC196658 DDX196658:DDY196658 DNT196658:DNU196658 DXP196658:DXQ196658 EHL196658:EHM196658 ERH196658:ERI196658 FBD196658:FBE196658 FKZ196658:FLA196658 FUV196658:FUW196658 GER196658:GES196658 GON196658:GOO196658 GYJ196658:GYK196658 HIF196658:HIG196658 HSB196658:HSC196658 IBX196658:IBY196658 ILT196658:ILU196658 IVP196658:IVQ196658 JFL196658:JFM196658 JPH196658:JPI196658 JZD196658:JZE196658 KIZ196658:KJA196658 KSV196658:KSW196658 LCR196658:LCS196658 LMN196658:LMO196658 LWJ196658:LWK196658 MGF196658:MGG196658 MQB196658:MQC196658 MZX196658:MZY196658 NJT196658:NJU196658 NTP196658:NTQ196658 ODL196658:ODM196658 ONH196658:ONI196658 OXD196658:OXE196658 PGZ196658:PHA196658 PQV196658:PQW196658 QAR196658:QAS196658 QKN196658:QKO196658 QUJ196658:QUK196658 REF196658:REG196658 ROB196658:ROC196658 RXX196658:RXY196658 SHT196658:SHU196658 SRP196658:SRQ196658 TBL196658:TBM196658 TLH196658:TLI196658 TVD196658:TVE196658 UEZ196658:UFA196658 UOV196658:UOW196658 UYR196658:UYS196658 VIN196658:VIO196658 VSJ196658:VSK196658 WCF196658:WCG196658 WMB196658:WMC196658 WVX196658:WVY196658 P262193:Q262193 JL262194:JM262194 TH262194:TI262194 ADD262194:ADE262194 AMZ262194:ANA262194 AWV262194:AWW262194 BGR262194:BGS262194 BQN262194:BQO262194 CAJ262194:CAK262194 CKF262194:CKG262194 CUB262194:CUC262194 DDX262194:DDY262194 DNT262194:DNU262194 DXP262194:DXQ262194 EHL262194:EHM262194 ERH262194:ERI262194 FBD262194:FBE262194 FKZ262194:FLA262194 FUV262194:FUW262194 GER262194:GES262194 GON262194:GOO262194 GYJ262194:GYK262194 HIF262194:HIG262194 HSB262194:HSC262194 IBX262194:IBY262194 ILT262194:ILU262194 IVP262194:IVQ262194 JFL262194:JFM262194 JPH262194:JPI262194 JZD262194:JZE262194 KIZ262194:KJA262194 KSV262194:KSW262194 LCR262194:LCS262194 LMN262194:LMO262194 LWJ262194:LWK262194 MGF262194:MGG262194 MQB262194:MQC262194 MZX262194:MZY262194 NJT262194:NJU262194 NTP262194:NTQ262194 ODL262194:ODM262194 ONH262194:ONI262194 OXD262194:OXE262194 PGZ262194:PHA262194 PQV262194:PQW262194 QAR262194:QAS262194 QKN262194:QKO262194 QUJ262194:QUK262194 REF262194:REG262194 ROB262194:ROC262194 RXX262194:RXY262194 SHT262194:SHU262194 SRP262194:SRQ262194 TBL262194:TBM262194 TLH262194:TLI262194 TVD262194:TVE262194 UEZ262194:UFA262194 UOV262194:UOW262194 UYR262194:UYS262194 VIN262194:VIO262194 VSJ262194:VSK262194 WCF262194:WCG262194 WMB262194:WMC262194 WVX262194:WVY262194 P327729:Q327729 JL327730:JM327730 TH327730:TI327730 ADD327730:ADE327730 AMZ327730:ANA327730 AWV327730:AWW327730 BGR327730:BGS327730 BQN327730:BQO327730 CAJ327730:CAK327730 CKF327730:CKG327730 CUB327730:CUC327730 DDX327730:DDY327730 DNT327730:DNU327730 DXP327730:DXQ327730 EHL327730:EHM327730 ERH327730:ERI327730 FBD327730:FBE327730 FKZ327730:FLA327730 FUV327730:FUW327730 GER327730:GES327730 GON327730:GOO327730 GYJ327730:GYK327730 HIF327730:HIG327730 HSB327730:HSC327730 IBX327730:IBY327730 ILT327730:ILU327730 IVP327730:IVQ327730 JFL327730:JFM327730 JPH327730:JPI327730 JZD327730:JZE327730 KIZ327730:KJA327730 KSV327730:KSW327730 LCR327730:LCS327730 LMN327730:LMO327730 LWJ327730:LWK327730 MGF327730:MGG327730 MQB327730:MQC327730 MZX327730:MZY327730 NJT327730:NJU327730 NTP327730:NTQ327730 ODL327730:ODM327730 ONH327730:ONI327730 OXD327730:OXE327730 PGZ327730:PHA327730 PQV327730:PQW327730 QAR327730:QAS327730 QKN327730:QKO327730 QUJ327730:QUK327730 REF327730:REG327730 ROB327730:ROC327730 RXX327730:RXY327730 SHT327730:SHU327730 SRP327730:SRQ327730 TBL327730:TBM327730 TLH327730:TLI327730 TVD327730:TVE327730 UEZ327730:UFA327730 UOV327730:UOW327730 UYR327730:UYS327730 VIN327730:VIO327730 VSJ327730:VSK327730 WCF327730:WCG327730 WMB327730:WMC327730 WVX327730:WVY327730 P393265:Q393265 JL393266:JM393266 TH393266:TI393266 ADD393266:ADE393266 AMZ393266:ANA393266 AWV393266:AWW393266 BGR393266:BGS393266 BQN393266:BQO393266 CAJ393266:CAK393266 CKF393266:CKG393266 CUB393266:CUC393266 DDX393266:DDY393266 DNT393266:DNU393266 DXP393266:DXQ393266 EHL393266:EHM393266 ERH393266:ERI393266 FBD393266:FBE393266 FKZ393266:FLA393266 FUV393266:FUW393266 GER393266:GES393266 GON393266:GOO393266 GYJ393266:GYK393266 HIF393266:HIG393266 HSB393266:HSC393266 IBX393266:IBY393266 ILT393266:ILU393266 IVP393266:IVQ393266 JFL393266:JFM393266 JPH393266:JPI393266 JZD393266:JZE393266 KIZ393266:KJA393266 KSV393266:KSW393266 LCR393266:LCS393266 LMN393266:LMO393266 LWJ393266:LWK393266 MGF393266:MGG393266 MQB393266:MQC393266 MZX393266:MZY393266 NJT393266:NJU393266 NTP393266:NTQ393266 ODL393266:ODM393266 ONH393266:ONI393266 OXD393266:OXE393266 PGZ393266:PHA393266 PQV393266:PQW393266 QAR393266:QAS393266 QKN393266:QKO393266 QUJ393266:QUK393266 REF393266:REG393266 ROB393266:ROC393266 RXX393266:RXY393266 SHT393266:SHU393266 SRP393266:SRQ393266 TBL393266:TBM393266 TLH393266:TLI393266 TVD393266:TVE393266 UEZ393266:UFA393266 UOV393266:UOW393266 UYR393266:UYS393266 VIN393266:VIO393266 VSJ393266:VSK393266 WCF393266:WCG393266 WMB393266:WMC393266 WVX393266:WVY393266 P458801:Q458801 JL458802:JM458802 TH458802:TI458802 ADD458802:ADE458802 AMZ458802:ANA458802 AWV458802:AWW458802 BGR458802:BGS458802 BQN458802:BQO458802 CAJ458802:CAK458802 CKF458802:CKG458802 CUB458802:CUC458802 DDX458802:DDY458802 DNT458802:DNU458802 DXP458802:DXQ458802 EHL458802:EHM458802 ERH458802:ERI458802 FBD458802:FBE458802 FKZ458802:FLA458802 FUV458802:FUW458802 GER458802:GES458802 GON458802:GOO458802 GYJ458802:GYK458802 HIF458802:HIG458802 HSB458802:HSC458802 IBX458802:IBY458802 ILT458802:ILU458802 IVP458802:IVQ458802 JFL458802:JFM458802 JPH458802:JPI458802 JZD458802:JZE458802 KIZ458802:KJA458802 KSV458802:KSW458802 LCR458802:LCS458802 LMN458802:LMO458802 LWJ458802:LWK458802 MGF458802:MGG458802 MQB458802:MQC458802 MZX458802:MZY458802 NJT458802:NJU458802 NTP458802:NTQ458802 ODL458802:ODM458802 ONH458802:ONI458802 OXD458802:OXE458802 PGZ458802:PHA458802 PQV458802:PQW458802 QAR458802:QAS458802 QKN458802:QKO458802 QUJ458802:QUK458802 REF458802:REG458802 ROB458802:ROC458802 RXX458802:RXY458802 SHT458802:SHU458802 SRP458802:SRQ458802 TBL458802:TBM458802 TLH458802:TLI458802 TVD458802:TVE458802 UEZ458802:UFA458802 UOV458802:UOW458802 UYR458802:UYS458802 VIN458802:VIO458802 VSJ458802:VSK458802 WCF458802:WCG458802 WMB458802:WMC458802 WVX458802:WVY458802 P524337:Q524337 JL524338:JM524338 TH524338:TI524338 ADD524338:ADE524338 AMZ524338:ANA524338 AWV524338:AWW524338 BGR524338:BGS524338 BQN524338:BQO524338 CAJ524338:CAK524338 CKF524338:CKG524338 CUB524338:CUC524338 DDX524338:DDY524338 DNT524338:DNU524338 DXP524338:DXQ524338 EHL524338:EHM524338 ERH524338:ERI524338 FBD524338:FBE524338 FKZ524338:FLA524338 FUV524338:FUW524338 GER524338:GES524338 GON524338:GOO524338 GYJ524338:GYK524338 HIF524338:HIG524338 HSB524338:HSC524338 IBX524338:IBY524338 ILT524338:ILU524338 IVP524338:IVQ524338 JFL524338:JFM524338 JPH524338:JPI524338 JZD524338:JZE524338 KIZ524338:KJA524338 KSV524338:KSW524338 LCR524338:LCS524338 LMN524338:LMO524338 LWJ524338:LWK524338 MGF524338:MGG524338 MQB524338:MQC524338 MZX524338:MZY524338 NJT524338:NJU524338 NTP524338:NTQ524338 ODL524338:ODM524338 ONH524338:ONI524338 OXD524338:OXE524338 PGZ524338:PHA524338 PQV524338:PQW524338 QAR524338:QAS524338 QKN524338:QKO524338 QUJ524338:QUK524338 REF524338:REG524338 ROB524338:ROC524338 RXX524338:RXY524338 SHT524338:SHU524338 SRP524338:SRQ524338 TBL524338:TBM524338 TLH524338:TLI524338 TVD524338:TVE524338 UEZ524338:UFA524338 UOV524338:UOW524338 UYR524338:UYS524338 VIN524338:VIO524338 VSJ524338:VSK524338 WCF524338:WCG524338 WMB524338:WMC524338 WVX524338:WVY524338 P589873:Q589873 JL589874:JM589874 TH589874:TI589874 ADD589874:ADE589874 AMZ589874:ANA589874 AWV589874:AWW589874 BGR589874:BGS589874 BQN589874:BQO589874 CAJ589874:CAK589874 CKF589874:CKG589874 CUB589874:CUC589874 DDX589874:DDY589874 DNT589874:DNU589874 DXP589874:DXQ589874 EHL589874:EHM589874 ERH589874:ERI589874 FBD589874:FBE589874 FKZ589874:FLA589874 FUV589874:FUW589874 GER589874:GES589874 GON589874:GOO589874 GYJ589874:GYK589874 HIF589874:HIG589874 HSB589874:HSC589874 IBX589874:IBY589874 ILT589874:ILU589874 IVP589874:IVQ589874 JFL589874:JFM589874 JPH589874:JPI589874 JZD589874:JZE589874 KIZ589874:KJA589874 KSV589874:KSW589874 LCR589874:LCS589874 LMN589874:LMO589874 LWJ589874:LWK589874 MGF589874:MGG589874 MQB589874:MQC589874 MZX589874:MZY589874 NJT589874:NJU589874 NTP589874:NTQ589874 ODL589874:ODM589874 ONH589874:ONI589874 OXD589874:OXE589874 PGZ589874:PHA589874 PQV589874:PQW589874 QAR589874:QAS589874 QKN589874:QKO589874 QUJ589874:QUK589874 REF589874:REG589874 ROB589874:ROC589874 RXX589874:RXY589874 SHT589874:SHU589874 SRP589874:SRQ589874 TBL589874:TBM589874 TLH589874:TLI589874 TVD589874:TVE589874 UEZ589874:UFA589874 UOV589874:UOW589874 UYR589874:UYS589874 VIN589874:VIO589874 VSJ589874:VSK589874 WCF589874:WCG589874 WMB589874:WMC589874 WVX589874:WVY589874 P655409:Q655409 JL655410:JM655410 TH655410:TI655410 ADD655410:ADE655410 AMZ655410:ANA655410 AWV655410:AWW655410 BGR655410:BGS655410 BQN655410:BQO655410 CAJ655410:CAK655410 CKF655410:CKG655410 CUB655410:CUC655410 DDX655410:DDY655410 DNT655410:DNU655410 DXP655410:DXQ655410 EHL655410:EHM655410 ERH655410:ERI655410 FBD655410:FBE655410 FKZ655410:FLA655410 FUV655410:FUW655410 GER655410:GES655410 GON655410:GOO655410 GYJ655410:GYK655410 HIF655410:HIG655410 HSB655410:HSC655410 IBX655410:IBY655410 ILT655410:ILU655410 IVP655410:IVQ655410 JFL655410:JFM655410 JPH655410:JPI655410 JZD655410:JZE655410 KIZ655410:KJA655410 KSV655410:KSW655410 LCR655410:LCS655410 LMN655410:LMO655410 LWJ655410:LWK655410 MGF655410:MGG655410 MQB655410:MQC655410 MZX655410:MZY655410 NJT655410:NJU655410 NTP655410:NTQ655410 ODL655410:ODM655410 ONH655410:ONI655410 OXD655410:OXE655410 PGZ655410:PHA655410 PQV655410:PQW655410 QAR655410:QAS655410 QKN655410:QKO655410 QUJ655410:QUK655410 REF655410:REG655410 ROB655410:ROC655410 RXX655410:RXY655410 SHT655410:SHU655410 SRP655410:SRQ655410 TBL655410:TBM655410 TLH655410:TLI655410 TVD655410:TVE655410 UEZ655410:UFA655410 UOV655410:UOW655410 UYR655410:UYS655410 VIN655410:VIO655410 VSJ655410:VSK655410 WCF655410:WCG655410 WMB655410:WMC655410 WVX655410:WVY655410 P720945:Q720945 JL720946:JM720946 TH720946:TI720946 ADD720946:ADE720946 AMZ720946:ANA720946 AWV720946:AWW720946 BGR720946:BGS720946 BQN720946:BQO720946 CAJ720946:CAK720946 CKF720946:CKG720946 CUB720946:CUC720946 DDX720946:DDY720946 DNT720946:DNU720946 DXP720946:DXQ720946 EHL720946:EHM720946 ERH720946:ERI720946 FBD720946:FBE720946 FKZ720946:FLA720946 FUV720946:FUW720946 GER720946:GES720946 GON720946:GOO720946 GYJ720946:GYK720946 HIF720946:HIG720946 HSB720946:HSC720946 IBX720946:IBY720946 ILT720946:ILU720946 IVP720946:IVQ720946 JFL720946:JFM720946 JPH720946:JPI720946 JZD720946:JZE720946 KIZ720946:KJA720946 KSV720946:KSW720946 LCR720946:LCS720946 LMN720946:LMO720946 LWJ720946:LWK720946 MGF720946:MGG720946 MQB720946:MQC720946 MZX720946:MZY720946 NJT720946:NJU720946 NTP720946:NTQ720946 ODL720946:ODM720946 ONH720946:ONI720946 OXD720946:OXE720946 PGZ720946:PHA720946 PQV720946:PQW720946 QAR720946:QAS720946 QKN720946:QKO720946 QUJ720946:QUK720946 REF720946:REG720946 ROB720946:ROC720946 RXX720946:RXY720946 SHT720946:SHU720946 SRP720946:SRQ720946 TBL720946:TBM720946 TLH720946:TLI720946 TVD720946:TVE720946 UEZ720946:UFA720946 UOV720946:UOW720946 UYR720946:UYS720946 VIN720946:VIO720946 VSJ720946:VSK720946 WCF720946:WCG720946 WMB720946:WMC720946 WVX720946:WVY720946 P786481:Q786481 JL786482:JM786482 TH786482:TI786482 ADD786482:ADE786482 AMZ786482:ANA786482 AWV786482:AWW786482 BGR786482:BGS786482 BQN786482:BQO786482 CAJ786482:CAK786482 CKF786482:CKG786482 CUB786482:CUC786482 DDX786482:DDY786482 DNT786482:DNU786482 DXP786482:DXQ786482 EHL786482:EHM786482 ERH786482:ERI786482 FBD786482:FBE786482 FKZ786482:FLA786482 FUV786482:FUW786482 GER786482:GES786482 GON786482:GOO786482 GYJ786482:GYK786482 HIF786482:HIG786482 HSB786482:HSC786482 IBX786482:IBY786482 ILT786482:ILU786482 IVP786482:IVQ786482 JFL786482:JFM786482 JPH786482:JPI786482 JZD786482:JZE786482 KIZ786482:KJA786482 KSV786482:KSW786482 LCR786482:LCS786482 LMN786482:LMO786482 LWJ786482:LWK786482 MGF786482:MGG786482 MQB786482:MQC786482 MZX786482:MZY786482 NJT786482:NJU786482 NTP786482:NTQ786482 ODL786482:ODM786482 ONH786482:ONI786482 OXD786482:OXE786482 PGZ786482:PHA786482 PQV786482:PQW786482 QAR786482:QAS786482 QKN786482:QKO786482 QUJ786482:QUK786482 REF786482:REG786482 ROB786482:ROC786482 RXX786482:RXY786482 SHT786482:SHU786482 SRP786482:SRQ786482 TBL786482:TBM786482 TLH786482:TLI786482 TVD786482:TVE786482 UEZ786482:UFA786482 UOV786482:UOW786482 UYR786482:UYS786482 VIN786482:VIO786482 VSJ786482:VSK786482 WCF786482:WCG786482 WMB786482:WMC786482 WVX786482:WVY786482 P852017:Q852017 JL852018:JM852018 TH852018:TI852018 ADD852018:ADE852018 AMZ852018:ANA852018 AWV852018:AWW852018 BGR852018:BGS852018 BQN852018:BQO852018 CAJ852018:CAK852018 CKF852018:CKG852018 CUB852018:CUC852018 DDX852018:DDY852018 DNT852018:DNU852018 DXP852018:DXQ852018 EHL852018:EHM852018 ERH852018:ERI852018 FBD852018:FBE852018 FKZ852018:FLA852018 FUV852018:FUW852018 GER852018:GES852018 GON852018:GOO852018 GYJ852018:GYK852018 HIF852018:HIG852018 HSB852018:HSC852018 IBX852018:IBY852018 ILT852018:ILU852018 IVP852018:IVQ852018 JFL852018:JFM852018 JPH852018:JPI852018 JZD852018:JZE852018 KIZ852018:KJA852018 KSV852018:KSW852018 LCR852018:LCS852018 LMN852018:LMO852018 LWJ852018:LWK852018 MGF852018:MGG852018 MQB852018:MQC852018 MZX852018:MZY852018 NJT852018:NJU852018 NTP852018:NTQ852018 ODL852018:ODM852018 ONH852018:ONI852018 OXD852018:OXE852018 PGZ852018:PHA852018 PQV852018:PQW852018 QAR852018:QAS852018 QKN852018:QKO852018 QUJ852018:QUK852018 REF852018:REG852018 ROB852018:ROC852018 RXX852018:RXY852018 SHT852018:SHU852018 SRP852018:SRQ852018 TBL852018:TBM852018 TLH852018:TLI852018 TVD852018:TVE852018 UEZ852018:UFA852018 UOV852018:UOW852018 UYR852018:UYS852018 VIN852018:VIO852018 VSJ852018:VSK852018 WCF852018:WCG852018 WMB852018:WMC852018 WVX852018:WVY852018 P917553:Q917553 JL917554:JM917554 TH917554:TI917554 ADD917554:ADE917554 AMZ917554:ANA917554 AWV917554:AWW917554 BGR917554:BGS917554 BQN917554:BQO917554 CAJ917554:CAK917554 CKF917554:CKG917554 CUB917554:CUC917554 DDX917554:DDY917554 DNT917554:DNU917554 DXP917554:DXQ917554 EHL917554:EHM917554 ERH917554:ERI917554 FBD917554:FBE917554 FKZ917554:FLA917554 FUV917554:FUW917554 GER917554:GES917554 GON917554:GOO917554 GYJ917554:GYK917554 HIF917554:HIG917554 HSB917554:HSC917554 IBX917554:IBY917554 ILT917554:ILU917554 IVP917554:IVQ917554 JFL917554:JFM917554 JPH917554:JPI917554 JZD917554:JZE917554 KIZ917554:KJA917554 KSV917554:KSW917554 LCR917554:LCS917554 LMN917554:LMO917554 LWJ917554:LWK917554 MGF917554:MGG917554 MQB917554:MQC917554 MZX917554:MZY917554 NJT917554:NJU917554 NTP917554:NTQ917554 ODL917554:ODM917554 ONH917554:ONI917554 OXD917554:OXE917554 PGZ917554:PHA917554 PQV917554:PQW917554 QAR917554:QAS917554 QKN917554:QKO917554 QUJ917554:QUK917554 REF917554:REG917554 ROB917554:ROC917554 RXX917554:RXY917554 SHT917554:SHU917554 SRP917554:SRQ917554 TBL917554:TBM917554 TLH917554:TLI917554 TVD917554:TVE917554 UEZ917554:UFA917554 UOV917554:UOW917554 UYR917554:UYS917554 VIN917554:VIO917554 VSJ917554:VSK917554 WCF917554:WCG917554 WMB917554:WMC917554 WVX917554:WVY917554 P983089:Q983089 JL983090:JM983090 TH983090:TI983090 ADD983090:ADE983090 AMZ983090:ANA983090 AWV983090:AWW983090 BGR983090:BGS983090 BQN983090:BQO983090 CAJ983090:CAK983090 CKF983090:CKG983090 CUB983090:CUC983090 DDX983090:DDY983090 DNT983090:DNU983090 DXP983090:DXQ983090 EHL983090:EHM983090 ERH983090:ERI983090 FBD983090:FBE983090 FKZ983090:FLA983090 FUV983090:FUW983090 GER983090:GES983090 GON983090:GOO983090 GYJ983090:GYK983090 HIF983090:HIG983090 HSB983090:HSC983090 IBX983090:IBY983090 ILT983090:ILU983090 IVP983090:IVQ983090 JFL983090:JFM983090 JPH983090:JPI983090 JZD983090:JZE983090 KIZ983090:KJA983090 KSV983090:KSW983090 LCR983090:LCS983090 LMN983090:LMO983090 LWJ983090:LWK983090 MGF983090:MGG983090 MQB983090:MQC983090 MZX983090:MZY983090 NJT983090:NJU983090 NTP983090:NTQ983090 ODL983090:ODM983090 ONH983090:ONI983090 OXD983090:OXE983090 PGZ983090:PHA983090 PQV983090:PQW983090 QAR983090:QAS983090 QKN983090:QKO983090 QUJ983090:QUK983090 REF983090:REG983090 ROB983090:ROC983090 RXX983090:RXY983090 SHT983090:SHU983090 SRP983090:SRQ983090 TBL983090:TBM983090 TLH983090:TLI983090 TVD983090:TVE983090 UEZ983090:UFA983090 UOV983090:UOW983090 UYR983090:UYS983090 VIN983090:VIO983090 VSJ983090:VSK983090 WCF983090:WCG983090 WMB983090:WMC983090 WVX983090:WVY983090 JL59:JM62 TH59:TI62 ADD59:ADE62 AMZ59:ANA62 AWV59:AWW62 BGR59:BGS62 BQN59:BQO62 CAJ59:CAK62 CKF59:CKG62 CUB59:CUC62 DDX59:DDY62 DNT59:DNU62 DXP59:DXQ62 EHL59:EHM62 ERH59:ERI62 FBD59:FBE62 FKZ59:FLA62 FUV59:FUW62 GER59:GES62 GON59:GOO62 GYJ59:GYK62 HIF59:HIG62 HSB59:HSC62 IBX59:IBY62 ILT59:ILU62 IVP59:IVQ62 JFL59:JFM62 JPH59:JPI62 JZD59:JZE62 KIZ59:KJA62 KSV59:KSW62 LCR59:LCS62 LMN59:LMO62 LWJ59:LWK62 MGF59:MGG62 MQB59:MQC62 MZX59:MZY62 NJT59:NJU62 NTP59:NTQ62 ODL59:ODM62 ONH59:ONI62 OXD59:OXE62 PGZ59:PHA62 PQV59:PQW62 QAR59:QAS62 QKN59:QKO62 QUJ59:QUK62 REF59:REG62 ROB59:ROC62 RXX59:RXY62 SHT59:SHU62 SRP59:SRQ62 TBL59:TBM62 TLH59:TLI62 TVD59:TVE62 UEZ59:UFA62 UOV59:UOW62 UYR59:UYS62 VIN59:VIO62 VSJ59:VSK62 WCF59:WCG62 WMB59:WMC62 WVX59:WVY62 P65594:Q65597 JL65595:JM65598 TH65595:TI65598 ADD65595:ADE65598 AMZ65595:ANA65598 AWV65595:AWW65598 BGR65595:BGS65598 BQN65595:BQO65598 CAJ65595:CAK65598 CKF65595:CKG65598 CUB65595:CUC65598 DDX65595:DDY65598 DNT65595:DNU65598 DXP65595:DXQ65598 EHL65595:EHM65598 ERH65595:ERI65598 FBD65595:FBE65598 FKZ65595:FLA65598 FUV65595:FUW65598 GER65595:GES65598 GON65595:GOO65598 GYJ65595:GYK65598 HIF65595:HIG65598 HSB65595:HSC65598 IBX65595:IBY65598 ILT65595:ILU65598 IVP65595:IVQ65598 JFL65595:JFM65598 JPH65595:JPI65598 JZD65595:JZE65598 KIZ65595:KJA65598 KSV65595:KSW65598 LCR65595:LCS65598 LMN65595:LMO65598 LWJ65595:LWK65598 MGF65595:MGG65598 MQB65595:MQC65598 MZX65595:MZY65598 NJT65595:NJU65598 NTP65595:NTQ65598 ODL65595:ODM65598 ONH65595:ONI65598 OXD65595:OXE65598 PGZ65595:PHA65598 PQV65595:PQW65598 QAR65595:QAS65598 QKN65595:QKO65598 QUJ65595:QUK65598 REF65595:REG65598 ROB65595:ROC65598 RXX65595:RXY65598 SHT65595:SHU65598 SRP65595:SRQ65598 TBL65595:TBM65598 TLH65595:TLI65598 TVD65595:TVE65598 UEZ65595:UFA65598 UOV65595:UOW65598 UYR65595:UYS65598 VIN65595:VIO65598 VSJ65595:VSK65598 WCF65595:WCG65598 WMB65595:WMC65598 WVX65595:WVY65598 P131130:Q131133 JL131131:JM131134 TH131131:TI131134 ADD131131:ADE131134 AMZ131131:ANA131134 AWV131131:AWW131134 BGR131131:BGS131134 BQN131131:BQO131134 CAJ131131:CAK131134 CKF131131:CKG131134 CUB131131:CUC131134 DDX131131:DDY131134 DNT131131:DNU131134 DXP131131:DXQ131134 EHL131131:EHM131134 ERH131131:ERI131134 FBD131131:FBE131134 FKZ131131:FLA131134 FUV131131:FUW131134 GER131131:GES131134 GON131131:GOO131134 GYJ131131:GYK131134 HIF131131:HIG131134 HSB131131:HSC131134 IBX131131:IBY131134 ILT131131:ILU131134 IVP131131:IVQ131134 JFL131131:JFM131134 JPH131131:JPI131134 JZD131131:JZE131134 KIZ131131:KJA131134 KSV131131:KSW131134 LCR131131:LCS131134 LMN131131:LMO131134 LWJ131131:LWK131134 MGF131131:MGG131134 MQB131131:MQC131134 MZX131131:MZY131134 NJT131131:NJU131134 NTP131131:NTQ131134 ODL131131:ODM131134 ONH131131:ONI131134 OXD131131:OXE131134 PGZ131131:PHA131134 PQV131131:PQW131134 QAR131131:QAS131134 QKN131131:QKO131134 QUJ131131:QUK131134 REF131131:REG131134 ROB131131:ROC131134 RXX131131:RXY131134 SHT131131:SHU131134 SRP131131:SRQ131134 TBL131131:TBM131134 TLH131131:TLI131134 TVD131131:TVE131134 UEZ131131:UFA131134 UOV131131:UOW131134 UYR131131:UYS131134 VIN131131:VIO131134 VSJ131131:VSK131134 WCF131131:WCG131134 WMB131131:WMC131134 WVX131131:WVY131134 P196666:Q196669 JL196667:JM196670 TH196667:TI196670 ADD196667:ADE196670 AMZ196667:ANA196670 AWV196667:AWW196670 BGR196667:BGS196670 BQN196667:BQO196670 CAJ196667:CAK196670 CKF196667:CKG196670 CUB196667:CUC196670 DDX196667:DDY196670 DNT196667:DNU196670 DXP196667:DXQ196670 EHL196667:EHM196670 ERH196667:ERI196670 FBD196667:FBE196670 FKZ196667:FLA196670 FUV196667:FUW196670 GER196667:GES196670 GON196667:GOO196670 GYJ196667:GYK196670 HIF196667:HIG196670 HSB196667:HSC196670 IBX196667:IBY196670 ILT196667:ILU196670 IVP196667:IVQ196670 JFL196667:JFM196670 JPH196667:JPI196670 JZD196667:JZE196670 KIZ196667:KJA196670 KSV196667:KSW196670 LCR196667:LCS196670 LMN196667:LMO196670 LWJ196667:LWK196670 MGF196667:MGG196670 MQB196667:MQC196670 MZX196667:MZY196670 NJT196667:NJU196670 NTP196667:NTQ196670 ODL196667:ODM196670 ONH196667:ONI196670 OXD196667:OXE196670 PGZ196667:PHA196670 PQV196667:PQW196670 QAR196667:QAS196670 QKN196667:QKO196670 QUJ196667:QUK196670 REF196667:REG196670 ROB196667:ROC196670 RXX196667:RXY196670 SHT196667:SHU196670 SRP196667:SRQ196670 TBL196667:TBM196670 TLH196667:TLI196670 TVD196667:TVE196670 UEZ196667:UFA196670 UOV196667:UOW196670 UYR196667:UYS196670 VIN196667:VIO196670 VSJ196667:VSK196670 WCF196667:WCG196670 WMB196667:WMC196670 WVX196667:WVY196670 P262202:Q262205 JL262203:JM262206 TH262203:TI262206 ADD262203:ADE262206 AMZ262203:ANA262206 AWV262203:AWW262206 BGR262203:BGS262206 BQN262203:BQO262206 CAJ262203:CAK262206 CKF262203:CKG262206 CUB262203:CUC262206 DDX262203:DDY262206 DNT262203:DNU262206 DXP262203:DXQ262206 EHL262203:EHM262206 ERH262203:ERI262206 FBD262203:FBE262206 FKZ262203:FLA262206 FUV262203:FUW262206 GER262203:GES262206 GON262203:GOO262206 GYJ262203:GYK262206 HIF262203:HIG262206 HSB262203:HSC262206 IBX262203:IBY262206 ILT262203:ILU262206 IVP262203:IVQ262206 JFL262203:JFM262206 JPH262203:JPI262206 JZD262203:JZE262206 KIZ262203:KJA262206 KSV262203:KSW262206 LCR262203:LCS262206 LMN262203:LMO262206 LWJ262203:LWK262206 MGF262203:MGG262206 MQB262203:MQC262206 MZX262203:MZY262206 NJT262203:NJU262206 NTP262203:NTQ262206 ODL262203:ODM262206 ONH262203:ONI262206 OXD262203:OXE262206 PGZ262203:PHA262206 PQV262203:PQW262206 QAR262203:QAS262206 QKN262203:QKO262206 QUJ262203:QUK262206 REF262203:REG262206 ROB262203:ROC262206 RXX262203:RXY262206 SHT262203:SHU262206 SRP262203:SRQ262206 TBL262203:TBM262206 TLH262203:TLI262206 TVD262203:TVE262206 UEZ262203:UFA262206 UOV262203:UOW262206 UYR262203:UYS262206 VIN262203:VIO262206 VSJ262203:VSK262206 WCF262203:WCG262206 WMB262203:WMC262206 WVX262203:WVY262206 P327738:Q327741 JL327739:JM327742 TH327739:TI327742 ADD327739:ADE327742 AMZ327739:ANA327742 AWV327739:AWW327742 BGR327739:BGS327742 BQN327739:BQO327742 CAJ327739:CAK327742 CKF327739:CKG327742 CUB327739:CUC327742 DDX327739:DDY327742 DNT327739:DNU327742 DXP327739:DXQ327742 EHL327739:EHM327742 ERH327739:ERI327742 FBD327739:FBE327742 FKZ327739:FLA327742 FUV327739:FUW327742 GER327739:GES327742 GON327739:GOO327742 GYJ327739:GYK327742 HIF327739:HIG327742 HSB327739:HSC327742 IBX327739:IBY327742 ILT327739:ILU327742 IVP327739:IVQ327742 JFL327739:JFM327742 JPH327739:JPI327742 JZD327739:JZE327742 KIZ327739:KJA327742 KSV327739:KSW327742 LCR327739:LCS327742 LMN327739:LMO327742 LWJ327739:LWK327742 MGF327739:MGG327742 MQB327739:MQC327742 MZX327739:MZY327742 NJT327739:NJU327742 NTP327739:NTQ327742 ODL327739:ODM327742 ONH327739:ONI327742 OXD327739:OXE327742 PGZ327739:PHA327742 PQV327739:PQW327742 QAR327739:QAS327742 QKN327739:QKO327742 QUJ327739:QUK327742 REF327739:REG327742 ROB327739:ROC327742 RXX327739:RXY327742 SHT327739:SHU327742 SRP327739:SRQ327742 TBL327739:TBM327742 TLH327739:TLI327742 TVD327739:TVE327742 UEZ327739:UFA327742 UOV327739:UOW327742 UYR327739:UYS327742 VIN327739:VIO327742 VSJ327739:VSK327742 WCF327739:WCG327742 WMB327739:WMC327742 WVX327739:WVY327742 P393274:Q393277 JL393275:JM393278 TH393275:TI393278 ADD393275:ADE393278 AMZ393275:ANA393278 AWV393275:AWW393278 BGR393275:BGS393278 BQN393275:BQO393278 CAJ393275:CAK393278 CKF393275:CKG393278 CUB393275:CUC393278 DDX393275:DDY393278 DNT393275:DNU393278 DXP393275:DXQ393278 EHL393275:EHM393278 ERH393275:ERI393278 FBD393275:FBE393278 FKZ393275:FLA393278 FUV393275:FUW393278 GER393275:GES393278 GON393275:GOO393278 GYJ393275:GYK393278 HIF393275:HIG393278 HSB393275:HSC393278 IBX393275:IBY393278 ILT393275:ILU393278 IVP393275:IVQ393278 JFL393275:JFM393278 JPH393275:JPI393278 JZD393275:JZE393278 KIZ393275:KJA393278 KSV393275:KSW393278 LCR393275:LCS393278 LMN393275:LMO393278 LWJ393275:LWK393278 MGF393275:MGG393278 MQB393275:MQC393278 MZX393275:MZY393278 NJT393275:NJU393278 NTP393275:NTQ393278 ODL393275:ODM393278 ONH393275:ONI393278 OXD393275:OXE393278 PGZ393275:PHA393278 PQV393275:PQW393278 QAR393275:QAS393278 QKN393275:QKO393278 QUJ393275:QUK393278 REF393275:REG393278 ROB393275:ROC393278 RXX393275:RXY393278 SHT393275:SHU393278 SRP393275:SRQ393278 TBL393275:TBM393278 TLH393275:TLI393278 TVD393275:TVE393278 UEZ393275:UFA393278 UOV393275:UOW393278 UYR393275:UYS393278 VIN393275:VIO393278 VSJ393275:VSK393278 WCF393275:WCG393278 WMB393275:WMC393278 WVX393275:WVY393278 P458810:Q458813 JL458811:JM458814 TH458811:TI458814 ADD458811:ADE458814 AMZ458811:ANA458814 AWV458811:AWW458814 BGR458811:BGS458814 BQN458811:BQO458814 CAJ458811:CAK458814 CKF458811:CKG458814 CUB458811:CUC458814 DDX458811:DDY458814 DNT458811:DNU458814 DXP458811:DXQ458814 EHL458811:EHM458814 ERH458811:ERI458814 FBD458811:FBE458814 FKZ458811:FLA458814 FUV458811:FUW458814 GER458811:GES458814 GON458811:GOO458814 GYJ458811:GYK458814 HIF458811:HIG458814 HSB458811:HSC458814 IBX458811:IBY458814 ILT458811:ILU458814 IVP458811:IVQ458814 JFL458811:JFM458814 JPH458811:JPI458814 JZD458811:JZE458814 KIZ458811:KJA458814 KSV458811:KSW458814 LCR458811:LCS458814 LMN458811:LMO458814 LWJ458811:LWK458814 MGF458811:MGG458814 MQB458811:MQC458814 MZX458811:MZY458814 NJT458811:NJU458814 NTP458811:NTQ458814 ODL458811:ODM458814 ONH458811:ONI458814 OXD458811:OXE458814 PGZ458811:PHA458814 PQV458811:PQW458814 QAR458811:QAS458814 QKN458811:QKO458814 QUJ458811:QUK458814 REF458811:REG458814 ROB458811:ROC458814 RXX458811:RXY458814 SHT458811:SHU458814 SRP458811:SRQ458814 TBL458811:TBM458814 TLH458811:TLI458814 TVD458811:TVE458814 UEZ458811:UFA458814 UOV458811:UOW458814 UYR458811:UYS458814 VIN458811:VIO458814 VSJ458811:VSK458814 WCF458811:WCG458814 WMB458811:WMC458814 WVX458811:WVY458814 P524346:Q524349 JL524347:JM524350 TH524347:TI524350 ADD524347:ADE524350 AMZ524347:ANA524350 AWV524347:AWW524350 BGR524347:BGS524350 BQN524347:BQO524350 CAJ524347:CAK524350 CKF524347:CKG524350 CUB524347:CUC524350 DDX524347:DDY524350 DNT524347:DNU524350 DXP524347:DXQ524350 EHL524347:EHM524350 ERH524347:ERI524350 FBD524347:FBE524350 FKZ524347:FLA524350 FUV524347:FUW524350 GER524347:GES524350 GON524347:GOO524350 GYJ524347:GYK524350 HIF524347:HIG524350 HSB524347:HSC524350 IBX524347:IBY524350 ILT524347:ILU524350 IVP524347:IVQ524350 JFL524347:JFM524350 JPH524347:JPI524350 JZD524347:JZE524350 KIZ524347:KJA524350 KSV524347:KSW524350 LCR524347:LCS524350 LMN524347:LMO524350 LWJ524347:LWK524350 MGF524347:MGG524350 MQB524347:MQC524350 MZX524347:MZY524350 NJT524347:NJU524350 NTP524347:NTQ524350 ODL524347:ODM524350 ONH524347:ONI524350 OXD524347:OXE524350 PGZ524347:PHA524350 PQV524347:PQW524350 QAR524347:QAS524350 QKN524347:QKO524350 QUJ524347:QUK524350 REF524347:REG524350 ROB524347:ROC524350 RXX524347:RXY524350 SHT524347:SHU524350 SRP524347:SRQ524350 TBL524347:TBM524350 TLH524347:TLI524350 TVD524347:TVE524350 UEZ524347:UFA524350 UOV524347:UOW524350 UYR524347:UYS524350 VIN524347:VIO524350 VSJ524347:VSK524350 WCF524347:WCG524350 WMB524347:WMC524350 WVX524347:WVY524350 P589882:Q589885 JL589883:JM589886 TH589883:TI589886 ADD589883:ADE589886 AMZ589883:ANA589886 AWV589883:AWW589886 BGR589883:BGS589886 BQN589883:BQO589886 CAJ589883:CAK589886 CKF589883:CKG589886 CUB589883:CUC589886 DDX589883:DDY589886 DNT589883:DNU589886 DXP589883:DXQ589886 EHL589883:EHM589886 ERH589883:ERI589886 FBD589883:FBE589886 FKZ589883:FLA589886 FUV589883:FUW589886 GER589883:GES589886 GON589883:GOO589886 GYJ589883:GYK589886 HIF589883:HIG589886 HSB589883:HSC589886 IBX589883:IBY589886 ILT589883:ILU589886 IVP589883:IVQ589886 JFL589883:JFM589886 JPH589883:JPI589886 JZD589883:JZE589886 KIZ589883:KJA589886 KSV589883:KSW589886 LCR589883:LCS589886 LMN589883:LMO589886 LWJ589883:LWK589886 MGF589883:MGG589886 MQB589883:MQC589886 MZX589883:MZY589886 NJT589883:NJU589886 NTP589883:NTQ589886 ODL589883:ODM589886 ONH589883:ONI589886 OXD589883:OXE589886 PGZ589883:PHA589886 PQV589883:PQW589886 QAR589883:QAS589886 QKN589883:QKO589886 QUJ589883:QUK589886 REF589883:REG589886 ROB589883:ROC589886 RXX589883:RXY589886 SHT589883:SHU589886 SRP589883:SRQ589886 TBL589883:TBM589886 TLH589883:TLI589886 TVD589883:TVE589886 UEZ589883:UFA589886 UOV589883:UOW589886 UYR589883:UYS589886 VIN589883:VIO589886 VSJ589883:VSK589886 WCF589883:WCG589886 WMB589883:WMC589886 WVX589883:WVY589886 P655418:Q655421 JL655419:JM655422 TH655419:TI655422 ADD655419:ADE655422 AMZ655419:ANA655422 AWV655419:AWW655422 BGR655419:BGS655422 BQN655419:BQO655422 CAJ655419:CAK655422 CKF655419:CKG655422 CUB655419:CUC655422 DDX655419:DDY655422 DNT655419:DNU655422 DXP655419:DXQ655422 EHL655419:EHM655422 ERH655419:ERI655422 FBD655419:FBE655422 FKZ655419:FLA655422 FUV655419:FUW655422 GER655419:GES655422 GON655419:GOO655422 GYJ655419:GYK655422 HIF655419:HIG655422 HSB655419:HSC655422 IBX655419:IBY655422 ILT655419:ILU655422 IVP655419:IVQ655422 JFL655419:JFM655422 JPH655419:JPI655422 JZD655419:JZE655422 KIZ655419:KJA655422 KSV655419:KSW655422 LCR655419:LCS655422 LMN655419:LMO655422 LWJ655419:LWK655422 MGF655419:MGG655422 MQB655419:MQC655422 MZX655419:MZY655422 NJT655419:NJU655422 NTP655419:NTQ655422 ODL655419:ODM655422 ONH655419:ONI655422 OXD655419:OXE655422 PGZ655419:PHA655422 PQV655419:PQW655422 QAR655419:QAS655422 QKN655419:QKO655422 QUJ655419:QUK655422 REF655419:REG655422 ROB655419:ROC655422 RXX655419:RXY655422 SHT655419:SHU655422 SRP655419:SRQ655422 TBL655419:TBM655422 TLH655419:TLI655422 TVD655419:TVE655422 UEZ655419:UFA655422 UOV655419:UOW655422 UYR655419:UYS655422 VIN655419:VIO655422 VSJ655419:VSK655422 WCF655419:WCG655422 WMB655419:WMC655422 WVX655419:WVY655422 P720954:Q720957 JL720955:JM720958 TH720955:TI720958 ADD720955:ADE720958 AMZ720955:ANA720958 AWV720955:AWW720958 BGR720955:BGS720958 BQN720955:BQO720958 CAJ720955:CAK720958 CKF720955:CKG720958 CUB720955:CUC720958 DDX720955:DDY720958 DNT720955:DNU720958 DXP720955:DXQ720958 EHL720955:EHM720958 ERH720955:ERI720958 FBD720955:FBE720958 FKZ720955:FLA720958 FUV720955:FUW720958 GER720955:GES720958 GON720955:GOO720958 GYJ720955:GYK720958 HIF720955:HIG720958 HSB720955:HSC720958 IBX720955:IBY720958 ILT720955:ILU720958 IVP720955:IVQ720958 JFL720955:JFM720958 JPH720955:JPI720958 JZD720955:JZE720958 KIZ720955:KJA720958 KSV720955:KSW720958 LCR720955:LCS720958 LMN720955:LMO720958 LWJ720955:LWK720958 MGF720955:MGG720958 MQB720955:MQC720958 MZX720955:MZY720958 NJT720955:NJU720958 NTP720955:NTQ720958 ODL720955:ODM720958 ONH720955:ONI720958 OXD720955:OXE720958 PGZ720955:PHA720958 PQV720955:PQW720958 QAR720955:QAS720958 QKN720955:QKO720958 QUJ720955:QUK720958 REF720955:REG720958 ROB720955:ROC720958 RXX720955:RXY720958 SHT720955:SHU720958 SRP720955:SRQ720958 TBL720955:TBM720958 TLH720955:TLI720958 TVD720955:TVE720958 UEZ720955:UFA720958 UOV720955:UOW720958 UYR720955:UYS720958 VIN720955:VIO720958 VSJ720955:VSK720958 WCF720955:WCG720958 WMB720955:WMC720958 WVX720955:WVY720958 P786490:Q786493 JL786491:JM786494 TH786491:TI786494 ADD786491:ADE786494 AMZ786491:ANA786494 AWV786491:AWW786494 BGR786491:BGS786494 BQN786491:BQO786494 CAJ786491:CAK786494 CKF786491:CKG786494 CUB786491:CUC786494 DDX786491:DDY786494 DNT786491:DNU786494 DXP786491:DXQ786494 EHL786491:EHM786494 ERH786491:ERI786494 FBD786491:FBE786494 FKZ786491:FLA786494 FUV786491:FUW786494 GER786491:GES786494 GON786491:GOO786494 GYJ786491:GYK786494 HIF786491:HIG786494 HSB786491:HSC786494 IBX786491:IBY786494 ILT786491:ILU786494 IVP786491:IVQ786494 JFL786491:JFM786494 JPH786491:JPI786494 JZD786491:JZE786494 KIZ786491:KJA786494 KSV786491:KSW786494 LCR786491:LCS786494 LMN786491:LMO786494 LWJ786491:LWK786494 MGF786491:MGG786494 MQB786491:MQC786494 MZX786491:MZY786494 NJT786491:NJU786494 NTP786491:NTQ786494 ODL786491:ODM786494 ONH786491:ONI786494 OXD786491:OXE786494 PGZ786491:PHA786494 PQV786491:PQW786494 QAR786491:QAS786494 QKN786491:QKO786494 QUJ786491:QUK786494 REF786491:REG786494 ROB786491:ROC786494 RXX786491:RXY786494 SHT786491:SHU786494 SRP786491:SRQ786494 TBL786491:TBM786494 TLH786491:TLI786494 TVD786491:TVE786494 UEZ786491:UFA786494 UOV786491:UOW786494 UYR786491:UYS786494 VIN786491:VIO786494 VSJ786491:VSK786494 WCF786491:WCG786494 WMB786491:WMC786494 WVX786491:WVY786494 P852026:Q852029 JL852027:JM852030 TH852027:TI852030 ADD852027:ADE852030 AMZ852027:ANA852030 AWV852027:AWW852030 BGR852027:BGS852030 BQN852027:BQO852030 CAJ852027:CAK852030 CKF852027:CKG852030 CUB852027:CUC852030 DDX852027:DDY852030 DNT852027:DNU852030 DXP852027:DXQ852030 EHL852027:EHM852030 ERH852027:ERI852030 FBD852027:FBE852030 FKZ852027:FLA852030 FUV852027:FUW852030 GER852027:GES852030 GON852027:GOO852030 GYJ852027:GYK852030 HIF852027:HIG852030 HSB852027:HSC852030 IBX852027:IBY852030 ILT852027:ILU852030 IVP852027:IVQ852030 JFL852027:JFM852030 JPH852027:JPI852030 JZD852027:JZE852030 KIZ852027:KJA852030 KSV852027:KSW852030 LCR852027:LCS852030 LMN852027:LMO852030 LWJ852027:LWK852030 MGF852027:MGG852030 MQB852027:MQC852030 MZX852027:MZY852030 NJT852027:NJU852030 NTP852027:NTQ852030 ODL852027:ODM852030 ONH852027:ONI852030 OXD852027:OXE852030 PGZ852027:PHA852030 PQV852027:PQW852030 QAR852027:QAS852030 QKN852027:QKO852030 QUJ852027:QUK852030 REF852027:REG852030 ROB852027:ROC852030 RXX852027:RXY852030 SHT852027:SHU852030 SRP852027:SRQ852030 TBL852027:TBM852030 TLH852027:TLI852030 TVD852027:TVE852030 UEZ852027:UFA852030 UOV852027:UOW852030 UYR852027:UYS852030 VIN852027:VIO852030 VSJ852027:VSK852030 WCF852027:WCG852030 WMB852027:WMC852030 WVX852027:WVY852030 P917562:Q917565 JL917563:JM917566 TH917563:TI917566 ADD917563:ADE917566 AMZ917563:ANA917566 AWV917563:AWW917566 BGR917563:BGS917566 BQN917563:BQO917566 CAJ917563:CAK917566 CKF917563:CKG917566 CUB917563:CUC917566 DDX917563:DDY917566 DNT917563:DNU917566 DXP917563:DXQ917566 EHL917563:EHM917566 ERH917563:ERI917566 FBD917563:FBE917566 FKZ917563:FLA917566 FUV917563:FUW917566 GER917563:GES917566 GON917563:GOO917566 GYJ917563:GYK917566 HIF917563:HIG917566 HSB917563:HSC917566 IBX917563:IBY917566 ILT917563:ILU917566 IVP917563:IVQ917566 JFL917563:JFM917566 JPH917563:JPI917566 JZD917563:JZE917566 KIZ917563:KJA917566 KSV917563:KSW917566 LCR917563:LCS917566 LMN917563:LMO917566 LWJ917563:LWK917566 MGF917563:MGG917566 MQB917563:MQC917566 MZX917563:MZY917566 NJT917563:NJU917566 NTP917563:NTQ917566 ODL917563:ODM917566 ONH917563:ONI917566 OXD917563:OXE917566 PGZ917563:PHA917566 PQV917563:PQW917566 QAR917563:QAS917566 QKN917563:QKO917566 QUJ917563:QUK917566 REF917563:REG917566 ROB917563:ROC917566 RXX917563:RXY917566 SHT917563:SHU917566 SRP917563:SRQ917566 TBL917563:TBM917566 TLH917563:TLI917566 TVD917563:TVE917566 UEZ917563:UFA917566 UOV917563:UOW917566 UYR917563:UYS917566 VIN917563:VIO917566 VSJ917563:VSK917566 WCF917563:WCG917566 WMB917563:WMC917566 WVX917563:WVY917566 P983098:Q983101 JL983099:JM983102 TH983099:TI983102 ADD983099:ADE983102 AMZ983099:ANA983102 AWV983099:AWW983102 BGR983099:BGS983102 BQN983099:BQO983102 CAJ983099:CAK983102 CKF983099:CKG983102 CUB983099:CUC983102 DDX983099:DDY983102 DNT983099:DNU983102 DXP983099:DXQ983102 EHL983099:EHM983102 ERH983099:ERI983102 FBD983099:FBE983102 FKZ983099:FLA983102 FUV983099:FUW983102 GER983099:GES983102 GON983099:GOO983102 GYJ983099:GYK983102 HIF983099:HIG983102 HSB983099:HSC983102 IBX983099:IBY983102 ILT983099:ILU983102 IVP983099:IVQ983102 JFL983099:JFM983102 JPH983099:JPI983102 JZD983099:JZE983102 KIZ983099:KJA983102 KSV983099:KSW983102 LCR983099:LCS983102 LMN983099:LMO983102 LWJ983099:LWK983102 MGF983099:MGG983102 MQB983099:MQC983102 MZX983099:MZY983102 NJT983099:NJU983102 NTP983099:NTQ983102 ODL983099:ODM983102 ONH983099:ONI983102 OXD983099:OXE983102 PGZ983099:PHA983102 PQV983099:PQW983102 QAR983099:QAS983102 QKN983099:QKO983102 QUJ983099:QUK983102 REF983099:REG983102 ROB983099:ROC983102 RXX983099:RXY983102 SHT983099:SHU983102 SRP983099:SRQ983102 TBL983099:TBM983102 TLH983099:TLI983102 TVD983099:TVE983102 UEZ983099:UFA983102 UOV983099:UOW983102 UYR983099:UYS983102 VIN983099:VIO983102 VSJ983099:VSK983102 WCF983099:WCG983102 WMB983099:WMC983102 WVX983099:WVY983102 P52:Q57 JL52:JM57 TH52:TI57 ADD52:ADE57 AMZ52:ANA57 AWV52:AWW57 BGR52:BGS57 BQN52:BQO57 CAJ52:CAK57 CKF52:CKG57 CUB52:CUC57 DDX52:DDY57 DNT52:DNU57 DXP52:DXQ57 EHL52:EHM57 ERH52:ERI57 FBD52:FBE57 FKZ52:FLA57 FUV52:FUW57 GER52:GES57 GON52:GOO57 GYJ52:GYK57 HIF52:HIG57 HSB52:HSC57 IBX52:IBY57 ILT52:ILU57 IVP52:IVQ57 JFL52:JFM57 JPH52:JPI57 JZD52:JZE57 KIZ52:KJA57 KSV52:KSW57 LCR52:LCS57 LMN52:LMO57 LWJ52:LWK57 MGF52:MGG57 MQB52:MQC57 MZX52:MZY57 NJT52:NJU57 NTP52:NTQ57 ODL52:ODM57 ONH52:ONI57 OXD52:OXE57 PGZ52:PHA57 PQV52:PQW57 QAR52:QAS57 QKN52:QKO57 QUJ52:QUK57 REF52:REG57 ROB52:ROC57 RXX52:RXY57 SHT52:SHU57 SRP52:SRQ57 TBL52:TBM57 TLH52:TLI57 TVD52:TVE57 UEZ52:UFA57 UOV52:UOW57 UYR52:UYS57 VIN52:VIO57 VSJ52:VSK57 WCF52:WCG57 WMB52:WMC57 WVX52:WVY57 P65587:Q65592 JL65588:JM65593 TH65588:TI65593 ADD65588:ADE65593 AMZ65588:ANA65593 AWV65588:AWW65593 BGR65588:BGS65593 BQN65588:BQO65593 CAJ65588:CAK65593 CKF65588:CKG65593 CUB65588:CUC65593 DDX65588:DDY65593 DNT65588:DNU65593 DXP65588:DXQ65593 EHL65588:EHM65593 ERH65588:ERI65593 FBD65588:FBE65593 FKZ65588:FLA65593 FUV65588:FUW65593 GER65588:GES65593 GON65588:GOO65593 GYJ65588:GYK65593 HIF65588:HIG65593 HSB65588:HSC65593 IBX65588:IBY65593 ILT65588:ILU65593 IVP65588:IVQ65593 JFL65588:JFM65593 JPH65588:JPI65593 JZD65588:JZE65593 KIZ65588:KJA65593 KSV65588:KSW65593 LCR65588:LCS65593 LMN65588:LMO65593 LWJ65588:LWK65593 MGF65588:MGG65593 MQB65588:MQC65593 MZX65588:MZY65593 NJT65588:NJU65593 NTP65588:NTQ65593 ODL65588:ODM65593 ONH65588:ONI65593 OXD65588:OXE65593 PGZ65588:PHA65593 PQV65588:PQW65593 QAR65588:QAS65593 QKN65588:QKO65593 QUJ65588:QUK65593 REF65588:REG65593 ROB65588:ROC65593 RXX65588:RXY65593 SHT65588:SHU65593 SRP65588:SRQ65593 TBL65588:TBM65593 TLH65588:TLI65593 TVD65588:TVE65593 UEZ65588:UFA65593 UOV65588:UOW65593 UYR65588:UYS65593 VIN65588:VIO65593 VSJ65588:VSK65593 WCF65588:WCG65593 WMB65588:WMC65593 WVX65588:WVY65593 P131123:Q131128 JL131124:JM131129 TH131124:TI131129 ADD131124:ADE131129 AMZ131124:ANA131129 AWV131124:AWW131129 BGR131124:BGS131129 BQN131124:BQO131129 CAJ131124:CAK131129 CKF131124:CKG131129 CUB131124:CUC131129 DDX131124:DDY131129 DNT131124:DNU131129 DXP131124:DXQ131129 EHL131124:EHM131129 ERH131124:ERI131129 FBD131124:FBE131129 FKZ131124:FLA131129 FUV131124:FUW131129 GER131124:GES131129 GON131124:GOO131129 GYJ131124:GYK131129 HIF131124:HIG131129 HSB131124:HSC131129 IBX131124:IBY131129 ILT131124:ILU131129 IVP131124:IVQ131129 JFL131124:JFM131129 JPH131124:JPI131129 JZD131124:JZE131129 KIZ131124:KJA131129 KSV131124:KSW131129 LCR131124:LCS131129 LMN131124:LMO131129 LWJ131124:LWK131129 MGF131124:MGG131129 MQB131124:MQC131129 MZX131124:MZY131129 NJT131124:NJU131129 NTP131124:NTQ131129 ODL131124:ODM131129 ONH131124:ONI131129 OXD131124:OXE131129 PGZ131124:PHA131129 PQV131124:PQW131129 QAR131124:QAS131129 QKN131124:QKO131129 QUJ131124:QUK131129 REF131124:REG131129 ROB131124:ROC131129 RXX131124:RXY131129 SHT131124:SHU131129 SRP131124:SRQ131129 TBL131124:TBM131129 TLH131124:TLI131129 TVD131124:TVE131129 UEZ131124:UFA131129 UOV131124:UOW131129 UYR131124:UYS131129 VIN131124:VIO131129 VSJ131124:VSK131129 WCF131124:WCG131129 WMB131124:WMC131129 WVX131124:WVY131129 P196659:Q196664 JL196660:JM196665 TH196660:TI196665 ADD196660:ADE196665 AMZ196660:ANA196665 AWV196660:AWW196665 BGR196660:BGS196665 BQN196660:BQO196665 CAJ196660:CAK196665 CKF196660:CKG196665 CUB196660:CUC196665 DDX196660:DDY196665 DNT196660:DNU196665 DXP196660:DXQ196665 EHL196660:EHM196665 ERH196660:ERI196665 FBD196660:FBE196665 FKZ196660:FLA196665 FUV196660:FUW196665 GER196660:GES196665 GON196660:GOO196665 GYJ196660:GYK196665 HIF196660:HIG196665 HSB196660:HSC196665 IBX196660:IBY196665 ILT196660:ILU196665 IVP196660:IVQ196665 JFL196660:JFM196665 JPH196660:JPI196665 JZD196660:JZE196665 KIZ196660:KJA196665 KSV196660:KSW196665 LCR196660:LCS196665 LMN196660:LMO196665 LWJ196660:LWK196665 MGF196660:MGG196665 MQB196660:MQC196665 MZX196660:MZY196665 NJT196660:NJU196665 NTP196660:NTQ196665 ODL196660:ODM196665 ONH196660:ONI196665 OXD196660:OXE196665 PGZ196660:PHA196665 PQV196660:PQW196665 QAR196660:QAS196665 QKN196660:QKO196665 QUJ196660:QUK196665 REF196660:REG196665 ROB196660:ROC196665 RXX196660:RXY196665 SHT196660:SHU196665 SRP196660:SRQ196665 TBL196660:TBM196665 TLH196660:TLI196665 TVD196660:TVE196665 UEZ196660:UFA196665 UOV196660:UOW196665 UYR196660:UYS196665 VIN196660:VIO196665 VSJ196660:VSK196665 WCF196660:WCG196665 WMB196660:WMC196665 WVX196660:WVY196665 P262195:Q262200 JL262196:JM262201 TH262196:TI262201 ADD262196:ADE262201 AMZ262196:ANA262201 AWV262196:AWW262201 BGR262196:BGS262201 BQN262196:BQO262201 CAJ262196:CAK262201 CKF262196:CKG262201 CUB262196:CUC262201 DDX262196:DDY262201 DNT262196:DNU262201 DXP262196:DXQ262201 EHL262196:EHM262201 ERH262196:ERI262201 FBD262196:FBE262201 FKZ262196:FLA262201 FUV262196:FUW262201 GER262196:GES262201 GON262196:GOO262201 GYJ262196:GYK262201 HIF262196:HIG262201 HSB262196:HSC262201 IBX262196:IBY262201 ILT262196:ILU262201 IVP262196:IVQ262201 JFL262196:JFM262201 JPH262196:JPI262201 JZD262196:JZE262201 KIZ262196:KJA262201 KSV262196:KSW262201 LCR262196:LCS262201 LMN262196:LMO262201 LWJ262196:LWK262201 MGF262196:MGG262201 MQB262196:MQC262201 MZX262196:MZY262201 NJT262196:NJU262201 NTP262196:NTQ262201 ODL262196:ODM262201 ONH262196:ONI262201 OXD262196:OXE262201 PGZ262196:PHA262201 PQV262196:PQW262201 QAR262196:QAS262201 QKN262196:QKO262201 QUJ262196:QUK262201 REF262196:REG262201 ROB262196:ROC262201 RXX262196:RXY262201 SHT262196:SHU262201 SRP262196:SRQ262201 TBL262196:TBM262201 TLH262196:TLI262201 TVD262196:TVE262201 UEZ262196:UFA262201 UOV262196:UOW262201 UYR262196:UYS262201 VIN262196:VIO262201 VSJ262196:VSK262201 WCF262196:WCG262201 WMB262196:WMC262201 WVX262196:WVY262201 P327731:Q327736 JL327732:JM327737 TH327732:TI327737 ADD327732:ADE327737 AMZ327732:ANA327737 AWV327732:AWW327737 BGR327732:BGS327737 BQN327732:BQO327737 CAJ327732:CAK327737 CKF327732:CKG327737 CUB327732:CUC327737 DDX327732:DDY327737 DNT327732:DNU327737 DXP327732:DXQ327737 EHL327732:EHM327737 ERH327732:ERI327737 FBD327732:FBE327737 FKZ327732:FLA327737 FUV327732:FUW327737 GER327732:GES327737 GON327732:GOO327737 GYJ327732:GYK327737 HIF327732:HIG327737 HSB327732:HSC327737 IBX327732:IBY327737 ILT327732:ILU327737 IVP327732:IVQ327737 JFL327732:JFM327737 JPH327732:JPI327737 JZD327732:JZE327737 KIZ327732:KJA327737 KSV327732:KSW327737 LCR327732:LCS327737 LMN327732:LMO327737 LWJ327732:LWK327737 MGF327732:MGG327737 MQB327732:MQC327737 MZX327732:MZY327737 NJT327732:NJU327737 NTP327732:NTQ327737 ODL327732:ODM327737 ONH327732:ONI327737 OXD327732:OXE327737 PGZ327732:PHA327737 PQV327732:PQW327737 QAR327732:QAS327737 QKN327732:QKO327737 QUJ327732:QUK327737 REF327732:REG327737 ROB327732:ROC327737 RXX327732:RXY327737 SHT327732:SHU327737 SRP327732:SRQ327737 TBL327732:TBM327737 TLH327732:TLI327737 TVD327732:TVE327737 UEZ327732:UFA327737 UOV327732:UOW327737 UYR327732:UYS327737 VIN327732:VIO327737 VSJ327732:VSK327737 WCF327732:WCG327737 WMB327732:WMC327737 WVX327732:WVY327737 P393267:Q393272 JL393268:JM393273 TH393268:TI393273 ADD393268:ADE393273 AMZ393268:ANA393273 AWV393268:AWW393273 BGR393268:BGS393273 BQN393268:BQO393273 CAJ393268:CAK393273 CKF393268:CKG393273 CUB393268:CUC393273 DDX393268:DDY393273 DNT393268:DNU393273 DXP393268:DXQ393273 EHL393268:EHM393273 ERH393268:ERI393273 FBD393268:FBE393273 FKZ393268:FLA393273 FUV393268:FUW393273 GER393268:GES393273 GON393268:GOO393273 GYJ393268:GYK393273 HIF393268:HIG393273 HSB393268:HSC393273 IBX393268:IBY393273 ILT393268:ILU393273 IVP393268:IVQ393273 JFL393268:JFM393273 JPH393268:JPI393273 JZD393268:JZE393273 KIZ393268:KJA393273 KSV393268:KSW393273 LCR393268:LCS393273 LMN393268:LMO393273 LWJ393268:LWK393273 MGF393268:MGG393273 MQB393268:MQC393273 MZX393268:MZY393273 NJT393268:NJU393273 NTP393268:NTQ393273 ODL393268:ODM393273 ONH393268:ONI393273 OXD393268:OXE393273 PGZ393268:PHA393273 PQV393268:PQW393273 QAR393268:QAS393273 QKN393268:QKO393273 QUJ393268:QUK393273 REF393268:REG393273 ROB393268:ROC393273 RXX393268:RXY393273 SHT393268:SHU393273 SRP393268:SRQ393273 TBL393268:TBM393273 TLH393268:TLI393273 TVD393268:TVE393273 UEZ393268:UFA393273 UOV393268:UOW393273 UYR393268:UYS393273 VIN393268:VIO393273 VSJ393268:VSK393273 WCF393268:WCG393273 WMB393268:WMC393273 WVX393268:WVY393273 P458803:Q458808 JL458804:JM458809 TH458804:TI458809 ADD458804:ADE458809 AMZ458804:ANA458809 AWV458804:AWW458809 BGR458804:BGS458809 BQN458804:BQO458809 CAJ458804:CAK458809 CKF458804:CKG458809 CUB458804:CUC458809 DDX458804:DDY458809 DNT458804:DNU458809 DXP458804:DXQ458809 EHL458804:EHM458809 ERH458804:ERI458809 FBD458804:FBE458809 FKZ458804:FLA458809 FUV458804:FUW458809 GER458804:GES458809 GON458804:GOO458809 GYJ458804:GYK458809 HIF458804:HIG458809 HSB458804:HSC458809 IBX458804:IBY458809 ILT458804:ILU458809 IVP458804:IVQ458809 JFL458804:JFM458809 JPH458804:JPI458809 JZD458804:JZE458809 KIZ458804:KJA458809 KSV458804:KSW458809 LCR458804:LCS458809 LMN458804:LMO458809 LWJ458804:LWK458809 MGF458804:MGG458809 MQB458804:MQC458809 MZX458804:MZY458809 NJT458804:NJU458809 NTP458804:NTQ458809 ODL458804:ODM458809 ONH458804:ONI458809 OXD458804:OXE458809 PGZ458804:PHA458809 PQV458804:PQW458809 QAR458804:QAS458809 QKN458804:QKO458809 QUJ458804:QUK458809 REF458804:REG458809 ROB458804:ROC458809 RXX458804:RXY458809 SHT458804:SHU458809 SRP458804:SRQ458809 TBL458804:TBM458809 TLH458804:TLI458809 TVD458804:TVE458809 UEZ458804:UFA458809 UOV458804:UOW458809 UYR458804:UYS458809 VIN458804:VIO458809 VSJ458804:VSK458809 WCF458804:WCG458809 WMB458804:WMC458809 WVX458804:WVY458809 P524339:Q524344 JL524340:JM524345 TH524340:TI524345 ADD524340:ADE524345 AMZ524340:ANA524345 AWV524340:AWW524345 BGR524340:BGS524345 BQN524340:BQO524345 CAJ524340:CAK524345 CKF524340:CKG524345 CUB524340:CUC524345 DDX524340:DDY524345 DNT524340:DNU524345 DXP524340:DXQ524345 EHL524340:EHM524345 ERH524340:ERI524345 FBD524340:FBE524345 FKZ524340:FLA524345 FUV524340:FUW524345 GER524340:GES524345 GON524340:GOO524345 GYJ524340:GYK524345 HIF524340:HIG524345 HSB524340:HSC524345 IBX524340:IBY524345 ILT524340:ILU524345 IVP524340:IVQ524345 JFL524340:JFM524345 JPH524340:JPI524345 JZD524340:JZE524345 KIZ524340:KJA524345 KSV524340:KSW524345 LCR524340:LCS524345 LMN524340:LMO524345 LWJ524340:LWK524345 MGF524340:MGG524345 MQB524340:MQC524345 MZX524340:MZY524345 NJT524340:NJU524345 NTP524340:NTQ524345 ODL524340:ODM524345 ONH524340:ONI524345 OXD524340:OXE524345 PGZ524340:PHA524345 PQV524340:PQW524345 QAR524340:QAS524345 QKN524340:QKO524345 QUJ524340:QUK524345 REF524340:REG524345 ROB524340:ROC524345 RXX524340:RXY524345 SHT524340:SHU524345 SRP524340:SRQ524345 TBL524340:TBM524345 TLH524340:TLI524345 TVD524340:TVE524345 UEZ524340:UFA524345 UOV524340:UOW524345 UYR524340:UYS524345 VIN524340:VIO524345 VSJ524340:VSK524345 WCF524340:WCG524345 WMB524340:WMC524345 WVX524340:WVY524345 P589875:Q589880 JL589876:JM589881 TH589876:TI589881 ADD589876:ADE589881 AMZ589876:ANA589881 AWV589876:AWW589881 BGR589876:BGS589881 BQN589876:BQO589881 CAJ589876:CAK589881 CKF589876:CKG589881 CUB589876:CUC589881 DDX589876:DDY589881 DNT589876:DNU589881 DXP589876:DXQ589881 EHL589876:EHM589881 ERH589876:ERI589881 FBD589876:FBE589881 FKZ589876:FLA589881 FUV589876:FUW589881 GER589876:GES589881 GON589876:GOO589881 GYJ589876:GYK589881 HIF589876:HIG589881 HSB589876:HSC589881 IBX589876:IBY589881 ILT589876:ILU589881 IVP589876:IVQ589881 JFL589876:JFM589881 JPH589876:JPI589881 JZD589876:JZE589881 KIZ589876:KJA589881 KSV589876:KSW589881 LCR589876:LCS589881 LMN589876:LMO589881 LWJ589876:LWK589881 MGF589876:MGG589881 MQB589876:MQC589881 MZX589876:MZY589881 NJT589876:NJU589881 NTP589876:NTQ589881 ODL589876:ODM589881 ONH589876:ONI589881 OXD589876:OXE589881 PGZ589876:PHA589881 PQV589876:PQW589881 QAR589876:QAS589881 QKN589876:QKO589881 QUJ589876:QUK589881 REF589876:REG589881 ROB589876:ROC589881 RXX589876:RXY589881 SHT589876:SHU589881 SRP589876:SRQ589881 TBL589876:TBM589881 TLH589876:TLI589881 TVD589876:TVE589881 UEZ589876:UFA589881 UOV589876:UOW589881 UYR589876:UYS589881 VIN589876:VIO589881 VSJ589876:VSK589881 WCF589876:WCG589881 WMB589876:WMC589881 WVX589876:WVY589881 P655411:Q655416 JL655412:JM655417 TH655412:TI655417 ADD655412:ADE655417 AMZ655412:ANA655417 AWV655412:AWW655417 BGR655412:BGS655417 BQN655412:BQO655417 CAJ655412:CAK655417 CKF655412:CKG655417 CUB655412:CUC655417 DDX655412:DDY655417 DNT655412:DNU655417 DXP655412:DXQ655417 EHL655412:EHM655417 ERH655412:ERI655417 FBD655412:FBE655417 FKZ655412:FLA655417 FUV655412:FUW655417 GER655412:GES655417 GON655412:GOO655417 GYJ655412:GYK655417 HIF655412:HIG655417 HSB655412:HSC655417 IBX655412:IBY655417 ILT655412:ILU655417 IVP655412:IVQ655417 JFL655412:JFM655417 JPH655412:JPI655417 JZD655412:JZE655417 KIZ655412:KJA655417 KSV655412:KSW655417 LCR655412:LCS655417 LMN655412:LMO655417 LWJ655412:LWK655417 MGF655412:MGG655417 MQB655412:MQC655417 MZX655412:MZY655417 NJT655412:NJU655417 NTP655412:NTQ655417 ODL655412:ODM655417 ONH655412:ONI655417 OXD655412:OXE655417 PGZ655412:PHA655417 PQV655412:PQW655417 QAR655412:QAS655417 QKN655412:QKO655417 QUJ655412:QUK655417 REF655412:REG655417 ROB655412:ROC655417 RXX655412:RXY655417 SHT655412:SHU655417 SRP655412:SRQ655417 TBL655412:TBM655417 TLH655412:TLI655417 TVD655412:TVE655417 UEZ655412:UFA655417 UOV655412:UOW655417 UYR655412:UYS655417 VIN655412:VIO655417 VSJ655412:VSK655417 WCF655412:WCG655417 WMB655412:WMC655417 WVX655412:WVY655417 P720947:Q720952 JL720948:JM720953 TH720948:TI720953 ADD720948:ADE720953 AMZ720948:ANA720953 AWV720948:AWW720953 BGR720948:BGS720953 BQN720948:BQO720953 CAJ720948:CAK720953 CKF720948:CKG720953 CUB720948:CUC720953 DDX720948:DDY720953 DNT720948:DNU720953 DXP720948:DXQ720953 EHL720948:EHM720953 ERH720948:ERI720953 FBD720948:FBE720953 FKZ720948:FLA720953 FUV720948:FUW720953 GER720948:GES720953 GON720948:GOO720953 GYJ720948:GYK720953 HIF720948:HIG720953 HSB720948:HSC720953 IBX720948:IBY720953 ILT720948:ILU720953 IVP720948:IVQ720953 JFL720948:JFM720953 JPH720948:JPI720953 JZD720948:JZE720953 KIZ720948:KJA720953 KSV720948:KSW720953 LCR720948:LCS720953 LMN720948:LMO720953 LWJ720948:LWK720953 MGF720948:MGG720953 MQB720948:MQC720953 MZX720948:MZY720953 NJT720948:NJU720953 NTP720948:NTQ720953 ODL720948:ODM720953 ONH720948:ONI720953 OXD720948:OXE720953 PGZ720948:PHA720953 PQV720948:PQW720953 QAR720948:QAS720953 QKN720948:QKO720953 QUJ720948:QUK720953 REF720948:REG720953 ROB720948:ROC720953 RXX720948:RXY720953 SHT720948:SHU720953 SRP720948:SRQ720953 TBL720948:TBM720953 TLH720948:TLI720953 TVD720948:TVE720953 UEZ720948:UFA720953 UOV720948:UOW720953 UYR720948:UYS720953 VIN720948:VIO720953 VSJ720948:VSK720953 WCF720948:WCG720953 WMB720948:WMC720953 WVX720948:WVY720953 P786483:Q786488 JL786484:JM786489 TH786484:TI786489 ADD786484:ADE786489 AMZ786484:ANA786489 AWV786484:AWW786489 BGR786484:BGS786489 BQN786484:BQO786489 CAJ786484:CAK786489 CKF786484:CKG786489 CUB786484:CUC786489 DDX786484:DDY786489 DNT786484:DNU786489 DXP786484:DXQ786489 EHL786484:EHM786489 ERH786484:ERI786489 FBD786484:FBE786489 FKZ786484:FLA786489 FUV786484:FUW786489 GER786484:GES786489 GON786484:GOO786489 GYJ786484:GYK786489 HIF786484:HIG786489 HSB786484:HSC786489 IBX786484:IBY786489 ILT786484:ILU786489 IVP786484:IVQ786489 JFL786484:JFM786489 JPH786484:JPI786489 JZD786484:JZE786489 KIZ786484:KJA786489 KSV786484:KSW786489 LCR786484:LCS786489 LMN786484:LMO786489 LWJ786484:LWK786489 MGF786484:MGG786489 MQB786484:MQC786489 MZX786484:MZY786489 NJT786484:NJU786489 NTP786484:NTQ786489 ODL786484:ODM786489 ONH786484:ONI786489 OXD786484:OXE786489 PGZ786484:PHA786489 PQV786484:PQW786489 QAR786484:QAS786489 QKN786484:QKO786489 QUJ786484:QUK786489 REF786484:REG786489 ROB786484:ROC786489 RXX786484:RXY786489 SHT786484:SHU786489 SRP786484:SRQ786489 TBL786484:TBM786489 TLH786484:TLI786489 TVD786484:TVE786489 UEZ786484:UFA786489 UOV786484:UOW786489 UYR786484:UYS786489 VIN786484:VIO786489 VSJ786484:VSK786489 WCF786484:WCG786489 WMB786484:WMC786489 WVX786484:WVY786489 P852019:Q852024 JL852020:JM852025 TH852020:TI852025 ADD852020:ADE852025 AMZ852020:ANA852025 AWV852020:AWW852025 BGR852020:BGS852025 BQN852020:BQO852025 CAJ852020:CAK852025 CKF852020:CKG852025 CUB852020:CUC852025 DDX852020:DDY852025 DNT852020:DNU852025 DXP852020:DXQ852025 EHL852020:EHM852025 ERH852020:ERI852025 FBD852020:FBE852025 FKZ852020:FLA852025 FUV852020:FUW852025 GER852020:GES852025 GON852020:GOO852025 GYJ852020:GYK852025 HIF852020:HIG852025 HSB852020:HSC852025 IBX852020:IBY852025 ILT852020:ILU852025 IVP852020:IVQ852025 JFL852020:JFM852025 JPH852020:JPI852025 JZD852020:JZE852025 KIZ852020:KJA852025 KSV852020:KSW852025 LCR852020:LCS852025 LMN852020:LMO852025 LWJ852020:LWK852025 MGF852020:MGG852025 MQB852020:MQC852025 MZX852020:MZY852025 NJT852020:NJU852025 NTP852020:NTQ852025 ODL852020:ODM852025 ONH852020:ONI852025 OXD852020:OXE852025 PGZ852020:PHA852025 PQV852020:PQW852025 QAR852020:QAS852025 QKN852020:QKO852025 QUJ852020:QUK852025 REF852020:REG852025 ROB852020:ROC852025 RXX852020:RXY852025 SHT852020:SHU852025 SRP852020:SRQ852025 TBL852020:TBM852025 TLH852020:TLI852025 TVD852020:TVE852025 UEZ852020:UFA852025 UOV852020:UOW852025 UYR852020:UYS852025 VIN852020:VIO852025 VSJ852020:VSK852025 WCF852020:WCG852025 WMB852020:WMC852025 WVX852020:WVY852025 P917555:Q917560 JL917556:JM917561 TH917556:TI917561 ADD917556:ADE917561 AMZ917556:ANA917561 AWV917556:AWW917561 BGR917556:BGS917561 BQN917556:BQO917561 CAJ917556:CAK917561 CKF917556:CKG917561 CUB917556:CUC917561 DDX917556:DDY917561 DNT917556:DNU917561 DXP917556:DXQ917561 EHL917556:EHM917561 ERH917556:ERI917561 FBD917556:FBE917561 FKZ917556:FLA917561 FUV917556:FUW917561 GER917556:GES917561 GON917556:GOO917561 GYJ917556:GYK917561 HIF917556:HIG917561 HSB917556:HSC917561 IBX917556:IBY917561 ILT917556:ILU917561 IVP917556:IVQ917561 JFL917556:JFM917561 JPH917556:JPI917561 JZD917556:JZE917561 KIZ917556:KJA917561 KSV917556:KSW917561 LCR917556:LCS917561 LMN917556:LMO917561 LWJ917556:LWK917561 MGF917556:MGG917561 MQB917556:MQC917561 MZX917556:MZY917561 NJT917556:NJU917561 NTP917556:NTQ917561 ODL917556:ODM917561 ONH917556:ONI917561 OXD917556:OXE917561 PGZ917556:PHA917561 PQV917556:PQW917561 QAR917556:QAS917561 QKN917556:QKO917561 QUJ917556:QUK917561 REF917556:REG917561 ROB917556:ROC917561 RXX917556:RXY917561 SHT917556:SHU917561 SRP917556:SRQ917561 TBL917556:TBM917561 TLH917556:TLI917561 TVD917556:TVE917561 UEZ917556:UFA917561 UOV917556:UOW917561 UYR917556:UYS917561 VIN917556:VIO917561 VSJ917556:VSK917561 WCF917556:WCG917561 WMB917556:WMC917561 WVX917556:WVY917561 P983091:Q983096 JL983092:JM983097 TH983092:TI983097 ADD983092:ADE983097 AMZ983092:ANA983097 AWV983092:AWW983097 BGR983092:BGS983097 BQN983092:BQO983097 CAJ983092:CAK983097 CKF983092:CKG983097 CUB983092:CUC983097 DDX983092:DDY983097 DNT983092:DNU983097 DXP983092:DXQ983097 EHL983092:EHM983097 ERH983092:ERI983097 FBD983092:FBE983097 FKZ983092:FLA983097 FUV983092:FUW983097 GER983092:GES983097 GON983092:GOO983097 GYJ983092:GYK983097 HIF983092:HIG983097 HSB983092:HSC983097 IBX983092:IBY983097 ILT983092:ILU983097 IVP983092:IVQ983097 JFL983092:JFM983097 JPH983092:JPI983097 JZD983092:JZE983097 KIZ983092:KJA983097 KSV983092:KSW983097 LCR983092:LCS983097 LMN983092:LMO983097 LWJ983092:LWK983097 MGF983092:MGG983097 MQB983092:MQC983097 MZX983092:MZY983097 NJT983092:NJU983097 NTP983092:NTQ983097 ODL983092:ODM983097 ONH983092:ONI983097 OXD983092:OXE983097 PGZ983092:PHA983097 PQV983092:PQW983097 QAR983092:QAS983097 QKN983092:QKO983097 QUJ983092:QUK983097 REF983092:REG983097 ROB983092:ROC983097 RXX983092:RXY983097 SHT983092:SHU983097 SRP983092:SRQ983097 TBL983092:TBM983097 TLH983092:TLI983097 TVD983092:TVE983097 UEZ983092:UFA983097 UOV983092:UOW983097 UYR983092:UYS983097 VIN983092:VIO983097 VSJ983092:VSK983097 WCF983092:WCG983097 WMB983092:WMC983097 WVX983092:WVY983097 Q68:Q71 JM69:JM72 TI69:TI72 ADE69:ADE72 ANA69:ANA72 AWW69:AWW72 BGS69:BGS72 BQO69:BQO72 CAK69:CAK72 CKG69:CKG72 CUC69:CUC72 DDY69:DDY72 DNU69:DNU72 DXQ69:DXQ72 EHM69:EHM72 ERI69:ERI72 FBE69:FBE72 FLA69:FLA72 FUW69:FUW72 GES69:GES72 GOO69:GOO72 GYK69:GYK72 HIG69:HIG72 HSC69:HSC72 IBY69:IBY72 ILU69:ILU72 IVQ69:IVQ72 JFM69:JFM72 JPI69:JPI72 JZE69:JZE72 KJA69:KJA72 KSW69:KSW72 LCS69:LCS72 LMO69:LMO72 LWK69:LWK72 MGG69:MGG72 MQC69:MQC72 MZY69:MZY72 NJU69:NJU72 NTQ69:NTQ72 ODM69:ODM72 ONI69:ONI72 OXE69:OXE72 PHA69:PHA72 PQW69:PQW72 QAS69:QAS72 QKO69:QKO72 QUK69:QUK72 REG69:REG72 ROC69:ROC72 RXY69:RXY72 SHU69:SHU72 SRQ69:SRQ72 TBM69:TBM72 TLI69:TLI72 TVE69:TVE72 UFA69:UFA72 UOW69:UOW72 UYS69:UYS72 VIO69:VIO72 VSK69:VSK72 WCG69:WCG72 WMC69:WMC72 WVY69:WVY72 Q65604:Q65607 JM65605:JM65608 TI65605:TI65608 ADE65605:ADE65608 ANA65605:ANA65608 AWW65605:AWW65608 BGS65605:BGS65608 BQO65605:BQO65608 CAK65605:CAK65608 CKG65605:CKG65608 CUC65605:CUC65608 DDY65605:DDY65608 DNU65605:DNU65608 DXQ65605:DXQ65608 EHM65605:EHM65608 ERI65605:ERI65608 FBE65605:FBE65608 FLA65605:FLA65608 FUW65605:FUW65608 GES65605:GES65608 GOO65605:GOO65608 GYK65605:GYK65608 HIG65605:HIG65608 HSC65605:HSC65608 IBY65605:IBY65608 ILU65605:ILU65608 IVQ65605:IVQ65608 JFM65605:JFM65608 JPI65605:JPI65608 JZE65605:JZE65608 KJA65605:KJA65608 KSW65605:KSW65608 LCS65605:LCS65608 LMO65605:LMO65608 LWK65605:LWK65608 MGG65605:MGG65608 MQC65605:MQC65608 MZY65605:MZY65608 NJU65605:NJU65608 NTQ65605:NTQ65608 ODM65605:ODM65608 ONI65605:ONI65608 OXE65605:OXE65608 PHA65605:PHA65608 PQW65605:PQW65608 QAS65605:QAS65608 QKO65605:QKO65608 QUK65605:QUK65608 REG65605:REG65608 ROC65605:ROC65608 RXY65605:RXY65608 SHU65605:SHU65608 SRQ65605:SRQ65608 TBM65605:TBM65608 TLI65605:TLI65608 TVE65605:TVE65608 UFA65605:UFA65608 UOW65605:UOW65608 UYS65605:UYS65608 VIO65605:VIO65608 VSK65605:VSK65608 WCG65605:WCG65608 WMC65605:WMC65608 WVY65605:WVY65608 Q131140:Q131143 JM131141:JM131144 TI131141:TI131144 ADE131141:ADE131144 ANA131141:ANA131144 AWW131141:AWW131144 BGS131141:BGS131144 BQO131141:BQO131144 CAK131141:CAK131144 CKG131141:CKG131144 CUC131141:CUC131144 DDY131141:DDY131144 DNU131141:DNU131144 DXQ131141:DXQ131144 EHM131141:EHM131144 ERI131141:ERI131144 FBE131141:FBE131144 FLA131141:FLA131144 FUW131141:FUW131144 GES131141:GES131144 GOO131141:GOO131144 GYK131141:GYK131144 HIG131141:HIG131144 HSC131141:HSC131144 IBY131141:IBY131144 ILU131141:ILU131144 IVQ131141:IVQ131144 JFM131141:JFM131144 JPI131141:JPI131144 JZE131141:JZE131144 KJA131141:KJA131144 KSW131141:KSW131144 LCS131141:LCS131144 LMO131141:LMO131144 LWK131141:LWK131144 MGG131141:MGG131144 MQC131141:MQC131144 MZY131141:MZY131144 NJU131141:NJU131144 NTQ131141:NTQ131144 ODM131141:ODM131144 ONI131141:ONI131144 OXE131141:OXE131144 PHA131141:PHA131144 PQW131141:PQW131144 QAS131141:QAS131144 QKO131141:QKO131144 QUK131141:QUK131144 REG131141:REG131144 ROC131141:ROC131144 RXY131141:RXY131144 SHU131141:SHU131144 SRQ131141:SRQ131144 TBM131141:TBM131144 TLI131141:TLI131144 TVE131141:TVE131144 UFA131141:UFA131144 UOW131141:UOW131144 UYS131141:UYS131144 VIO131141:VIO131144 VSK131141:VSK131144 WCG131141:WCG131144 WMC131141:WMC131144 WVY131141:WVY131144 Q196676:Q196679 JM196677:JM196680 TI196677:TI196680 ADE196677:ADE196680 ANA196677:ANA196680 AWW196677:AWW196680 BGS196677:BGS196680 BQO196677:BQO196680 CAK196677:CAK196680 CKG196677:CKG196680 CUC196677:CUC196680 DDY196677:DDY196680 DNU196677:DNU196680 DXQ196677:DXQ196680 EHM196677:EHM196680 ERI196677:ERI196680 FBE196677:FBE196680 FLA196677:FLA196680 FUW196677:FUW196680 GES196677:GES196680 GOO196677:GOO196680 GYK196677:GYK196680 HIG196677:HIG196680 HSC196677:HSC196680 IBY196677:IBY196680 ILU196677:ILU196680 IVQ196677:IVQ196680 JFM196677:JFM196680 JPI196677:JPI196680 JZE196677:JZE196680 KJA196677:KJA196680 KSW196677:KSW196680 LCS196677:LCS196680 LMO196677:LMO196680 LWK196677:LWK196680 MGG196677:MGG196680 MQC196677:MQC196680 MZY196677:MZY196680 NJU196677:NJU196680 NTQ196677:NTQ196680 ODM196677:ODM196680 ONI196677:ONI196680 OXE196677:OXE196680 PHA196677:PHA196680 PQW196677:PQW196680 QAS196677:QAS196680 QKO196677:QKO196680 QUK196677:QUK196680 REG196677:REG196680 ROC196677:ROC196680 RXY196677:RXY196680 SHU196677:SHU196680 SRQ196677:SRQ196680 TBM196677:TBM196680 TLI196677:TLI196680 TVE196677:TVE196680 UFA196677:UFA196680 UOW196677:UOW196680 UYS196677:UYS196680 VIO196677:VIO196680 VSK196677:VSK196680 WCG196677:WCG196680 WMC196677:WMC196680 WVY196677:WVY196680 Q262212:Q262215 JM262213:JM262216 TI262213:TI262216 ADE262213:ADE262216 ANA262213:ANA262216 AWW262213:AWW262216 BGS262213:BGS262216 BQO262213:BQO262216 CAK262213:CAK262216 CKG262213:CKG262216 CUC262213:CUC262216 DDY262213:DDY262216 DNU262213:DNU262216 DXQ262213:DXQ262216 EHM262213:EHM262216 ERI262213:ERI262216 FBE262213:FBE262216 FLA262213:FLA262216 FUW262213:FUW262216 GES262213:GES262216 GOO262213:GOO262216 GYK262213:GYK262216 HIG262213:HIG262216 HSC262213:HSC262216 IBY262213:IBY262216 ILU262213:ILU262216 IVQ262213:IVQ262216 JFM262213:JFM262216 JPI262213:JPI262216 JZE262213:JZE262216 KJA262213:KJA262216 KSW262213:KSW262216 LCS262213:LCS262216 LMO262213:LMO262216 LWK262213:LWK262216 MGG262213:MGG262216 MQC262213:MQC262216 MZY262213:MZY262216 NJU262213:NJU262216 NTQ262213:NTQ262216 ODM262213:ODM262216 ONI262213:ONI262216 OXE262213:OXE262216 PHA262213:PHA262216 PQW262213:PQW262216 QAS262213:QAS262216 QKO262213:QKO262216 QUK262213:QUK262216 REG262213:REG262216 ROC262213:ROC262216 RXY262213:RXY262216 SHU262213:SHU262216 SRQ262213:SRQ262216 TBM262213:TBM262216 TLI262213:TLI262216 TVE262213:TVE262216 UFA262213:UFA262216 UOW262213:UOW262216 UYS262213:UYS262216 VIO262213:VIO262216 VSK262213:VSK262216 WCG262213:WCG262216 WMC262213:WMC262216 WVY262213:WVY262216 Q327748:Q327751 JM327749:JM327752 TI327749:TI327752 ADE327749:ADE327752 ANA327749:ANA327752 AWW327749:AWW327752 BGS327749:BGS327752 BQO327749:BQO327752 CAK327749:CAK327752 CKG327749:CKG327752 CUC327749:CUC327752 DDY327749:DDY327752 DNU327749:DNU327752 DXQ327749:DXQ327752 EHM327749:EHM327752 ERI327749:ERI327752 FBE327749:FBE327752 FLA327749:FLA327752 FUW327749:FUW327752 GES327749:GES327752 GOO327749:GOO327752 GYK327749:GYK327752 HIG327749:HIG327752 HSC327749:HSC327752 IBY327749:IBY327752 ILU327749:ILU327752 IVQ327749:IVQ327752 JFM327749:JFM327752 JPI327749:JPI327752 JZE327749:JZE327752 KJA327749:KJA327752 KSW327749:KSW327752 LCS327749:LCS327752 LMO327749:LMO327752 LWK327749:LWK327752 MGG327749:MGG327752 MQC327749:MQC327752 MZY327749:MZY327752 NJU327749:NJU327752 NTQ327749:NTQ327752 ODM327749:ODM327752 ONI327749:ONI327752 OXE327749:OXE327752 PHA327749:PHA327752 PQW327749:PQW327752 QAS327749:QAS327752 QKO327749:QKO327752 QUK327749:QUK327752 REG327749:REG327752 ROC327749:ROC327752 RXY327749:RXY327752 SHU327749:SHU327752 SRQ327749:SRQ327752 TBM327749:TBM327752 TLI327749:TLI327752 TVE327749:TVE327752 UFA327749:UFA327752 UOW327749:UOW327752 UYS327749:UYS327752 VIO327749:VIO327752 VSK327749:VSK327752 WCG327749:WCG327752 WMC327749:WMC327752 WVY327749:WVY327752 Q393284:Q393287 JM393285:JM393288 TI393285:TI393288 ADE393285:ADE393288 ANA393285:ANA393288 AWW393285:AWW393288 BGS393285:BGS393288 BQO393285:BQO393288 CAK393285:CAK393288 CKG393285:CKG393288 CUC393285:CUC393288 DDY393285:DDY393288 DNU393285:DNU393288 DXQ393285:DXQ393288 EHM393285:EHM393288 ERI393285:ERI393288 FBE393285:FBE393288 FLA393285:FLA393288 FUW393285:FUW393288 GES393285:GES393288 GOO393285:GOO393288 GYK393285:GYK393288 HIG393285:HIG393288 HSC393285:HSC393288 IBY393285:IBY393288 ILU393285:ILU393288 IVQ393285:IVQ393288 JFM393285:JFM393288 JPI393285:JPI393288 JZE393285:JZE393288 KJA393285:KJA393288 KSW393285:KSW393288 LCS393285:LCS393288 LMO393285:LMO393288 LWK393285:LWK393288 MGG393285:MGG393288 MQC393285:MQC393288 MZY393285:MZY393288 NJU393285:NJU393288 NTQ393285:NTQ393288 ODM393285:ODM393288 ONI393285:ONI393288 OXE393285:OXE393288 PHA393285:PHA393288 PQW393285:PQW393288 QAS393285:QAS393288 QKO393285:QKO393288 QUK393285:QUK393288 REG393285:REG393288 ROC393285:ROC393288 RXY393285:RXY393288 SHU393285:SHU393288 SRQ393285:SRQ393288 TBM393285:TBM393288 TLI393285:TLI393288 TVE393285:TVE393288 UFA393285:UFA393288 UOW393285:UOW393288 UYS393285:UYS393288 VIO393285:VIO393288 VSK393285:VSK393288 WCG393285:WCG393288 WMC393285:WMC393288 WVY393285:WVY393288 Q458820:Q458823 JM458821:JM458824 TI458821:TI458824 ADE458821:ADE458824 ANA458821:ANA458824 AWW458821:AWW458824 BGS458821:BGS458824 BQO458821:BQO458824 CAK458821:CAK458824 CKG458821:CKG458824 CUC458821:CUC458824 DDY458821:DDY458824 DNU458821:DNU458824 DXQ458821:DXQ458824 EHM458821:EHM458824 ERI458821:ERI458824 FBE458821:FBE458824 FLA458821:FLA458824 FUW458821:FUW458824 GES458821:GES458824 GOO458821:GOO458824 GYK458821:GYK458824 HIG458821:HIG458824 HSC458821:HSC458824 IBY458821:IBY458824 ILU458821:ILU458824 IVQ458821:IVQ458824 JFM458821:JFM458824 JPI458821:JPI458824 JZE458821:JZE458824 KJA458821:KJA458824 KSW458821:KSW458824 LCS458821:LCS458824 LMO458821:LMO458824 LWK458821:LWK458824 MGG458821:MGG458824 MQC458821:MQC458824 MZY458821:MZY458824 NJU458821:NJU458824 NTQ458821:NTQ458824 ODM458821:ODM458824 ONI458821:ONI458824 OXE458821:OXE458824 PHA458821:PHA458824 PQW458821:PQW458824 QAS458821:QAS458824 QKO458821:QKO458824 QUK458821:QUK458824 REG458821:REG458824 ROC458821:ROC458824 RXY458821:RXY458824 SHU458821:SHU458824 SRQ458821:SRQ458824 TBM458821:TBM458824 TLI458821:TLI458824 TVE458821:TVE458824 UFA458821:UFA458824 UOW458821:UOW458824 UYS458821:UYS458824 VIO458821:VIO458824 VSK458821:VSK458824 WCG458821:WCG458824 WMC458821:WMC458824 WVY458821:WVY458824 Q524356:Q524359 JM524357:JM524360 TI524357:TI524360 ADE524357:ADE524360 ANA524357:ANA524360 AWW524357:AWW524360 BGS524357:BGS524360 BQO524357:BQO524360 CAK524357:CAK524360 CKG524357:CKG524360 CUC524357:CUC524360 DDY524357:DDY524360 DNU524357:DNU524360 DXQ524357:DXQ524360 EHM524357:EHM524360 ERI524357:ERI524360 FBE524357:FBE524360 FLA524357:FLA524360 FUW524357:FUW524360 GES524357:GES524360 GOO524357:GOO524360 GYK524357:GYK524360 HIG524357:HIG524360 HSC524357:HSC524360 IBY524357:IBY524360 ILU524357:ILU524360 IVQ524357:IVQ524360 JFM524357:JFM524360 JPI524357:JPI524360 JZE524357:JZE524360 KJA524357:KJA524360 KSW524357:KSW524360 LCS524357:LCS524360 LMO524357:LMO524360 LWK524357:LWK524360 MGG524357:MGG524360 MQC524357:MQC524360 MZY524357:MZY524360 NJU524357:NJU524360 NTQ524357:NTQ524360 ODM524357:ODM524360 ONI524357:ONI524360 OXE524357:OXE524360 PHA524357:PHA524360 PQW524357:PQW524360 QAS524357:QAS524360 QKO524357:QKO524360 QUK524357:QUK524360 REG524357:REG524360 ROC524357:ROC524360 RXY524357:RXY524360 SHU524357:SHU524360 SRQ524357:SRQ524360 TBM524357:TBM524360 TLI524357:TLI524360 TVE524357:TVE524360 UFA524357:UFA524360 UOW524357:UOW524360 UYS524357:UYS524360 VIO524357:VIO524360 VSK524357:VSK524360 WCG524357:WCG524360 WMC524357:WMC524360 WVY524357:WVY524360 Q589892:Q589895 JM589893:JM589896 TI589893:TI589896 ADE589893:ADE589896 ANA589893:ANA589896 AWW589893:AWW589896 BGS589893:BGS589896 BQO589893:BQO589896 CAK589893:CAK589896 CKG589893:CKG589896 CUC589893:CUC589896 DDY589893:DDY589896 DNU589893:DNU589896 DXQ589893:DXQ589896 EHM589893:EHM589896 ERI589893:ERI589896 FBE589893:FBE589896 FLA589893:FLA589896 FUW589893:FUW589896 GES589893:GES589896 GOO589893:GOO589896 GYK589893:GYK589896 HIG589893:HIG589896 HSC589893:HSC589896 IBY589893:IBY589896 ILU589893:ILU589896 IVQ589893:IVQ589896 JFM589893:JFM589896 JPI589893:JPI589896 JZE589893:JZE589896 KJA589893:KJA589896 KSW589893:KSW589896 LCS589893:LCS589896 LMO589893:LMO589896 LWK589893:LWK589896 MGG589893:MGG589896 MQC589893:MQC589896 MZY589893:MZY589896 NJU589893:NJU589896 NTQ589893:NTQ589896 ODM589893:ODM589896 ONI589893:ONI589896 OXE589893:OXE589896 PHA589893:PHA589896 PQW589893:PQW589896 QAS589893:QAS589896 QKO589893:QKO589896 QUK589893:QUK589896 REG589893:REG589896 ROC589893:ROC589896 RXY589893:RXY589896 SHU589893:SHU589896 SRQ589893:SRQ589896 TBM589893:TBM589896 TLI589893:TLI589896 TVE589893:TVE589896 UFA589893:UFA589896 UOW589893:UOW589896 UYS589893:UYS589896 VIO589893:VIO589896 VSK589893:VSK589896 WCG589893:WCG589896 WMC589893:WMC589896 WVY589893:WVY589896 Q655428:Q655431 JM655429:JM655432 TI655429:TI655432 ADE655429:ADE655432 ANA655429:ANA655432 AWW655429:AWW655432 BGS655429:BGS655432 BQO655429:BQO655432 CAK655429:CAK655432 CKG655429:CKG655432 CUC655429:CUC655432 DDY655429:DDY655432 DNU655429:DNU655432 DXQ655429:DXQ655432 EHM655429:EHM655432 ERI655429:ERI655432 FBE655429:FBE655432 FLA655429:FLA655432 FUW655429:FUW655432 GES655429:GES655432 GOO655429:GOO655432 GYK655429:GYK655432 HIG655429:HIG655432 HSC655429:HSC655432 IBY655429:IBY655432 ILU655429:ILU655432 IVQ655429:IVQ655432 JFM655429:JFM655432 JPI655429:JPI655432 JZE655429:JZE655432 KJA655429:KJA655432 KSW655429:KSW655432 LCS655429:LCS655432 LMO655429:LMO655432 LWK655429:LWK655432 MGG655429:MGG655432 MQC655429:MQC655432 MZY655429:MZY655432 NJU655429:NJU655432 NTQ655429:NTQ655432 ODM655429:ODM655432 ONI655429:ONI655432 OXE655429:OXE655432 PHA655429:PHA655432 PQW655429:PQW655432 QAS655429:QAS655432 QKO655429:QKO655432 QUK655429:QUK655432 REG655429:REG655432 ROC655429:ROC655432 RXY655429:RXY655432 SHU655429:SHU655432 SRQ655429:SRQ655432 TBM655429:TBM655432 TLI655429:TLI655432 TVE655429:TVE655432 UFA655429:UFA655432 UOW655429:UOW655432 UYS655429:UYS655432 VIO655429:VIO655432 VSK655429:VSK655432 WCG655429:WCG655432 WMC655429:WMC655432 WVY655429:WVY655432 Q720964:Q720967 JM720965:JM720968 TI720965:TI720968 ADE720965:ADE720968 ANA720965:ANA720968 AWW720965:AWW720968 BGS720965:BGS720968 BQO720965:BQO720968 CAK720965:CAK720968 CKG720965:CKG720968 CUC720965:CUC720968 DDY720965:DDY720968 DNU720965:DNU720968 DXQ720965:DXQ720968 EHM720965:EHM720968 ERI720965:ERI720968 FBE720965:FBE720968 FLA720965:FLA720968 FUW720965:FUW720968 GES720965:GES720968 GOO720965:GOO720968 GYK720965:GYK720968 HIG720965:HIG720968 HSC720965:HSC720968 IBY720965:IBY720968 ILU720965:ILU720968 IVQ720965:IVQ720968 JFM720965:JFM720968 JPI720965:JPI720968 JZE720965:JZE720968 KJA720965:KJA720968 KSW720965:KSW720968 LCS720965:LCS720968 LMO720965:LMO720968 LWK720965:LWK720968 MGG720965:MGG720968 MQC720965:MQC720968 MZY720965:MZY720968 NJU720965:NJU720968 NTQ720965:NTQ720968 ODM720965:ODM720968 ONI720965:ONI720968 OXE720965:OXE720968 PHA720965:PHA720968 PQW720965:PQW720968 QAS720965:QAS720968 QKO720965:QKO720968 QUK720965:QUK720968 REG720965:REG720968 ROC720965:ROC720968 RXY720965:RXY720968 SHU720965:SHU720968 SRQ720965:SRQ720968 TBM720965:TBM720968 TLI720965:TLI720968 TVE720965:TVE720968 UFA720965:UFA720968 UOW720965:UOW720968 UYS720965:UYS720968 VIO720965:VIO720968 VSK720965:VSK720968 WCG720965:WCG720968 WMC720965:WMC720968 WVY720965:WVY720968 Q786500:Q786503 JM786501:JM786504 TI786501:TI786504 ADE786501:ADE786504 ANA786501:ANA786504 AWW786501:AWW786504 BGS786501:BGS786504 BQO786501:BQO786504 CAK786501:CAK786504 CKG786501:CKG786504 CUC786501:CUC786504 DDY786501:DDY786504 DNU786501:DNU786504 DXQ786501:DXQ786504 EHM786501:EHM786504 ERI786501:ERI786504 FBE786501:FBE786504 FLA786501:FLA786504 FUW786501:FUW786504 GES786501:GES786504 GOO786501:GOO786504 GYK786501:GYK786504 HIG786501:HIG786504 HSC786501:HSC786504 IBY786501:IBY786504 ILU786501:ILU786504 IVQ786501:IVQ786504 JFM786501:JFM786504 JPI786501:JPI786504 JZE786501:JZE786504 KJA786501:KJA786504 KSW786501:KSW786504 LCS786501:LCS786504 LMO786501:LMO786504 LWK786501:LWK786504 MGG786501:MGG786504 MQC786501:MQC786504 MZY786501:MZY786504 NJU786501:NJU786504 NTQ786501:NTQ786504 ODM786501:ODM786504 ONI786501:ONI786504 OXE786501:OXE786504 PHA786501:PHA786504 PQW786501:PQW786504 QAS786501:QAS786504 QKO786501:QKO786504 QUK786501:QUK786504 REG786501:REG786504 ROC786501:ROC786504 RXY786501:RXY786504 SHU786501:SHU786504 SRQ786501:SRQ786504 TBM786501:TBM786504 TLI786501:TLI786504 TVE786501:TVE786504 UFA786501:UFA786504 UOW786501:UOW786504 UYS786501:UYS786504 VIO786501:VIO786504 VSK786501:VSK786504 WCG786501:WCG786504 WMC786501:WMC786504 WVY786501:WVY786504 Q852036:Q852039 JM852037:JM852040 TI852037:TI852040 ADE852037:ADE852040 ANA852037:ANA852040 AWW852037:AWW852040 BGS852037:BGS852040 BQO852037:BQO852040 CAK852037:CAK852040 CKG852037:CKG852040 CUC852037:CUC852040 DDY852037:DDY852040 DNU852037:DNU852040 DXQ852037:DXQ852040 EHM852037:EHM852040 ERI852037:ERI852040 FBE852037:FBE852040 FLA852037:FLA852040 FUW852037:FUW852040 GES852037:GES852040 GOO852037:GOO852040 GYK852037:GYK852040 HIG852037:HIG852040 HSC852037:HSC852040 IBY852037:IBY852040 ILU852037:ILU852040 IVQ852037:IVQ852040 JFM852037:JFM852040 JPI852037:JPI852040 JZE852037:JZE852040 KJA852037:KJA852040 KSW852037:KSW852040 LCS852037:LCS852040 LMO852037:LMO852040 LWK852037:LWK852040 MGG852037:MGG852040 MQC852037:MQC852040 MZY852037:MZY852040 NJU852037:NJU852040 NTQ852037:NTQ852040 ODM852037:ODM852040 ONI852037:ONI852040 OXE852037:OXE852040 PHA852037:PHA852040 PQW852037:PQW852040 QAS852037:QAS852040 QKO852037:QKO852040 QUK852037:QUK852040 REG852037:REG852040 ROC852037:ROC852040 RXY852037:RXY852040 SHU852037:SHU852040 SRQ852037:SRQ852040 TBM852037:TBM852040 TLI852037:TLI852040 TVE852037:TVE852040 UFA852037:UFA852040 UOW852037:UOW852040 UYS852037:UYS852040 VIO852037:VIO852040 VSK852037:VSK852040 WCG852037:WCG852040 WMC852037:WMC852040 WVY852037:WVY852040 Q917572:Q917575 JM917573:JM917576 TI917573:TI917576 ADE917573:ADE917576 ANA917573:ANA917576 AWW917573:AWW917576 BGS917573:BGS917576 BQO917573:BQO917576 CAK917573:CAK917576 CKG917573:CKG917576 CUC917573:CUC917576 DDY917573:DDY917576 DNU917573:DNU917576 DXQ917573:DXQ917576 EHM917573:EHM917576 ERI917573:ERI917576 FBE917573:FBE917576 FLA917573:FLA917576 FUW917573:FUW917576 GES917573:GES917576 GOO917573:GOO917576 GYK917573:GYK917576 HIG917573:HIG917576 HSC917573:HSC917576 IBY917573:IBY917576 ILU917573:ILU917576 IVQ917573:IVQ917576 JFM917573:JFM917576 JPI917573:JPI917576 JZE917573:JZE917576 KJA917573:KJA917576 KSW917573:KSW917576 LCS917573:LCS917576 LMO917573:LMO917576 LWK917573:LWK917576 MGG917573:MGG917576 MQC917573:MQC917576 MZY917573:MZY917576 NJU917573:NJU917576 NTQ917573:NTQ917576 ODM917573:ODM917576 ONI917573:ONI917576 OXE917573:OXE917576 PHA917573:PHA917576 PQW917573:PQW917576 QAS917573:QAS917576 QKO917573:QKO917576 QUK917573:QUK917576 REG917573:REG917576 ROC917573:ROC917576 RXY917573:RXY917576 SHU917573:SHU917576 SRQ917573:SRQ917576 TBM917573:TBM917576 TLI917573:TLI917576 TVE917573:TVE917576 UFA917573:UFA917576 UOW917573:UOW917576 UYS917573:UYS917576 VIO917573:VIO917576 VSK917573:VSK917576 WCG917573:WCG917576 WMC917573:WMC917576 WVY917573:WVY917576 Q983108:Q983111 JM983109:JM983112 TI983109:TI983112 ADE983109:ADE983112 ANA983109:ANA983112 AWW983109:AWW983112 BGS983109:BGS983112 BQO983109:BQO983112 CAK983109:CAK983112 CKG983109:CKG983112 CUC983109:CUC983112 DDY983109:DDY983112 DNU983109:DNU983112 DXQ983109:DXQ983112 EHM983109:EHM983112 ERI983109:ERI983112 FBE983109:FBE983112 FLA983109:FLA983112 FUW983109:FUW983112 GES983109:GES983112 GOO983109:GOO983112 GYK983109:GYK983112 HIG983109:HIG983112 HSC983109:HSC983112 IBY983109:IBY983112 ILU983109:ILU983112 IVQ983109:IVQ983112 JFM983109:JFM983112 JPI983109:JPI983112 JZE983109:JZE983112 KJA983109:KJA983112 KSW983109:KSW983112 LCS983109:LCS983112 LMO983109:LMO983112 LWK983109:LWK983112 MGG983109:MGG983112 MQC983109:MQC983112 MZY983109:MZY983112 NJU983109:NJU983112 NTQ983109:NTQ983112 ODM983109:ODM983112 ONI983109:ONI983112 OXE983109:OXE983112 PHA983109:PHA983112 PQW983109:PQW983112 QAS983109:QAS983112 QKO983109:QKO983112 QUK983109:QUK983112 REG983109:REG983112 ROC983109:ROC983112 RXY983109:RXY983112 SHU983109:SHU983112 SRQ983109:SRQ983112 TBM983109:TBM983112 TLI983109:TLI983112 TVE983109:TVE983112 UFA983109:UFA983112 UOW983109:UOW983112 UYS983109:UYS983112 VIO983109:VIO983112 VSK983109:VSK983112 WCG983109:WCG983112 WMC983109:WMC983112 WVY983109:WVY983112 P63:Q67 JL64:JM68 TH64:TI68 ADD64:ADE68 AMZ64:ANA68 AWV64:AWW68 BGR64:BGS68 BQN64:BQO68 CAJ64:CAK68 CKF64:CKG68 CUB64:CUC68 DDX64:DDY68 DNT64:DNU68 DXP64:DXQ68 EHL64:EHM68 ERH64:ERI68 FBD64:FBE68 FKZ64:FLA68 FUV64:FUW68 GER64:GES68 GON64:GOO68 GYJ64:GYK68 HIF64:HIG68 HSB64:HSC68 IBX64:IBY68 ILT64:ILU68 IVP64:IVQ68 JFL64:JFM68 JPH64:JPI68 JZD64:JZE68 KIZ64:KJA68 KSV64:KSW68 LCR64:LCS68 LMN64:LMO68 LWJ64:LWK68 MGF64:MGG68 MQB64:MQC68 MZX64:MZY68 NJT64:NJU68 NTP64:NTQ68 ODL64:ODM68 ONH64:ONI68 OXD64:OXE68 PGZ64:PHA68 PQV64:PQW68 QAR64:QAS68 QKN64:QKO68 QUJ64:QUK68 REF64:REG68 ROB64:ROC68 RXX64:RXY68 SHT64:SHU68 SRP64:SRQ68 TBL64:TBM68 TLH64:TLI68 TVD64:TVE68 UEZ64:UFA68 UOV64:UOW68 UYR64:UYS68 VIN64:VIO68 VSJ64:VSK68 WCF64:WCG68 WMB64:WMC68 WVX64:WVY68 P65599:Q65603 JL65600:JM65604 TH65600:TI65604 ADD65600:ADE65604 AMZ65600:ANA65604 AWV65600:AWW65604 BGR65600:BGS65604 BQN65600:BQO65604 CAJ65600:CAK65604 CKF65600:CKG65604 CUB65600:CUC65604 DDX65600:DDY65604 DNT65600:DNU65604 DXP65600:DXQ65604 EHL65600:EHM65604 ERH65600:ERI65604 FBD65600:FBE65604 FKZ65600:FLA65604 FUV65600:FUW65604 GER65600:GES65604 GON65600:GOO65604 GYJ65600:GYK65604 HIF65600:HIG65604 HSB65600:HSC65604 IBX65600:IBY65604 ILT65600:ILU65604 IVP65600:IVQ65604 JFL65600:JFM65604 JPH65600:JPI65604 JZD65600:JZE65604 KIZ65600:KJA65604 KSV65600:KSW65604 LCR65600:LCS65604 LMN65600:LMO65604 LWJ65600:LWK65604 MGF65600:MGG65604 MQB65600:MQC65604 MZX65600:MZY65604 NJT65600:NJU65604 NTP65600:NTQ65604 ODL65600:ODM65604 ONH65600:ONI65604 OXD65600:OXE65604 PGZ65600:PHA65604 PQV65600:PQW65604 QAR65600:QAS65604 QKN65600:QKO65604 QUJ65600:QUK65604 REF65600:REG65604 ROB65600:ROC65604 RXX65600:RXY65604 SHT65600:SHU65604 SRP65600:SRQ65604 TBL65600:TBM65604 TLH65600:TLI65604 TVD65600:TVE65604 UEZ65600:UFA65604 UOV65600:UOW65604 UYR65600:UYS65604 VIN65600:VIO65604 VSJ65600:VSK65604 WCF65600:WCG65604 WMB65600:WMC65604 WVX65600:WVY65604 P131135:Q131139 JL131136:JM131140 TH131136:TI131140 ADD131136:ADE131140 AMZ131136:ANA131140 AWV131136:AWW131140 BGR131136:BGS131140 BQN131136:BQO131140 CAJ131136:CAK131140 CKF131136:CKG131140 CUB131136:CUC131140 DDX131136:DDY131140 DNT131136:DNU131140 DXP131136:DXQ131140 EHL131136:EHM131140 ERH131136:ERI131140 FBD131136:FBE131140 FKZ131136:FLA131140 FUV131136:FUW131140 GER131136:GES131140 GON131136:GOO131140 GYJ131136:GYK131140 HIF131136:HIG131140 HSB131136:HSC131140 IBX131136:IBY131140 ILT131136:ILU131140 IVP131136:IVQ131140 JFL131136:JFM131140 JPH131136:JPI131140 JZD131136:JZE131140 KIZ131136:KJA131140 KSV131136:KSW131140 LCR131136:LCS131140 LMN131136:LMO131140 LWJ131136:LWK131140 MGF131136:MGG131140 MQB131136:MQC131140 MZX131136:MZY131140 NJT131136:NJU131140 NTP131136:NTQ131140 ODL131136:ODM131140 ONH131136:ONI131140 OXD131136:OXE131140 PGZ131136:PHA131140 PQV131136:PQW131140 QAR131136:QAS131140 QKN131136:QKO131140 QUJ131136:QUK131140 REF131136:REG131140 ROB131136:ROC131140 RXX131136:RXY131140 SHT131136:SHU131140 SRP131136:SRQ131140 TBL131136:TBM131140 TLH131136:TLI131140 TVD131136:TVE131140 UEZ131136:UFA131140 UOV131136:UOW131140 UYR131136:UYS131140 VIN131136:VIO131140 VSJ131136:VSK131140 WCF131136:WCG131140 WMB131136:WMC131140 WVX131136:WVY131140 P196671:Q196675 JL196672:JM196676 TH196672:TI196676 ADD196672:ADE196676 AMZ196672:ANA196676 AWV196672:AWW196676 BGR196672:BGS196676 BQN196672:BQO196676 CAJ196672:CAK196676 CKF196672:CKG196676 CUB196672:CUC196676 DDX196672:DDY196676 DNT196672:DNU196676 DXP196672:DXQ196676 EHL196672:EHM196676 ERH196672:ERI196676 FBD196672:FBE196676 FKZ196672:FLA196676 FUV196672:FUW196676 GER196672:GES196676 GON196672:GOO196676 GYJ196672:GYK196676 HIF196672:HIG196676 HSB196672:HSC196676 IBX196672:IBY196676 ILT196672:ILU196676 IVP196672:IVQ196676 JFL196672:JFM196676 JPH196672:JPI196676 JZD196672:JZE196676 KIZ196672:KJA196676 KSV196672:KSW196676 LCR196672:LCS196676 LMN196672:LMO196676 LWJ196672:LWK196676 MGF196672:MGG196676 MQB196672:MQC196676 MZX196672:MZY196676 NJT196672:NJU196676 NTP196672:NTQ196676 ODL196672:ODM196676 ONH196672:ONI196676 OXD196672:OXE196676 PGZ196672:PHA196676 PQV196672:PQW196676 QAR196672:QAS196676 QKN196672:QKO196676 QUJ196672:QUK196676 REF196672:REG196676 ROB196672:ROC196676 RXX196672:RXY196676 SHT196672:SHU196676 SRP196672:SRQ196676 TBL196672:TBM196676 TLH196672:TLI196676 TVD196672:TVE196676 UEZ196672:UFA196676 UOV196672:UOW196676 UYR196672:UYS196676 VIN196672:VIO196676 VSJ196672:VSK196676 WCF196672:WCG196676 WMB196672:WMC196676 WVX196672:WVY196676 P262207:Q262211 JL262208:JM262212 TH262208:TI262212 ADD262208:ADE262212 AMZ262208:ANA262212 AWV262208:AWW262212 BGR262208:BGS262212 BQN262208:BQO262212 CAJ262208:CAK262212 CKF262208:CKG262212 CUB262208:CUC262212 DDX262208:DDY262212 DNT262208:DNU262212 DXP262208:DXQ262212 EHL262208:EHM262212 ERH262208:ERI262212 FBD262208:FBE262212 FKZ262208:FLA262212 FUV262208:FUW262212 GER262208:GES262212 GON262208:GOO262212 GYJ262208:GYK262212 HIF262208:HIG262212 HSB262208:HSC262212 IBX262208:IBY262212 ILT262208:ILU262212 IVP262208:IVQ262212 JFL262208:JFM262212 JPH262208:JPI262212 JZD262208:JZE262212 KIZ262208:KJA262212 KSV262208:KSW262212 LCR262208:LCS262212 LMN262208:LMO262212 LWJ262208:LWK262212 MGF262208:MGG262212 MQB262208:MQC262212 MZX262208:MZY262212 NJT262208:NJU262212 NTP262208:NTQ262212 ODL262208:ODM262212 ONH262208:ONI262212 OXD262208:OXE262212 PGZ262208:PHA262212 PQV262208:PQW262212 QAR262208:QAS262212 QKN262208:QKO262212 QUJ262208:QUK262212 REF262208:REG262212 ROB262208:ROC262212 RXX262208:RXY262212 SHT262208:SHU262212 SRP262208:SRQ262212 TBL262208:TBM262212 TLH262208:TLI262212 TVD262208:TVE262212 UEZ262208:UFA262212 UOV262208:UOW262212 UYR262208:UYS262212 VIN262208:VIO262212 VSJ262208:VSK262212 WCF262208:WCG262212 WMB262208:WMC262212 WVX262208:WVY262212 P327743:Q327747 JL327744:JM327748 TH327744:TI327748 ADD327744:ADE327748 AMZ327744:ANA327748 AWV327744:AWW327748 BGR327744:BGS327748 BQN327744:BQO327748 CAJ327744:CAK327748 CKF327744:CKG327748 CUB327744:CUC327748 DDX327744:DDY327748 DNT327744:DNU327748 DXP327744:DXQ327748 EHL327744:EHM327748 ERH327744:ERI327748 FBD327744:FBE327748 FKZ327744:FLA327748 FUV327744:FUW327748 GER327744:GES327748 GON327744:GOO327748 GYJ327744:GYK327748 HIF327744:HIG327748 HSB327744:HSC327748 IBX327744:IBY327748 ILT327744:ILU327748 IVP327744:IVQ327748 JFL327744:JFM327748 JPH327744:JPI327748 JZD327744:JZE327748 KIZ327744:KJA327748 KSV327744:KSW327748 LCR327744:LCS327748 LMN327744:LMO327748 LWJ327744:LWK327748 MGF327744:MGG327748 MQB327744:MQC327748 MZX327744:MZY327748 NJT327744:NJU327748 NTP327744:NTQ327748 ODL327744:ODM327748 ONH327744:ONI327748 OXD327744:OXE327748 PGZ327744:PHA327748 PQV327744:PQW327748 QAR327744:QAS327748 QKN327744:QKO327748 QUJ327744:QUK327748 REF327744:REG327748 ROB327744:ROC327748 RXX327744:RXY327748 SHT327744:SHU327748 SRP327744:SRQ327748 TBL327744:TBM327748 TLH327744:TLI327748 TVD327744:TVE327748 UEZ327744:UFA327748 UOV327744:UOW327748 UYR327744:UYS327748 VIN327744:VIO327748 VSJ327744:VSK327748 WCF327744:WCG327748 WMB327744:WMC327748 WVX327744:WVY327748 P393279:Q393283 JL393280:JM393284 TH393280:TI393284 ADD393280:ADE393284 AMZ393280:ANA393284 AWV393280:AWW393284 BGR393280:BGS393284 BQN393280:BQO393284 CAJ393280:CAK393284 CKF393280:CKG393284 CUB393280:CUC393284 DDX393280:DDY393284 DNT393280:DNU393284 DXP393280:DXQ393284 EHL393280:EHM393284 ERH393280:ERI393284 FBD393280:FBE393284 FKZ393280:FLA393284 FUV393280:FUW393284 GER393280:GES393284 GON393280:GOO393284 GYJ393280:GYK393284 HIF393280:HIG393284 HSB393280:HSC393284 IBX393280:IBY393284 ILT393280:ILU393284 IVP393280:IVQ393284 JFL393280:JFM393284 JPH393280:JPI393284 JZD393280:JZE393284 KIZ393280:KJA393284 KSV393280:KSW393284 LCR393280:LCS393284 LMN393280:LMO393284 LWJ393280:LWK393284 MGF393280:MGG393284 MQB393280:MQC393284 MZX393280:MZY393284 NJT393280:NJU393284 NTP393280:NTQ393284 ODL393280:ODM393284 ONH393280:ONI393284 OXD393280:OXE393284 PGZ393280:PHA393284 PQV393280:PQW393284 QAR393280:QAS393284 QKN393280:QKO393284 QUJ393280:QUK393284 REF393280:REG393284 ROB393280:ROC393284 RXX393280:RXY393284 SHT393280:SHU393284 SRP393280:SRQ393284 TBL393280:TBM393284 TLH393280:TLI393284 TVD393280:TVE393284 UEZ393280:UFA393284 UOV393280:UOW393284 UYR393280:UYS393284 VIN393280:VIO393284 VSJ393280:VSK393284 WCF393280:WCG393284 WMB393280:WMC393284 WVX393280:WVY393284 P458815:Q458819 JL458816:JM458820 TH458816:TI458820 ADD458816:ADE458820 AMZ458816:ANA458820 AWV458816:AWW458820 BGR458816:BGS458820 BQN458816:BQO458820 CAJ458816:CAK458820 CKF458816:CKG458820 CUB458816:CUC458820 DDX458816:DDY458820 DNT458816:DNU458820 DXP458816:DXQ458820 EHL458816:EHM458820 ERH458816:ERI458820 FBD458816:FBE458820 FKZ458816:FLA458820 FUV458816:FUW458820 GER458816:GES458820 GON458816:GOO458820 GYJ458816:GYK458820 HIF458816:HIG458820 HSB458816:HSC458820 IBX458816:IBY458820 ILT458816:ILU458820 IVP458816:IVQ458820 JFL458816:JFM458820 JPH458816:JPI458820 JZD458816:JZE458820 KIZ458816:KJA458820 KSV458816:KSW458820 LCR458816:LCS458820 LMN458816:LMO458820 LWJ458816:LWK458820 MGF458816:MGG458820 MQB458816:MQC458820 MZX458816:MZY458820 NJT458816:NJU458820 NTP458816:NTQ458820 ODL458816:ODM458820 ONH458816:ONI458820 OXD458816:OXE458820 PGZ458816:PHA458820 PQV458816:PQW458820 QAR458816:QAS458820 QKN458816:QKO458820 QUJ458816:QUK458820 REF458816:REG458820 ROB458816:ROC458820 RXX458816:RXY458820 SHT458816:SHU458820 SRP458816:SRQ458820 TBL458816:TBM458820 TLH458816:TLI458820 TVD458816:TVE458820 UEZ458816:UFA458820 UOV458816:UOW458820 UYR458816:UYS458820 VIN458816:VIO458820 VSJ458816:VSK458820 WCF458816:WCG458820 WMB458816:WMC458820 WVX458816:WVY458820 P524351:Q524355 JL524352:JM524356 TH524352:TI524356 ADD524352:ADE524356 AMZ524352:ANA524356 AWV524352:AWW524356 BGR524352:BGS524356 BQN524352:BQO524356 CAJ524352:CAK524356 CKF524352:CKG524356 CUB524352:CUC524356 DDX524352:DDY524356 DNT524352:DNU524356 DXP524352:DXQ524356 EHL524352:EHM524356 ERH524352:ERI524356 FBD524352:FBE524356 FKZ524352:FLA524356 FUV524352:FUW524356 GER524352:GES524356 GON524352:GOO524356 GYJ524352:GYK524356 HIF524352:HIG524356 HSB524352:HSC524356 IBX524352:IBY524356 ILT524352:ILU524356 IVP524352:IVQ524356 JFL524352:JFM524356 JPH524352:JPI524356 JZD524352:JZE524356 KIZ524352:KJA524356 KSV524352:KSW524356 LCR524352:LCS524356 LMN524352:LMO524356 LWJ524352:LWK524356 MGF524352:MGG524356 MQB524352:MQC524356 MZX524352:MZY524356 NJT524352:NJU524356 NTP524352:NTQ524356 ODL524352:ODM524356 ONH524352:ONI524356 OXD524352:OXE524356 PGZ524352:PHA524356 PQV524352:PQW524356 QAR524352:QAS524356 QKN524352:QKO524356 QUJ524352:QUK524356 REF524352:REG524356 ROB524352:ROC524356 RXX524352:RXY524356 SHT524352:SHU524356 SRP524352:SRQ524356 TBL524352:TBM524356 TLH524352:TLI524356 TVD524352:TVE524356 UEZ524352:UFA524356 UOV524352:UOW524356 UYR524352:UYS524356 VIN524352:VIO524356 VSJ524352:VSK524356 WCF524352:WCG524356 WMB524352:WMC524356 WVX524352:WVY524356 P589887:Q589891 JL589888:JM589892 TH589888:TI589892 ADD589888:ADE589892 AMZ589888:ANA589892 AWV589888:AWW589892 BGR589888:BGS589892 BQN589888:BQO589892 CAJ589888:CAK589892 CKF589888:CKG589892 CUB589888:CUC589892 DDX589888:DDY589892 DNT589888:DNU589892 DXP589888:DXQ589892 EHL589888:EHM589892 ERH589888:ERI589892 FBD589888:FBE589892 FKZ589888:FLA589892 FUV589888:FUW589892 GER589888:GES589892 GON589888:GOO589892 GYJ589888:GYK589892 HIF589888:HIG589892 HSB589888:HSC589892 IBX589888:IBY589892 ILT589888:ILU589892 IVP589888:IVQ589892 JFL589888:JFM589892 JPH589888:JPI589892 JZD589888:JZE589892 KIZ589888:KJA589892 KSV589888:KSW589892 LCR589888:LCS589892 LMN589888:LMO589892 LWJ589888:LWK589892 MGF589888:MGG589892 MQB589888:MQC589892 MZX589888:MZY589892 NJT589888:NJU589892 NTP589888:NTQ589892 ODL589888:ODM589892 ONH589888:ONI589892 OXD589888:OXE589892 PGZ589888:PHA589892 PQV589888:PQW589892 QAR589888:QAS589892 QKN589888:QKO589892 QUJ589888:QUK589892 REF589888:REG589892 ROB589888:ROC589892 RXX589888:RXY589892 SHT589888:SHU589892 SRP589888:SRQ589892 TBL589888:TBM589892 TLH589888:TLI589892 TVD589888:TVE589892 UEZ589888:UFA589892 UOV589888:UOW589892 UYR589888:UYS589892 VIN589888:VIO589892 VSJ589888:VSK589892 WCF589888:WCG589892 WMB589888:WMC589892 WVX589888:WVY589892 P655423:Q655427 JL655424:JM655428 TH655424:TI655428 ADD655424:ADE655428 AMZ655424:ANA655428 AWV655424:AWW655428 BGR655424:BGS655428 BQN655424:BQO655428 CAJ655424:CAK655428 CKF655424:CKG655428 CUB655424:CUC655428 DDX655424:DDY655428 DNT655424:DNU655428 DXP655424:DXQ655428 EHL655424:EHM655428 ERH655424:ERI655428 FBD655424:FBE655428 FKZ655424:FLA655428 FUV655424:FUW655428 GER655424:GES655428 GON655424:GOO655428 GYJ655424:GYK655428 HIF655424:HIG655428 HSB655424:HSC655428 IBX655424:IBY655428 ILT655424:ILU655428 IVP655424:IVQ655428 JFL655424:JFM655428 JPH655424:JPI655428 JZD655424:JZE655428 KIZ655424:KJA655428 KSV655424:KSW655428 LCR655424:LCS655428 LMN655424:LMO655428 LWJ655424:LWK655428 MGF655424:MGG655428 MQB655424:MQC655428 MZX655424:MZY655428 NJT655424:NJU655428 NTP655424:NTQ655428 ODL655424:ODM655428 ONH655424:ONI655428 OXD655424:OXE655428 PGZ655424:PHA655428 PQV655424:PQW655428 QAR655424:QAS655428 QKN655424:QKO655428 QUJ655424:QUK655428 REF655424:REG655428 ROB655424:ROC655428 RXX655424:RXY655428 SHT655424:SHU655428 SRP655424:SRQ655428 TBL655424:TBM655428 TLH655424:TLI655428 TVD655424:TVE655428 UEZ655424:UFA655428 UOV655424:UOW655428 UYR655424:UYS655428 VIN655424:VIO655428 VSJ655424:VSK655428 WCF655424:WCG655428 WMB655424:WMC655428 WVX655424:WVY655428 P720959:Q720963 JL720960:JM720964 TH720960:TI720964 ADD720960:ADE720964 AMZ720960:ANA720964 AWV720960:AWW720964 BGR720960:BGS720964 BQN720960:BQO720964 CAJ720960:CAK720964 CKF720960:CKG720964 CUB720960:CUC720964 DDX720960:DDY720964 DNT720960:DNU720964 DXP720960:DXQ720964 EHL720960:EHM720964 ERH720960:ERI720964 FBD720960:FBE720964 FKZ720960:FLA720964 FUV720960:FUW720964 GER720960:GES720964 GON720960:GOO720964 GYJ720960:GYK720964 HIF720960:HIG720964 HSB720960:HSC720964 IBX720960:IBY720964 ILT720960:ILU720964 IVP720960:IVQ720964 JFL720960:JFM720964 JPH720960:JPI720964 JZD720960:JZE720964 KIZ720960:KJA720964 KSV720960:KSW720964 LCR720960:LCS720964 LMN720960:LMO720964 LWJ720960:LWK720964 MGF720960:MGG720964 MQB720960:MQC720964 MZX720960:MZY720964 NJT720960:NJU720964 NTP720960:NTQ720964 ODL720960:ODM720964 ONH720960:ONI720964 OXD720960:OXE720964 PGZ720960:PHA720964 PQV720960:PQW720964 QAR720960:QAS720964 QKN720960:QKO720964 QUJ720960:QUK720964 REF720960:REG720964 ROB720960:ROC720964 RXX720960:RXY720964 SHT720960:SHU720964 SRP720960:SRQ720964 TBL720960:TBM720964 TLH720960:TLI720964 TVD720960:TVE720964 UEZ720960:UFA720964 UOV720960:UOW720964 UYR720960:UYS720964 VIN720960:VIO720964 VSJ720960:VSK720964 WCF720960:WCG720964 WMB720960:WMC720964 WVX720960:WVY720964 P786495:Q786499 JL786496:JM786500 TH786496:TI786500 ADD786496:ADE786500 AMZ786496:ANA786500 AWV786496:AWW786500 BGR786496:BGS786500 BQN786496:BQO786500 CAJ786496:CAK786500 CKF786496:CKG786500 CUB786496:CUC786500 DDX786496:DDY786500 DNT786496:DNU786500 DXP786496:DXQ786500 EHL786496:EHM786500 ERH786496:ERI786500 FBD786496:FBE786500 FKZ786496:FLA786500 FUV786496:FUW786500 GER786496:GES786500 GON786496:GOO786500 GYJ786496:GYK786500 HIF786496:HIG786500 HSB786496:HSC786500 IBX786496:IBY786500 ILT786496:ILU786500 IVP786496:IVQ786500 JFL786496:JFM786500 JPH786496:JPI786500 JZD786496:JZE786500 KIZ786496:KJA786500 KSV786496:KSW786500 LCR786496:LCS786500 LMN786496:LMO786500 LWJ786496:LWK786500 MGF786496:MGG786500 MQB786496:MQC786500 MZX786496:MZY786500 NJT786496:NJU786500 NTP786496:NTQ786500 ODL786496:ODM786500 ONH786496:ONI786500 OXD786496:OXE786500 PGZ786496:PHA786500 PQV786496:PQW786500 QAR786496:QAS786500 QKN786496:QKO786500 QUJ786496:QUK786500 REF786496:REG786500 ROB786496:ROC786500 RXX786496:RXY786500 SHT786496:SHU786500 SRP786496:SRQ786500 TBL786496:TBM786500 TLH786496:TLI786500 TVD786496:TVE786500 UEZ786496:UFA786500 UOV786496:UOW786500 UYR786496:UYS786500 VIN786496:VIO786500 VSJ786496:VSK786500 WCF786496:WCG786500 WMB786496:WMC786500 WVX786496:WVY786500 P852031:Q852035 JL852032:JM852036 TH852032:TI852036 ADD852032:ADE852036 AMZ852032:ANA852036 AWV852032:AWW852036 BGR852032:BGS852036 BQN852032:BQO852036 CAJ852032:CAK852036 CKF852032:CKG852036 CUB852032:CUC852036 DDX852032:DDY852036 DNT852032:DNU852036 DXP852032:DXQ852036 EHL852032:EHM852036 ERH852032:ERI852036 FBD852032:FBE852036 FKZ852032:FLA852036 FUV852032:FUW852036 GER852032:GES852036 GON852032:GOO852036 GYJ852032:GYK852036 HIF852032:HIG852036 HSB852032:HSC852036 IBX852032:IBY852036 ILT852032:ILU852036 IVP852032:IVQ852036 JFL852032:JFM852036 JPH852032:JPI852036 JZD852032:JZE852036 KIZ852032:KJA852036 KSV852032:KSW852036 LCR852032:LCS852036 LMN852032:LMO852036 LWJ852032:LWK852036 MGF852032:MGG852036 MQB852032:MQC852036 MZX852032:MZY852036 NJT852032:NJU852036 NTP852032:NTQ852036 ODL852032:ODM852036 ONH852032:ONI852036 OXD852032:OXE852036 PGZ852032:PHA852036 PQV852032:PQW852036 QAR852032:QAS852036 QKN852032:QKO852036 QUJ852032:QUK852036 REF852032:REG852036 ROB852032:ROC852036 RXX852032:RXY852036 SHT852032:SHU852036 SRP852032:SRQ852036 TBL852032:TBM852036 TLH852032:TLI852036 TVD852032:TVE852036 UEZ852032:UFA852036 UOV852032:UOW852036 UYR852032:UYS852036 VIN852032:VIO852036 VSJ852032:VSK852036 WCF852032:WCG852036 WMB852032:WMC852036 WVX852032:WVY852036 P917567:Q917571 JL917568:JM917572 TH917568:TI917572 ADD917568:ADE917572 AMZ917568:ANA917572 AWV917568:AWW917572 BGR917568:BGS917572 BQN917568:BQO917572 CAJ917568:CAK917572 CKF917568:CKG917572 CUB917568:CUC917572 DDX917568:DDY917572 DNT917568:DNU917572 DXP917568:DXQ917572 EHL917568:EHM917572 ERH917568:ERI917572 FBD917568:FBE917572 FKZ917568:FLA917572 FUV917568:FUW917572 GER917568:GES917572 GON917568:GOO917572 GYJ917568:GYK917572 HIF917568:HIG917572 HSB917568:HSC917572 IBX917568:IBY917572 ILT917568:ILU917572 IVP917568:IVQ917572 JFL917568:JFM917572 JPH917568:JPI917572 JZD917568:JZE917572 KIZ917568:KJA917572 KSV917568:KSW917572 LCR917568:LCS917572 LMN917568:LMO917572 LWJ917568:LWK917572 MGF917568:MGG917572 MQB917568:MQC917572 MZX917568:MZY917572 NJT917568:NJU917572 NTP917568:NTQ917572 ODL917568:ODM917572 ONH917568:ONI917572 OXD917568:OXE917572 PGZ917568:PHA917572 PQV917568:PQW917572 QAR917568:QAS917572 QKN917568:QKO917572 QUJ917568:QUK917572 REF917568:REG917572 ROB917568:ROC917572 RXX917568:RXY917572 SHT917568:SHU917572 SRP917568:SRQ917572 TBL917568:TBM917572 TLH917568:TLI917572 TVD917568:TVE917572 UEZ917568:UFA917572 UOV917568:UOW917572 UYR917568:UYS917572 VIN917568:VIO917572 VSJ917568:VSK917572 WCF917568:WCG917572 WMB917568:WMC917572 WVX917568:WVY917572 P983103:Q983107 JL983104:JM983108 TH983104:TI983108 ADD983104:ADE983108 AMZ983104:ANA983108 AWV983104:AWW983108 BGR983104:BGS983108 BQN983104:BQO983108 CAJ983104:CAK983108 CKF983104:CKG983108 CUB983104:CUC983108 DDX983104:DDY983108 DNT983104:DNU983108 DXP983104:DXQ983108 EHL983104:EHM983108 ERH983104:ERI983108 FBD983104:FBE983108 FKZ983104:FLA983108 FUV983104:FUW983108 GER983104:GES983108 GON983104:GOO983108 GYJ983104:GYK983108 HIF983104:HIG983108 HSB983104:HSC983108 IBX983104:IBY983108 ILT983104:ILU983108 IVP983104:IVQ983108 JFL983104:JFM983108 JPH983104:JPI983108 JZD983104:JZE983108 KIZ983104:KJA983108 KSV983104:KSW983108 LCR983104:LCS983108 LMN983104:LMO983108 LWJ983104:LWK983108 MGF983104:MGG983108 MQB983104:MQC983108 MZX983104:MZY983108 NJT983104:NJU983108 NTP983104:NTQ983108 ODL983104:ODM983108 ONH983104:ONI983108 OXD983104:OXE983108 PGZ983104:PHA983108 PQV983104:PQW983108 QAR983104:QAS983108 QKN983104:QKO983108 QUJ983104:QUK983108 REF983104:REG983108 ROB983104:ROC983108 RXX983104:RXY983108 SHT983104:SHU983108 SRP983104:SRQ983108 TBL983104:TBM983108 TLH983104:TLI983108 TVD983104:TVE983108 UEZ983104:UFA983108 UOV983104:UOW983108 UYR983104:UYS983108 VIN983104:VIO983108 VSJ983104:VSK983108 WCF983104:WCG983108 WMB983104:WMC983108 WVX983104:WVY983108 P59:Q61</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9FF99"/>
    <pageSetUpPr fitToPage="1"/>
  </sheetPr>
  <dimension ref="A1:BU171"/>
  <sheetViews>
    <sheetView showGridLines="0" view="pageBreakPreview" zoomScale="90" zoomScaleNormal="75" zoomScaleSheetLayoutView="90" workbookViewId="0">
      <selection activeCell="C1" sqref="C1"/>
    </sheetView>
  </sheetViews>
  <sheetFormatPr defaultRowHeight="12.75"/>
  <cols>
    <col min="1" max="1" width="9.140625" style="1324"/>
    <col min="2" max="2" width="20" style="1426" customWidth="1"/>
    <col min="3" max="3" width="17.28515625" style="1426" customWidth="1"/>
    <col min="4" max="4" width="16.5703125" style="1426" customWidth="1"/>
    <col min="5" max="5" width="15.5703125" style="1426" customWidth="1"/>
    <col min="6" max="6" width="25.28515625" style="1426" customWidth="1"/>
    <col min="7" max="7" width="10.5703125" style="1426" customWidth="1"/>
    <col min="8" max="9" width="7.42578125" style="1426" customWidth="1"/>
    <col min="10" max="10" width="32.42578125" style="1426" customWidth="1"/>
    <col min="11" max="12" width="9.140625" style="1324"/>
    <col min="13" max="13" width="15.7109375" style="1324" customWidth="1"/>
    <col min="14" max="14" width="7.42578125" style="1324" hidden="1" customWidth="1"/>
    <col min="15" max="16" width="9.140625" style="1324" hidden="1" customWidth="1"/>
    <col min="17" max="16384" width="9.140625" style="1324"/>
  </cols>
  <sheetData>
    <row r="1" spans="1:19" ht="26.25" customHeight="1">
      <c r="A1" s="1534" t="s">
        <v>1408</v>
      </c>
      <c r="B1" s="1138"/>
      <c r="C1" s="1137"/>
      <c r="D1" s="1138"/>
      <c r="E1" s="1138"/>
      <c r="F1" s="1140"/>
      <c r="G1" s="1138"/>
      <c r="H1" s="795"/>
      <c r="I1" s="795"/>
      <c r="J1" s="795"/>
    </row>
    <row r="2" spans="1:19" ht="26.25" customHeight="1">
      <c r="B2" s="1138"/>
      <c r="C2" s="1137" t="str">
        <f>'1.1 - APPLIANCES'!C2</f>
        <v>MULTIFAMILY PERFORMANCE PROGRAM</v>
      </c>
      <c r="D2" s="1138"/>
      <c r="E2" s="1138"/>
      <c r="F2" s="1140"/>
      <c r="G2" s="1138"/>
      <c r="H2" s="795"/>
      <c r="I2" s="795"/>
      <c r="J2" s="795"/>
    </row>
    <row r="3" spans="1:19" ht="26.25" customHeight="1">
      <c r="B3" s="1138"/>
      <c r="C3" s="1139" t="s">
        <v>368</v>
      </c>
      <c r="D3" s="1139">
        <f>'Project Info'!C3</f>
        <v>0</v>
      </c>
      <c r="E3" s="1138"/>
      <c r="F3" s="1140"/>
      <c r="G3" s="1138"/>
      <c r="H3" s="795"/>
      <c r="I3" s="795"/>
      <c r="J3" s="795"/>
    </row>
    <row r="4" spans="1:19" ht="26.25" customHeight="1">
      <c r="A4" s="1430"/>
      <c r="B4" s="1168"/>
      <c r="C4" s="1139"/>
      <c r="D4" s="1139"/>
      <c r="E4" s="1168"/>
      <c r="F4" s="1248"/>
      <c r="G4" s="1168"/>
      <c r="H4" s="1652"/>
      <c r="I4" s="1652"/>
      <c r="J4" s="1652"/>
      <c r="K4" s="1430"/>
      <c r="L4" s="1430"/>
      <c r="M4" s="1430"/>
      <c r="N4" s="1430"/>
      <c r="O4" s="1430"/>
      <c r="P4" s="1430"/>
      <c r="Q4" s="1430"/>
      <c r="R4" s="1430"/>
      <c r="S4" s="1430"/>
    </row>
    <row r="5" spans="1:19" s="1532" customFormat="1" ht="15.75">
      <c r="A5" s="1533"/>
      <c r="B5" s="1158" t="s">
        <v>1850</v>
      </c>
      <c r="C5" s="1249"/>
      <c r="D5" s="1249"/>
      <c r="E5" s="1250"/>
      <c r="F5" s="1251"/>
      <c r="G5" s="1251"/>
      <c r="H5" s="2721" t="s">
        <v>1411</v>
      </c>
      <c r="I5" s="2722"/>
      <c r="J5" s="1352" t="s">
        <v>1412</v>
      </c>
      <c r="K5" s="1533"/>
      <c r="L5" s="1533"/>
      <c r="M5" s="1533"/>
      <c r="N5" s="1533"/>
      <c r="O5" s="1533"/>
      <c r="P5" s="1533"/>
      <c r="Q5" s="1533"/>
      <c r="R5" s="1533"/>
      <c r="S5" s="1533"/>
    </row>
    <row r="6" spans="1:19">
      <c r="A6" s="1430"/>
      <c r="B6" s="1149"/>
      <c r="C6" s="1149"/>
      <c r="D6" s="1149"/>
      <c r="E6" s="1149"/>
      <c r="F6" s="1149"/>
      <c r="G6" s="1149"/>
      <c r="H6" s="2756" t="s">
        <v>1413</v>
      </c>
      <c r="I6" s="2756"/>
      <c r="J6" s="913"/>
      <c r="K6" s="1430"/>
      <c r="L6" s="1430"/>
      <c r="M6" s="1430"/>
      <c r="N6" s="1430"/>
      <c r="O6" s="1430"/>
      <c r="P6" s="1430"/>
      <c r="Q6" s="1430"/>
      <c r="R6" s="1430"/>
      <c r="S6" s="1430"/>
    </row>
    <row r="7" spans="1:19">
      <c r="A7" s="1430"/>
      <c r="B7" s="1069"/>
      <c r="C7" s="1069"/>
      <c r="D7" s="1069"/>
      <c r="E7" s="1069"/>
      <c r="F7" s="1069"/>
      <c r="G7" s="1149"/>
      <c r="H7" s="2756"/>
      <c r="I7" s="2756"/>
      <c r="J7" s="951"/>
      <c r="K7" s="1430"/>
      <c r="L7" s="1430"/>
      <c r="M7" s="1430"/>
      <c r="N7" s="1430"/>
      <c r="O7" s="1430"/>
      <c r="P7" s="1430"/>
      <c r="Q7" s="1430"/>
      <c r="R7" s="1430"/>
      <c r="S7" s="1430"/>
    </row>
    <row r="8" spans="1:19" ht="12.75" customHeight="1">
      <c r="A8" s="1430"/>
      <c r="B8" s="1146" t="s">
        <v>1414</v>
      </c>
      <c r="C8" s="1149"/>
      <c r="D8" s="1149"/>
      <c r="E8" s="1149"/>
      <c r="F8" s="1149"/>
      <c r="G8" s="1149"/>
      <c r="H8" s="2756"/>
      <c r="I8" s="2756"/>
      <c r="J8" s="913"/>
      <c r="K8" s="1552"/>
      <c r="L8" s="1430"/>
      <c r="M8" s="1430"/>
      <c r="N8" s="1430"/>
      <c r="O8" s="1430"/>
      <c r="P8" s="1430"/>
      <c r="Q8" s="1430"/>
      <c r="R8" s="1430"/>
      <c r="S8" s="1430"/>
    </row>
    <row r="9" spans="1:19" ht="54" customHeight="1">
      <c r="A9" s="1525"/>
      <c r="B9" s="2671" t="s">
        <v>2325</v>
      </c>
      <c r="C9" s="2671"/>
      <c r="D9" s="2671"/>
      <c r="E9" s="2671"/>
      <c r="F9" s="2671"/>
      <c r="G9" s="2671"/>
      <c r="H9" s="798"/>
      <c r="I9" s="798"/>
      <c r="J9" s="1820"/>
      <c r="K9" s="1552"/>
      <c r="L9" s="1430"/>
      <c r="M9" s="1430"/>
      <c r="N9" s="1430"/>
      <c r="O9" s="1430"/>
      <c r="P9" s="1430"/>
      <c r="Q9" s="1430"/>
      <c r="R9" s="1430"/>
      <c r="S9" s="1430"/>
    </row>
    <row r="10" spans="1:19">
      <c r="A10" s="1430"/>
      <c r="B10" s="1149"/>
      <c r="C10" s="1149"/>
      <c r="D10" s="1149"/>
      <c r="E10" s="1149"/>
      <c r="F10" s="1149"/>
      <c r="G10" s="1149"/>
      <c r="H10" s="798"/>
      <c r="I10" s="798"/>
      <c r="J10" s="1820"/>
      <c r="K10" s="1430"/>
      <c r="L10" s="1430"/>
      <c r="M10" s="1430"/>
      <c r="N10" s="1430"/>
      <c r="O10" s="1430"/>
      <c r="P10" s="1430"/>
      <c r="Q10" s="1430"/>
      <c r="R10" s="1430"/>
      <c r="S10" s="1430"/>
    </row>
    <row r="11" spans="1:19">
      <c r="A11" s="1430"/>
      <c r="B11" s="1149"/>
      <c r="C11" s="1149"/>
      <c r="D11" s="1149"/>
      <c r="E11" s="1149"/>
      <c r="F11" s="1149"/>
      <c r="G11" s="1149"/>
      <c r="H11" s="798"/>
      <c r="I11" s="798"/>
      <c r="J11" s="1820"/>
      <c r="K11" s="1430"/>
      <c r="L11" s="1430"/>
      <c r="M11" s="1430"/>
      <c r="N11" s="1430"/>
      <c r="O11" s="1430"/>
      <c r="P11" s="1430"/>
      <c r="Q11" s="1430"/>
      <c r="R11" s="1430"/>
      <c r="S11" s="1430"/>
    </row>
    <row r="12" spans="1:19">
      <c r="A12" s="1430"/>
      <c r="B12" s="1146" t="s">
        <v>1416</v>
      </c>
      <c r="C12" s="1149"/>
      <c r="D12" s="1149"/>
      <c r="E12" s="1149"/>
      <c r="F12" s="1149"/>
      <c r="G12" s="1149"/>
      <c r="H12" s="798"/>
      <c r="I12" s="798"/>
      <c r="J12" s="1820"/>
      <c r="K12" s="1430"/>
      <c r="L12" s="1430"/>
      <c r="M12" s="1430"/>
      <c r="N12" s="1430"/>
      <c r="O12" s="1430"/>
      <c r="P12" s="1430"/>
      <c r="Q12" s="1430"/>
      <c r="R12" s="1430"/>
      <c r="S12" s="1430"/>
    </row>
    <row r="13" spans="1:19">
      <c r="A13" s="1430"/>
      <c r="B13" s="1149" t="s">
        <v>1417</v>
      </c>
      <c r="C13" s="1149"/>
      <c r="D13" s="1149"/>
      <c r="E13" s="1149"/>
      <c r="F13" s="1149"/>
      <c r="G13" s="1149"/>
      <c r="H13" s="798"/>
      <c r="I13" s="798"/>
      <c r="J13" s="1820"/>
      <c r="K13" s="1430"/>
      <c r="L13" s="1430"/>
      <c r="M13" s="1430"/>
      <c r="N13" s="1430"/>
      <c r="O13" s="1430"/>
      <c r="P13" s="1430"/>
      <c r="Q13" s="1430"/>
      <c r="R13" s="1430"/>
      <c r="S13" s="1430"/>
    </row>
    <row r="14" spans="1:19">
      <c r="A14" s="1430"/>
      <c r="B14" s="1149" t="s">
        <v>1466</v>
      </c>
      <c r="C14" s="1149"/>
      <c r="D14" s="1149"/>
      <c r="E14" s="1149"/>
      <c r="F14" s="1149"/>
      <c r="G14" s="1149"/>
      <c r="H14" s="798"/>
      <c r="I14" s="798"/>
      <c r="J14" s="1820"/>
      <c r="K14" s="1430"/>
      <c r="L14" s="1430"/>
      <c r="M14" s="1430"/>
      <c r="N14" s="1430"/>
      <c r="O14" s="1430"/>
      <c r="P14" s="1430"/>
      <c r="Q14" s="1430"/>
      <c r="R14" s="1430"/>
      <c r="S14" s="1430"/>
    </row>
    <row r="15" spans="1:19">
      <c r="A15" s="1430"/>
      <c r="B15" s="1149" t="s">
        <v>1771</v>
      </c>
      <c r="C15" s="1149"/>
      <c r="D15" s="1149"/>
      <c r="E15" s="1149"/>
      <c r="F15" s="1149"/>
      <c r="G15" s="1149"/>
      <c r="H15" s="798"/>
      <c r="I15" s="798"/>
      <c r="J15" s="1820"/>
      <c r="K15" s="1430"/>
      <c r="L15" s="1430"/>
      <c r="M15" s="1430"/>
      <c r="N15" s="1430"/>
      <c r="O15" s="1430"/>
      <c r="P15" s="1430"/>
      <c r="Q15" s="1430"/>
      <c r="R15" s="1430"/>
      <c r="S15" s="1430"/>
    </row>
    <row r="16" spans="1:19">
      <c r="A16" s="1430"/>
      <c r="B16" s="1149" t="s">
        <v>1772</v>
      </c>
      <c r="C16" s="1149"/>
      <c r="D16" s="1149"/>
      <c r="E16" s="1149"/>
      <c r="F16" s="1149"/>
      <c r="G16" s="1149"/>
      <c r="H16" s="798"/>
      <c r="I16" s="798"/>
      <c r="J16" s="1820"/>
      <c r="K16" s="1430"/>
      <c r="L16" s="1430"/>
      <c r="M16" s="1430"/>
      <c r="N16" s="1430"/>
      <c r="O16" s="1430"/>
      <c r="P16" s="1430"/>
      <c r="Q16" s="1430"/>
      <c r="R16" s="1430"/>
      <c r="S16" s="1430"/>
    </row>
    <row r="17" spans="1:19">
      <c r="A17" s="1430"/>
      <c r="B17" s="1149" t="s">
        <v>1773</v>
      </c>
      <c r="C17" s="1149"/>
      <c r="D17" s="1149"/>
      <c r="E17" s="1149"/>
      <c r="F17" s="1149"/>
      <c r="G17" s="1149"/>
      <c r="H17" s="798"/>
      <c r="I17" s="798"/>
      <c r="J17" s="798"/>
      <c r="K17" s="1430"/>
      <c r="L17" s="1430"/>
      <c r="M17" s="1430"/>
      <c r="N17" s="1430"/>
      <c r="O17" s="1430"/>
      <c r="P17" s="1430"/>
      <c r="Q17" s="1430"/>
      <c r="R17" s="1430"/>
      <c r="S17" s="1430"/>
    </row>
    <row r="18" spans="1:19">
      <c r="A18" s="1430"/>
      <c r="B18" s="1149" t="s">
        <v>1851</v>
      </c>
      <c r="C18" s="1149"/>
      <c r="D18" s="1149"/>
      <c r="E18" s="1149"/>
      <c r="F18" s="1149"/>
      <c r="G18" s="1149"/>
      <c r="H18" s="798"/>
      <c r="I18" s="798"/>
      <c r="J18" s="798"/>
      <c r="K18" s="1430"/>
      <c r="L18" s="1430"/>
      <c r="M18" s="1430"/>
      <c r="N18" s="1430"/>
      <c r="O18" s="1430"/>
      <c r="P18" s="1430"/>
      <c r="Q18" s="1430"/>
      <c r="R18" s="1430"/>
      <c r="S18" s="1430"/>
    </row>
    <row r="19" spans="1:19">
      <c r="A19" s="1430"/>
      <c r="B19" s="1149" t="s">
        <v>1775</v>
      </c>
      <c r="C19" s="1149"/>
      <c r="D19" s="1149"/>
      <c r="E19" s="1149"/>
      <c r="F19" s="1149"/>
      <c r="G19" s="1149"/>
      <c r="H19" s="798"/>
      <c r="I19" s="798"/>
      <c r="J19" s="798"/>
      <c r="K19" s="1430"/>
      <c r="L19" s="1430"/>
      <c r="M19" s="1430"/>
      <c r="N19" s="1430"/>
      <c r="O19" s="1430"/>
      <c r="P19" s="1430"/>
      <c r="Q19" s="1430"/>
      <c r="R19" s="1430"/>
      <c r="S19" s="1430"/>
    </row>
    <row r="20" spans="1:19">
      <c r="A20" s="1430"/>
      <c r="B20" s="1149" t="s">
        <v>1852</v>
      </c>
      <c r="C20" s="1149"/>
      <c r="D20" s="1149"/>
      <c r="E20" s="1149"/>
      <c r="F20" s="1149"/>
      <c r="G20" s="1149"/>
      <c r="H20" s="798"/>
      <c r="I20" s="798"/>
      <c r="J20" s="798"/>
      <c r="K20" s="1430"/>
      <c r="L20" s="1430"/>
      <c r="M20" s="1430"/>
      <c r="N20" s="1430"/>
      <c r="O20" s="1430"/>
      <c r="P20" s="1430"/>
      <c r="Q20" s="1430"/>
      <c r="R20" s="1430"/>
      <c r="S20" s="1430"/>
    </row>
    <row r="21" spans="1:19">
      <c r="A21" s="1430"/>
      <c r="B21" s="1149" t="s">
        <v>1777</v>
      </c>
      <c r="C21" s="1149"/>
      <c r="D21" s="1149"/>
      <c r="E21" s="1149"/>
      <c r="F21" s="1149"/>
      <c r="G21" s="1149"/>
      <c r="H21" s="798"/>
      <c r="I21" s="798"/>
      <c r="J21" s="798"/>
      <c r="K21" s="1430"/>
      <c r="L21" s="1430"/>
      <c r="M21" s="1430"/>
      <c r="N21" s="1430"/>
      <c r="O21" s="1430"/>
      <c r="P21" s="1430"/>
      <c r="Q21" s="1430"/>
      <c r="R21" s="1430"/>
      <c r="S21" s="1430"/>
    </row>
    <row r="22" spans="1:19">
      <c r="A22" s="1430"/>
      <c r="B22" s="1149" t="s">
        <v>1778</v>
      </c>
      <c r="C22" s="1149"/>
      <c r="D22" s="1149"/>
      <c r="E22" s="1149"/>
      <c r="F22" s="1149"/>
      <c r="G22" s="1149"/>
      <c r="H22" s="798"/>
      <c r="I22" s="798"/>
      <c r="J22" s="798"/>
      <c r="K22" s="1430"/>
      <c r="L22" s="1430"/>
      <c r="M22" s="1430"/>
      <c r="N22" s="1430"/>
      <c r="O22" s="1430"/>
      <c r="P22" s="1430"/>
      <c r="Q22" s="1430"/>
      <c r="R22" s="1430"/>
      <c r="S22" s="1430"/>
    </row>
    <row r="23" spans="1:19">
      <c r="A23" s="1430"/>
      <c r="B23" s="1149" t="s">
        <v>1779</v>
      </c>
      <c r="C23" s="1149"/>
      <c r="D23" s="1149"/>
      <c r="E23" s="1149"/>
      <c r="F23" s="1149"/>
      <c r="G23" s="1149"/>
      <c r="H23" s="798"/>
      <c r="I23" s="798"/>
      <c r="J23" s="798"/>
      <c r="K23" s="1430"/>
      <c r="L23" s="1430"/>
      <c r="M23" s="1430"/>
      <c r="N23" s="1430"/>
      <c r="O23" s="1430"/>
      <c r="P23" s="1430"/>
      <c r="Q23" s="1430"/>
      <c r="R23" s="1430"/>
      <c r="S23" s="1430"/>
    </row>
    <row r="24" spans="1:19">
      <c r="A24" s="1430"/>
      <c r="B24" s="1149"/>
      <c r="C24" s="1149"/>
      <c r="D24" s="1149"/>
      <c r="E24" s="1149"/>
      <c r="F24" s="1149"/>
      <c r="G24" s="1149"/>
      <c r="H24" s="798"/>
      <c r="I24" s="798"/>
      <c r="J24" s="798"/>
      <c r="K24" s="1430"/>
      <c r="L24" s="1430"/>
      <c r="M24" s="1430"/>
      <c r="N24" s="1430"/>
      <c r="O24" s="1430"/>
      <c r="P24" s="1430"/>
      <c r="Q24" s="1430"/>
      <c r="R24" s="1430"/>
      <c r="S24" s="1430"/>
    </row>
    <row r="25" spans="1:19">
      <c r="A25" s="1430"/>
      <c r="B25" s="1148" t="s">
        <v>1420</v>
      </c>
      <c r="C25" s="1149"/>
      <c r="D25" s="1149"/>
      <c r="E25" s="1149"/>
      <c r="F25" s="1149"/>
      <c r="G25" s="1149"/>
      <c r="H25" s="798"/>
      <c r="I25" s="798"/>
      <c r="J25" s="798"/>
      <c r="K25" s="1430"/>
      <c r="L25" s="1430"/>
      <c r="M25" s="1430"/>
      <c r="N25" s="1430"/>
      <c r="O25" s="1430"/>
      <c r="P25" s="1430"/>
      <c r="Q25" s="1430"/>
      <c r="R25" s="1430"/>
      <c r="S25" s="1430"/>
    </row>
    <row r="26" spans="1:19" ht="65.099999999999994" customHeight="1">
      <c r="A26" s="1430"/>
      <c r="B26" s="2671" t="s">
        <v>1853</v>
      </c>
      <c r="C26" s="2671"/>
      <c r="D26" s="2671"/>
      <c r="E26" s="2671"/>
      <c r="F26" s="2671"/>
      <c r="G26" s="1149"/>
      <c r="H26" s="798"/>
      <c r="I26" s="798"/>
      <c r="J26" s="798"/>
      <c r="K26" s="1430"/>
      <c r="L26" s="1430"/>
      <c r="M26" s="1430"/>
      <c r="N26" s="1430"/>
      <c r="O26" s="1430"/>
      <c r="P26" s="1430"/>
      <c r="Q26" s="1430"/>
      <c r="R26" s="1430"/>
      <c r="S26" s="1430"/>
    </row>
    <row r="27" spans="1:19" ht="13.5" customHeight="1">
      <c r="A27" s="1430"/>
      <c r="B27" s="2671" t="s">
        <v>1854</v>
      </c>
      <c r="C27" s="2671"/>
      <c r="D27" s="2671"/>
      <c r="E27" s="2671"/>
      <c r="F27" s="2671"/>
      <c r="G27" s="1149"/>
      <c r="H27" s="798"/>
      <c r="I27" s="798"/>
      <c r="J27" s="798"/>
      <c r="K27" s="1430"/>
      <c r="L27" s="1430"/>
      <c r="M27" s="1430"/>
      <c r="N27" s="1430"/>
      <c r="O27" s="1430"/>
      <c r="P27" s="1430"/>
      <c r="Q27" s="1430"/>
      <c r="R27" s="1430"/>
      <c r="S27" s="1430"/>
    </row>
    <row r="28" spans="1:19" ht="15" customHeight="1">
      <c r="A28" s="1430"/>
      <c r="B28" s="2787" t="s">
        <v>1855</v>
      </c>
      <c r="C28" s="2927"/>
      <c r="D28" s="2927"/>
      <c r="E28" s="2927"/>
      <c r="F28" s="2927"/>
      <c r="G28" s="1149"/>
      <c r="H28" s="798"/>
      <c r="I28" s="798"/>
      <c r="J28" s="798"/>
      <c r="K28" s="1430"/>
      <c r="L28" s="1430"/>
      <c r="M28" s="1430"/>
      <c r="N28" s="1430"/>
      <c r="O28" s="1430"/>
      <c r="P28" s="1430"/>
      <c r="Q28" s="1430"/>
      <c r="R28" s="1430"/>
      <c r="S28" s="1430"/>
    </row>
    <row r="29" spans="1:19" s="1561" customFormat="1" ht="80.099999999999994" customHeight="1">
      <c r="A29" s="1565"/>
      <c r="B29" s="1724" t="s">
        <v>1425</v>
      </c>
      <c r="C29" s="1342"/>
      <c r="D29" s="1342"/>
      <c r="E29" s="1342"/>
      <c r="F29" s="1342" t="s">
        <v>1433</v>
      </c>
      <c r="G29" s="1342" t="s">
        <v>1856</v>
      </c>
      <c r="H29" s="1155" t="s">
        <v>1435</v>
      </c>
      <c r="I29" s="1819"/>
      <c r="J29" s="1819"/>
      <c r="K29" s="1562"/>
      <c r="L29" s="1562"/>
      <c r="M29" s="1562"/>
      <c r="N29" s="1562"/>
      <c r="O29" s="1562"/>
      <c r="P29" s="1562"/>
      <c r="Q29" s="1562"/>
    </row>
    <row r="30" spans="1:19" ht="339.75" customHeight="1">
      <c r="A30" s="1426"/>
      <c r="B30" s="2680" t="s">
        <v>2324</v>
      </c>
      <c r="C30" s="2681"/>
      <c r="D30" s="2681"/>
      <c r="E30" s="2681"/>
      <c r="F30" s="1388"/>
      <c r="G30" s="1388"/>
      <c r="H30" s="1388"/>
    </row>
    <row r="31" spans="1:19" s="1561" customFormat="1" ht="80.099999999999994" customHeight="1">
      <c r="A31" s="1565"/>
      <c r="B31" s="1342" t="s">
        <v>1439</v>
      </c>
      <c r="C31" s="1342" t="s">
        <v>1426</v>
      </c>
      <c r="D31" s="2741" t="s">
        <v>1504</v>
      </c>
      <c r="E31" s="2741"/>
      <c r="F31" s="1342" t="s">
        <v>1559</v>
      </c>
      <c r="G31" s="1342" t="s">
        <v>1856</v>
      </c>
      <c r="H31" s="1155" t="s">
        <v>1435</v>
      </c>
      <c r="I31" s="1155" t="s">
        <v>1436</v>
      </c>
      <c r="J31" s="1342" t="s">
        <v>1857</v>
      </c>
      <c r="K31" s="1562"/>
      <c r="L31" s="1562"/>
      <c r="M31" s="1562"/>
      <c r="N31" s="1562"/>
      <c r="O31" s="1562"/>
      <c r="P31" s="1562"/>
      <c r="Q31" s="1562"/>
      <c r="R31" s="1562"/>
      <c r="S31" s="1562"/>
    </row>
    <row r="32" spans="1:19" s="1561" customFormat="1" ht="306">
      <c r="A32" s="1818"/>
      <c r="B32" s="2945" t="s">
        <v>2323</v>
      </c>
      <c r="C32" s="909" t="str">
        <f>IF('Project Info'!C4='Project Info'!P32,'Prescriptive Path Checklist'!C126,IF('Project Info'!C4='Project Info'!P33,#REF!,"&lt;Select compliance path on the 'Project Info' tab&gt;"))</f>
        <v>Ventilation system ductwork shall be sealed at all transverse joints and connections including boot to wall/ceiling connections through drywall using UL-181 compliant materials and methods. Central exhaust systems that serve one or more apartments must be tested for duct leakage, which cannot exceed the sum of 5 CFM50 per register per shaft plus 5 CFM50 per floor per shaft.</v>
      </c>
      <c r="D32" s="2766">
        <f>ERMs!B54</f>
        <v>0</v>
      </c>
      <c r="E32" s="2939"/>
      <c r="F32" s="1388"/>
      <c r="G32" s="1388"/>
      <c r="H32" s="1388"/>
      <c r="I32" s="1370"/>
      <c r="J32" s="1341"/>
      <c r="K32" s="1562"/>
      <c r="L32" s="1562"/>
      <c r="M32" s="1562"/>
      <c r="N32" s="1562"/>
      <c r="O32" s="1562"/>
      <c r="P32" s="1562"/>
      <c r="Q32" s="1562"/>
      <c r="R32" s="1562"/>
      <c r="S32" s="1562"/>
    </row>
    <row r="33" spans="1:73" s="1561" customFormat="1" ht="180" customHeight="1">
      <c r="A33" s="1818"/>
      <c r="B33" s="2946"/>
      <c r="C33" s="1817" t="str">
        <f>IF('Project Info'!C4='Project Info'!P32,'Prescriptive Path Checklist'!C127,IF('Project Info'!C4='Project Info'!P33,#REF!,"&lt;Select compliance path on the 'Project Info' tab&gt;"))</f>
        <v>Ductwork penetrating the building envelope shall be sealed to prevent air leakage through the duct system and/or the building envelope. This includes but is not limited to roof curbs and exterior wall exhaust/intake vents.</v>
      </c>
      <c r="D33" s="2750"/>
      <c r="E33" s="2940"/>
      <c r="F33" s="1388"/>
      <c r="G33" s="1388"/>
      <c r="H33" s="1388"/>
      <c r="I33" s="1370"/>
      <c r="J33" s="1341"/>
      <c r="K33" s="1562"/>
      <c r="L33" s="1562"/>
      <c r="M33" s="1562"/>
      <c r="N33" s="1562"/>
      <c r="O33" s="1562"/>
      <c r="P33" s="1562"/>
      <c r="Q33" s="1562"/>
      <c r="R33" s="1562"/>
      <c r="S33" s="1562"/>
    </row>
    <row r="34" spans="1:73" ht="203.25" customHeight="1">
      <c r="A34" s="1426"/>
      <c r="B34" s="2682" t="s">
        <v>2322</v>
      </c>
      <c r="C34" s="2943"/>
      <c r="D34" s="2943"/>
      <c r="E34" s="2943"/>
      <c r="F34" s="2943"/>
      <c r="G34" s="2943"/>
      <c r="H34" s="2944"/>
      <c r="I34" s="1370"/>
      <c r="J34" s="1341"/>
    </row>
    <row r="35" spans="1:73" s="1561" customFormat="1">
      <c r="A35" s="1816"/>
      <c r="B35" s="2680" t="s">
        <v>2321</v>
      </c>
      <c r="C35" s="2681"/>
      <c r="D35" s="2681"/>
      <c r="E35" s="2681"/>
      <c r="F35" s="2681"/>
      <c r="G35" s="2681"/>
      <c r="H35" s="2681"/>
      <c r="I35" s="1370"/>
      <c r="J35" s="1341"/>
      <c r="K35" s="1562"/>
      <c r="L35" s="1562"/>
      <c r="M35" s="1562"/>
      <c r="N35" s="1562"/>
      <c r="O35" s="1562"/>
      <c r="P35" s="1562"/>
      <c r="Q35" s="1562"/>
      <c r="R35" s="1562"/>
      <c r="S35" s="1562"/>
    </row>
    <row r="36" spans="1:73" s="1561" customFormat="1" ht="51" customHeight="1">
      <c r="A36" s="1565"/>
      <c r="B36" s="2680" t="s">
        <v>1858</v>
      </c>
      <c r="C36" s="2681"/>
      <c r="D36" s="2681"/>
      <c r="E36" s="2681"/>
      <c r="F36" s="2681"/>
      <c r="G36" s="2681"/>
      <c r="H36" s="2681"/>
      <c r="I36" s="1370"/>
      <c r="J36" s="1341"/>
      <c r="K36" s="1562"/>
      <c r="L36" s="1562"/>
      <c r="M36" s="1562"/>
      <c r="N36" s="1562"/>
      <c r="O36" s="1562"/>
      <c r="P36" s="1562"/>
      <c r="Q36" s="1562"/>
      <c r="R36" s="1562"/>
      <c r="S36" s="1562"/>
    </row>
    <row r="37" spans="1:73" s="1561" customFormat="1" ht="27.75" customHeight="1">
      <c r="A37" s="1565"/>
      <c r="B37" s="2680" t="s">
        <v>1859</v>
      </c>
      <c r="C37" s="2681"/>
      <c r="D37" s="2681"/>
      <c r="E37" s="2681"/>
      <c r="F37" s="2681"/>
      <c r="G37" s="2681"/>
      <c r="H37" s="2681"/>
      <c r="I37" s="1370"/>
      <c r="J37" s="1341"/>
      <c r="K37" s="1562"/>
      <c r="L37" s="1562"/>
      <c r="M37" s="1562"/>
      <c r="N37" s="1562"/>
      <c r="O37" s="1562"/>
      <c r="P37" s="1562"/>
      <c r="Q37" s="1562"/>
      <c r="R37" s="1562"/>
      <c r="S37" s="1562"/>
    </row>
    <row r="38" spans="1:73" s="1561" customFormat="1" ht="54.75" customHeight="1">
      <c r="A38" s="1565"/>
      <c r="B38" s="2680" t="s">
        <v>1860</v>
      </c>
      <c r="C38" s="2681"/>
      <c r="D38" s="2681"/>
      <c r="E38" s="2681"/>
      <c r="F38" s="2681"/>
      <c r="G38" s="2681"/>
      <c r="H38" s="2681"/>
      <c r="I38" s="1370"/>
      <c r="J38" s="1341"/>
      <c r="K38" s="1562"/>
      <c r="L38" s="1562"/>
      <c r="M38" s="1562"/>
      <c r="N38" s="1562"/>
      <c r="O38" s="1562"/>
      <c r="P38" s="1562"/>
      <c r="Q38" s="1562"/>
      <c r="R38" s="1562"/>
      <c r="S38" s="1562"/>
    </row>
    <row r="39" spans="1:73" s="1561" customFormat="1" ht="27.75" customHeight="1">
      <c r="A39" s="1565"/>
      <c r="B39" s="2680" t="s">
        <v>1861</v>
      </c>
      <c r="C39" s="2681"/>
      <c r="D39" s="2681"/>
      <c r="E39" s="2681"/>
      <c r="F39" s="2681"/>
      <c r="G39" s="2681"/>
      <c r="H39" s="2681"/>
      <c r="I39" s="1370"/>
      <c r="J39" s="1341"/>
      <c r="K39" s="1562"/>
      <c r="L39" s="1562"/>
      <c r="M39" s="1562"/>
      <c r="N39" s="1562"/>
      <c r="O39" s="1562"/>
      <c r="P39" s="1562"/>
      <c r="Q39" s="1562"/>
      <c r="R39" s="1562"/>
      <c r="S39" s="1562"/>
    </row>
    <row r="40" spans="1:73" s="1561" customFormat="1" ht="26.25" customHeight="1">
      <c r="A40" s="1565"/>
      <c r="B40" s="2680" t="s">
        <v>1862</v>
      </c>
      <c r="C40" s="2681"/>
      <c r="D40" s="2681"/>
      <c r="E40" s="2681"/>
      <c r="F40" s="2681"/>
      <c r="G40" s="2681"/>
      <c r="H40" s="2681"/>
      <c r="I40" s="1370"/>
      <c r="J40" s="1341"/>
      <c r="K40" s="1562"/>
      <c r="L40" s="1562"/>
      <c r="M40" s="1562"/>
      <c r="N40" s="1562"/>
      <c r="O40" s="1562"/>
      <c r="P40" s="1562"/>
      <c r="Q40" s="1562"/>
      <c r="R40" s="1562"/>
      <c r="S40" s="1562"/>
    </row>
    <row r="41" spans="1:73" s="1561" customFormat="1" ht="65.25" customHeight="1">
      <c r="A41" s="1565"/>
      <c r="B41" s="2680" t="s">
        <v>1863</v>
      </c>
      <c r="C41" s="2681"/>
      <c r="D41" s="2681"/>
      <c r="E41" s="2681"/>
      <c r="F41" s="2681"/>
      <c r="G41" s="2681"/>
      <c r="H41" s="2681"/>
      <c r="I41" s="1370"/>
      <c r="J41" s="1341"/>
      <c r="K41" s="1562"/>
      <c r="L41" s="1562"/>
      <c r="M41" s="1562"/>
      <c r="N41" s="1562"/>
      <c r="O41" s="1562"/>
      <c r="P41" s="1562"/>
      <c r="Q41" s="1562"/>
      <c r="R41" s="1562"/>
      <c r="S41" s="1562"/>
    </row>
    <row r="42" spans="1:73" s="1561" customFormat="1" ht="33.75" customHeight="1">
      <c r="A42" s="1562"/>
      <c r="B42" s="1681"/>
      <c r="C42" s="1681"/>
      <c r="D42" s="1681"/>
      <c r="E42" s="1681"/>
      <c r="F42" s="1681"/>
      <c r="G42" s="2947"/>
      <c r="H42" s="2947"/>
      <c r="I42" s="2948"/>
      <c r="J42" s="2948"/>
      <c r="K42" s="1562"/>
      <c r="L42" s="1562"/>
      <c r="M42" s="1562"/>
      <c r="N42" s="1562"/>
      <c r="O42" s="1562"/>
      <c r="P42" s="1562"/>
      <c r="Q42" s="1562"/>
      <c r="R42" s="1562"/>
      <c r="S42" s="1562"/>
    </row>
    <row r="43" spans="1:73">
      <c r="B43" s="1068" t="s">
        <v>2320</v>
      </c>
      <c r="C43" s="1069"/>
      <c r="D43" s="1069"/>
      <c r="E43" s="1069"/>
      <c r="F43" s="1069"/>
      <c r="G43" s="1069"/>
    </row>
    <row r="45" spans="1:73" s="1552" customFormat="1" ht="91.5" customHeight="1">
      <c r="A45" s="1529"/>
      <c r="B45" s="1394" t="s">
        <v>1811</v>
      </c>
      <c r="C45" s="1394" t="s">
        <v>2319</v>
      </c>
      <c r="D45" s="1394" t="s">
        <v>2318</v>
      </c>
      <c r="E45" s="1394" t="s">
        <v>2317</v>
      </c>
      <c r="F45" s="1394" t="s">
        <v>2316</v>
      </c>
      <c r="G45" s="1394" t="s">
        <v>1631</v>
      </c>
      <c r="H45" s="1234" t="s">
        <v>2315</v>
      </c>
      <c r="I45" s="2950" t="s">
        <v>698</v>
      </c>
      <c r="J45" s="2950"/>
      <c r="M45" s="1529"/>
      <c r="N45" s="1529"/>
      <c r="O45" s="1529"/>
      <c r="P45" s="1529"/>
      <c r="Q45" s="1529"/>
      <c r="R45" s="1529"/>
      <c r="S45" s="1529"/>
      <c r="T45" s="1529"/>
      <c r="U45" s="1529"/>
      <c r="V45" s="1529"/>
      <c r="W45" s="1529"/>
      <c r="X45" s="1529"/>
      <c r="Y45" s="1529"/>
      <c r="Z45" s="1529"/>
      <c r="AA45" s="1529"/>
      <c r="AB45" s="1529"/>
      <c r="AC45" s="1529"/>
      <c r="AD45" s="1529"/>
      <c r="AE45" s="1529"/>
      <c r="AF45" s="1529"/>
      <c r="AG45" s="1529"/>
      <c r="AH45" s="1529"/>
      <c r="AI45" s="1529"/>
      <c r="AJ45" s="1529"/>
      <c r="AK45" s="1529"/>
      <c r="AL45" s="1529"/>
      <c r="AM45" s="1529"/>
      <c r="AN45" s="1529"/>
      <c r="AO45" s="1529"/>
      <c r="AP45" s="1529"/>
      <c r="AQ45" s="1529"/>
      <c r="AR45" s="1529"/>
      <c r="AS45" s="1529"/>
      <c r="AT45" s="1529"/>
      <c r="AU45" s="1529"/>
      <c r="AV45" s="1529"/>
      <c r="AW45" s="1529"/>
      <c r="AX45" s="1529"/>
      <c r="AY45" s="1529"/>
      <c r="AZ45" s="1529"/>
      <c r="BA45" s="1529"/>
      <c r="BB45" s="1529"/>
      <c r="BC45" s="1529"/>
      <c r="BD45" s="1529"/>
      <c r="BE45" s="1529"/>
      <c r="BF45" s="1529"/>
      <c r="BG45" s="1529"/>
      <c r="BH45" s="1529"/>
      <c r="BI45" s="1529"/>
      <c r="BJ45" s="1529"/>
      <c r="BK45" s="1529"/>
      <c r="BL45" s="1529"/>
      <c r="BM45" s="1529"/>
      <c r="BN45" s="1529"/>
      <c r="BO45" s="1529"/>
      <c r="BP45" s="1529"/>
      <c r="BQ45" s="1529"/>
      <c r="BR45" s="1529"/>
      <c r="BS45" s="1529"/>
      <c r="BT45" s="1529"/>
      <c r="BU45" s="1529"/>
    </row>
    <row r="46" spans="1:73" s="1552" customFormat="1" ht="29.25" customHeight="1">
      <c r="A46" s="1529"/>
      <c r="B46" s="1385"/>
      <c r="C46" s="1385"/>
      <c r="D46" s="1815"/>
      <c r="E46" s="952"/>
      <c r="F46" s="940"/>
      <c r="G46" s="953" t="e">
        <f t="shared" ref="G46:G54" si="0">F46/E46</f>
        <v>#DIV/0!</v>
      </c>
      <c r="H46" s="954" t="str">
        <f>IF('Project Info'!C4="Prescriptive",2.5*C46+2.5*D46, IF('Project Info'!C4="Performance",5*C46+5*D46,""))</f>
        <v/>
      </c>
      <c r="I46" s="2941"/>
      <c r="J46" s="2942"/>
      <c r="M46" s="1529"/>
      <c r="N46" s="1529"/>
      <c r="O46" s="1529"/>
      <c r="P46" s="1529"/>
      <c r="Q46" s="1529"/>
      <c r="R46" s="1529"/>
      <c r="S46" s="1529"/>
      <c r="T46" s="1529"/>
      <c r="U46" s="1529"/>
      <c r="V46" s="1529"/>
      <c r="W46" s="1529"/>
      <c r="X46" s="1529"/>
      <c r="Y46" s="1529"/>
      <c r="Z46" s="1529"/>
      <c r="AA46" s="1529"/>
      <c r="AB46" s="1529"/>
      <c r="AC46" s="1529"/>
      <c r="AD46" s="1529"/>
      <c r="AE46" s="1529"/>
      <c r="AF46" s="1529"/>
      <c r="AG46" s="1529"/>
      <c r="AH46" s="1529"/>
      <c r="AI46" s="1529"/>
      <c r="AJ46" s="1529"/>
      <c r="AK46" s="1529"/>
      <c r="AL46" s="1529"/>
      <c r="AM46" s="1529"/>
      <c r="AN46" s="1529"/>
      <c r="AO46" s="1529"/>
      <c r="AP46" s="1529"/>
      <c r="AQ46" s="1529"/>
      <c r="AR46" s="1529"/>
      <c r="AS46" s="1529"/>
      <c r="AT46" s="1529"/>
      <c r="AU46" s="1529"/>
      <c r="AV46" s="1529"/>
      <c r="AW46" s="1529"/>
      <c r="AX46" s="1529"/>
      <c r="AY46" s="1529"/>
      <c r="AZ46" s="1529"/>
      <c r="BA46" s="1529"/>
      <c r="BB46" s="1529"/>
      <c r="BC46" s="1529"/>
      <c r="BD46" s="1529"/>
      <c r="BE46" s="1529"/>
      <c r="BF46" s="1529"/>
      <c r="BG46" s="1529"/>
      <c r="BH46" s="1529"/>
      <c r="BI46" s="1529"/>
      <c r="BJ46" s="1529"/>
      <c r="BK46" s="1529"/>
      <c r="BL46" s="1529"/>
      <c r="BM46" s="1529"/>
      <c r="BN46" s="1529"/>
      <c r="BO46" s="1529"/>
      <c r="BP46" s="1529"/>
      <c r="BQ46" s="1529"/>
      <c r="BR46" s="1529"/>
      <c r="BS46" s="1529"/>
      <c r="BT46" s="1529"/>
      <c r="BU46" s="1529"/>
    </row>
    <row r="47" spans="1:73" s="1552" customFormat="1" ht="29.25" customHeight="1">
      <c r="A47" s="1529"/>
      <c r="B47" s="1385"/>
      <c r="C47" s="1385"/>
      <c r="D47" s="1815"/>
      <c r="E47" s="952"/>
      <c r="F47" s="940"/>
      <c r="G47" s="953" t="e">
        <f t="shared" si="0"/>
        <v>#DIV/0!</v>
      </c>
      <c r="H47" s="954" t="str">
        <f>IF('Project Info'!C4="Prescriptive",2.5*C47+2.5*D47, IF('Project Info'!C4="Performance",5*C47+5*D47,""))</f>
        <v/>
      </c>
      <c r="I47" s="2941"/>
      <c r="J47" s="2942"/>
      <c r="L47" s="1718"/>
      <c r="M47" s="1529"/>
      <c r="N47" s="1529"/>
      <c r="O47" s="1529"/>
      <c r="P47" s="1529"/>
      <c r="Q47" s="1529"/>
      <c r="R47" s="1529"/>
      <c r="S47" s="1529"/>
      <c r="T47" s="1529"/>
      <c r="U47" s="1529"/>
      <c r="V47" s="1529"/>
      <c r="W47" s="1529"/>
      <c r="X47" s="1529"/>
      <c r="Y47" s="1529"/>
      <c r="Z47" s="1529"/>
      <c r="AA47" s="1529"/>
      <c r="AB47" s="1529"/>
      <c r="AC47" s="1529"/>
      <c r="AD47" s="1529"/>
      <c r="AE47" s="1529"/>
      <c r="AF47" s="1529"/>
      <c r="AG47" s="1529"/>
      <c r="AH47" s="1529"/>
      <c r="AI47" s="1529"/>
      <c r="AJ47" s="1529"/>
      <c r="AK47" s="1529"/>
      <c r="AL47" s="1529"/>
      <c r="AM47" s="1529"/>
      <c r="AN47" s="1529"/>
      <c r="AO47" s="1529"/>
      <c r="AP47" s="1529"/>
      <c r="AQ47" s="1529"/>
      <c r="AR47" s="1529"/>
      <c r="AS47" s="1529"/>
      <c r="AT47" s="1529"/>
      <c r="AU47" s="1529"/>
      <c r="AV47" s="1529"/>
      <c r="AW47" s="1529"/>
      <c r="AX47" s="1529"/>
      <c r="AY47" s="1529"/>
      <c r="AZ47" s="1529"/>
      <c r="BA47" s="1529"/>
      <c r="BB47" s="1529"/>
      <c r="BC47" s="1529"/>
      <c r="BD47" s="1529"/>
      <c r="BE47" s="1529"/>
      <c r="BF47" s="1529"/>
      <c r="BG47" s="1529"/>
      <c r="BH47" s="1529"/>
      <c r="BI47" s="1529"/>
      <c r="BJ47" s="1529"/>
      <c r="BK47" s="1529"/>
      <c r="BL47" s="1529"/>
      <c r="BM47" s="1529"/>
      <c r="BN47" s="1529"/>
      <c r="BO47" s="1529"/>
      <c r="BP47" s="1529"/>
      <c r="BQ47" s="1529"/>
      <c r="BR47" s="1529"/>
      <c r="BS47" s="1529"/>
      <c r="BT47" s="1529"/>
      <c r="BU47" s="1529"/>
    </row>
    <row r="48" spans="1:73" s="1552" customFormat="1" ht="29.25" customHeight="1">
      <c r="A48" s="1529"/>
      <c r="B48" s="1385"/>
      <c r="C48" s="1385"/>
      <c r="D48" s="1815"/>
      <c r="E48" s="952"/>
      <c r="F48" s="940"/>
      <c r="G48" s="953" t="e">
        <f t="shared" si="0"/>
        <v>#DIV/0!</v>
      </c>
      <c r="H48" s="954" t="str">
        <f>IF('Project Info'!C4="Prescriptive",2.5*C48+2.5*D48, IF('Project Info'!C4="Performance",5*C48+5*D48,""))</f>
        <v/>
      </c>
      <c r="I48" s="2941"/>
      <c r="J48" s="2942"/>
      <c r="L48" s="1718"/>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29"/>
      <c r="BF48" s="1529"/>
      <c r="BG48" s="1529"/>
      <c r="BH48" s="1529"/>
      <c r="BI48" s="1529"/>
      <c r="BJ48" s="1529"/>
      <c r="BK48" s="1529"/>
      <c r="BL48" s="1529"/>
      <c r="BM48" s="1529"/>
      <c r="BN48" s="1529"/>
      <c r="BO48" s="1529"/>
      <c r="BP48" s="1529"/>
      <c r="BQ48" s="1529"/>
      <c r="BR48" s="1529"/>
      <c r="BS48" s="1529"/>
      <c r="BT48" s="1529"/>
      <c r="BU48" s="1529"/>
    </row>
    <row r="49" spans="1:73" s="1661" customFormat="1" ht="29.25" customHeight="1">
      <c r="A49" s="1540"/>
      <c r="B49" s="1385"/>
      <c r="C49" s="1385"/>
      <c r="D49" s="1815"/>
      <c r="E49" s="952"/>
      <c r="F49" s="940"/>
      <c r="G49" s="953" t="e">
        <f t="shared" si="0"/>
        <v>#DIV/0!</v>
      </c>
      <c r="H49" s="954" t="str">
        <f>IF('Project Info'!C4="Prescriptive",2.5*C49+2.5*D49, IF('Project Info'!C4="Performance",5*C49+5*D49,""))</f>
        <v/>
      </c>
      <c r="I49" s="2941"/>
      <c r="J49" s="2942"/>
      <c r="L49" s="1715"/>
      <c r="M49" s="1540"/>
      <c r="N49" s="1540"/>
      <c r="O49" s="1540"/>
      <c r="P49" s="1540"/>
      <c r="Q49" s="1540"/>
      <c r="R49" s="1540"/>
      <c r="S49" s="1540"/>
      <c r="T49" s="1540"/>
      <c r="U49" s="1540"/>
      <c r="V49" s="1540"/>
      <c r="W49" s="1540"/>
      <c r="X49" s="1540"/>
      <c r="Y49" s="1540"/>
      <c r="Z49" s="1540"/>
      <c r="AA49" s="1540"/>
      <c r="AB49" s="1540"/>
      <c r="AC49" s="1540"/>
      <c r="AD49" s="1540"/>
      <c r="AE49" s="1540"/>
      <c r="AF49" s="1540"/>
      <c r="AG49" s="1540"/>
      <c r="AH49" s="1540"/>
      <c r="AI49" s="1540"/>
      <c r="AJ49" s="1540"/>
      <c r="AK49" s="1540"/>
      <c r="AL49" s="1540"/>
      <c r="AM49" s="1540"/>
      <c r="AN49" s="1540"/>
      <c r="AO49" s="1540"/>
      <c r="AP49" s="1540"/>
      <c r="AQ49" s="1540"/>
      <c r="AR49" s="1540"/>
      <c r="AS49" s="1540"/>
      <c r="AT49" s="1540"/>
      <c r="AU49" s="1540"/>
      <c r="AV49" s="1540"/>
      <c r="AW49" s="1540"/>
      <c r="AX49" s="1540"/>
      <c r="AY49" s="1540"/>
      <c r="AZ49" s="1540"/>
      <c r="BA49" s="1540"/>
      <c r="BB49" s="1540"/>
      <c r="BC49" s="1540"/>
      <c r="BD49" s="1540"/>
      <c r="BE49" s="1540"/>
      <c r="BF49" s="1540"/>
      <c r="BG49" s="1540"/>
      <c r="BH49" s="1540"/>
      <c r="BI49" s="1540"/>
      <c r="BJ49" s="1540"/>
      <c r="BK49" s="1540"/>
      <c r="BL49" s="1540"/>
      <c r="BM49" s="1540"/>
      <c r="BN49" s="1540"/>
      <c r="BO49" s="1540"/>
      <c r="BP49" s="1540"/>
      <c r="BQ49" s="1540"/>
      <c r="BR49" s="1540"/>
      <c r="BS49" s="1540"/>
      <c r="BT49" s="1540"/>
      <c r="BU49" s="1540"/>
    </row>
    <row r="50" spans="1:73" ht="29.25" customHeight="1">
      <c r="A50" s="795"/>
      <c r="B50" s="941"/>
      <c r="C50" s="1385"/>
      <c r="D50" s="1815"/>
      <c r="E50" s="952"/>
      <c r="F50" s="940"/>
      <c r="G50" s="953" t="e">
        <f t="shared" si="0"/>
        <v>#DIV/0!</v>
      </c>
      <c r="H50" s="954" t="str">
        <f>IF('Project Info'!C4="Prescriptive",2.5*C50+2.5*D50, IF('Project Info'!C4="Performance",5*C50+5*D50,""))</f>
        <v/>
      </c>
      <c r="I50" s="2941"/>
      <c r="J50" s="2942"/>
      <c r="L50" s="1715"/>
      <c r="M50" s="795"/>
      <c r="N50" s="795"/>
      <c r="O50" s="795"/>
      <c r="P50" s="795"/>
      <c r="Q50" s="795"/>
      <c r="R50" s="795"/>
      <c r="S50" s="795"/>
      <c r="T50" s="795"/>
      <c r="U50" s="795"/>
      <c r="V50" s="795"/>
      <c r="W50" s="795"/>
      <c r="X50" s="795"/>
      <c r="Y50" s="795"/>
      <c r="Z50" s="795"/>
      <c r="AA50" s="795"/>
      <c r="AB50" s="795"/>
      <c r="AC50" s="795"/>
      <c r="AD50" s="795"/>
      <c r="AE50" s="795"/>
      <c r="AF50" s="795"/>
      <c r="AG50" s="795"/>
      <c r="AH50" s="795"/>
      <c r="AI50" s="795"/>
      <c r="AJ50" s="795"/>
      <c r="AK50" s="795"/>
      <c r="AL50" s="795"/>
      <c r="AM50" s="795"/>
      <c r="AN50" s="795"/>
      <c r="AO50" s="795"/>
      <c r="AP50" s="795"/>
      <c r="AQ50" s="795"/>
      <c r="AR50" s="795"/>
      <c r="AS50" s="795"/>
      <c r="AT50" s="795"/>
      <c r="AU50" s="795"/>
      <c r="AV50" s="795"/>
      <c r="AW50" s="795"/>
      <c r="AX50" s="795"/>
      <c r="AY50" s="795"/>
      <c r="AZ50" s="795"/>
      <c r="BA50" s="795"/>
      <c r="BB50" s="795"/>
      <c r="BC50" s="795"/>
      <c r="BD50" s="795"/>
      <c r="BE50" s="795"/>
      <c r="BF50" s="795"/>
      <c r="BG50" s="795"/>
      <c r="BH50" s="795"/>
      <c r="BI50" s="795"/>
      <c r="BJ50" s="795"/>
      <c r="BK50" s="795"/>
      <c r="BL50" s="795"/>
      <c r="BM50" s="795"/>
      <c r="BN50" s="795"/>
      <c r="BO50" s="795"/>
      <c r="BP50" s="795"/>
      <c r="BQ50" s="795"/>
      <c r="BR50" s="795"/>
      <c r="BS50" s="795"/>
      <c r="BT50" s="795"/>
      <c r="BU50" s="795"/>
    </row>
    <row r="51" spans="1:73" ht="29.25" customHeight="1">
      <c r="A51" s="795"/>
      <c r="B51" s="941"/>
      <c r="C51" s="1385"/>
      <c r="D51" s="1815"/>
      <c r="E51" s="952"/>
      <c r="F51" s="940"/>
      <c r="G51" s="953" t="e">
        <f t="shared" si="0"/>
        <v>#DIV/0!</v>
      </c>
      <c r="H51" s="954" t="str">
        <f>IF('Project Info'!C4="Prescriptive",2.5*C51+2.5*D51, IF('Project Info'!C4="Performance",5*C51+5*D51,""))</f>
        <v/>
      </c>
      <c r="I51" s="2941"/>
      <c r="J51" s="2942"/>
      <c r="L51" s="1715"/>
      <c r="M51" s="795"/>
      <c r="N51" s="795"/>
      <c r="O51" s="795"/>
      <c r="P51" s="795"/>
      <c r="Q51" s="795"/>
      <c r="R51" s="795"/>
      <c r="S51" s="795"/>
      <c r="T51" s="795"/>
      <c r="U51" s="795"/>
      <c r="V51" s="795"/>
      <c r="W51" s="795"/>
      <c r="X51" s="795"/>
      <c r="Y51" s="795"/>
      <c r="Z51" s="795"/>
      <c r="AA51" s="795"/>
      <c r="AB51" s="795"/>
      <c r="AC51" s="795"/>
      <c r="AD51" s="795"/>
      <c r="AE51" s="795"/>
      <c r="AF51" s="795"/>
      <c r="AG51" s="795"/>
      <c r="AH51" s="795"/>
      <c r="AI51" s="795"/>
      <c r="AJ51" s="795"/>
      <c r="AK51" s="795"/>
      <c r="AL51" s="795"/>
      <c r="AM51" s="795"/>
      <c r="AN51" s="795"/>
      <c r="AO51" s="795"/>
      <c r="AP51" s="795"/>
      <c r="AQ51" s="795"/>
      <c r="AR51" s="795"/>
      <c r="AS51" s="795"/>
      <c r="AT51" s="795"/>
      <c r="AU51" s="795"/>
      <c r="AV51" s="795"/>
      <c r="AW51" s="795"/>
      <c r="AX51" s="795"/>
      <c r="AY51" s="795"/>
      <c r="AZ51" s="795"/>
      <c r="BA51" s="795"/>
      <c r="BB51" s="795"/>
      <c r="BC51" s="795"/>
      <c r="BD51" s="795"/>
      <c r="BE51" s="795"/>
      <c r="BF51" s="795"/>
      <c r="BG51" s="795"/>
      <c r="BH51" s="795"/>
      <c r="BI51" s="795"/>
      <c r="BJ51" s="795"/>
      <c r="BK51" s="795"/>
      <c r="BL51" s="795"/>
      <c r="BM51" s="795"/>
      <c r="BN51" s="795"/>
      <c r="BO51" s="795"/>
      <c r="BP51" s="795"/>
      <c r="BQ51" s="795"/>
      <c r="BR51" s="795"/>
      <c r="BS51" s="795"/>
      <c r="BT51" s="795"/>
      <c r="BU51" s="795"/>
    </row>
    <row r="52" spans="1:73" ht="29.25" customHeight="1">
      <c r="A52" s="795"/>
      <c r="B52" s="941"/>
      <c r="C52" s="1385"/>
      <c r="D52" s="1815"/>
      <c r="E52" s="952"/>
      <c r="F52" s="940"/>
      <c r="G52" s="953" t="e">
        <f t="shared" si="0"/>
        <v>#DIV/0!</v>
      </c>
      <c r="H52" s="954" t="str">
        <f>IF('Project Info'!C4="Prescriptive",2.5*C52+2.5*D52, IF('Project Info'!C4="Performance",5*C52+5*D52,""))</f>
        <v/>
      </c>
      <c r="I52" s="2941"/>
      <c r="J52" s="2942"/>
      <c r="L52" s="1715"/>
      <c r="M52" s="795"/>
      <c r="N52" s="795"/>
      <c r="O52" s="795"/>
      <c r="P52" s="795"/>
      <c r="Q52" s="795"/>
      <c r="R52" s="795"/>
      <c r="S52" s="795"/>
      <c r="T52" s="795"/>
      <c r="U52" s="795"/>
      <c r="V52" s="795"/>
      <c r="W52" s="795"/>
      <c r="X52" s="795"/>
      <c r="Y52" s="795"/>
      <c r="Z52" s="795"/>
      <c r="AA52" s="795"/>
      <c r="AB52" s="795"/>
      <c r="AC52" s="795"/>
      <c r="AD52" s="795"/>
      <c r="AE52" s="795"/>
      <c r="AF52" s="795"/>
      <c r="AG52" s="795"/>
      <c r="AH52" s="795"/>
      <c r="AI52" s="795"/>
      <c r="AJ52" s="795"/>
      <c r="AK52" s="795"/>
      <c r="AL52" s="795"/>
      <c r="AM52" s="795"/>
      <c r="AN52" s="795"/>
      <c r="AO52" s="795"/>
      <c r="AP52" s="795"/>
      <c r="AQ52" s="795"/>
      <c r="AR52" s="795"/>
      <c r="AS52" s="795"/>
      <c r="AT52" s="795"/>
      <c r="AU52" s="795"/>
      <c r="AV52" s="795"/>
      <c r="AW52" s="795"/>
      <c r="AX52" s="795"/>
      <c r="AY52" s="795"/>
      <c r="AZ52" s="795"/>
      <c r="BA52" s="795"/>
      <c r="BB52" s="795"/>
      <c r="BC52" s="795"/>
      <c r="BD52" s="795"/>
      <c r="BE52" s="795"/>
      <c r="BF52" s="795"/>
      <c r="BG52" s="795"/>
      <c r="BH52" s="795"/>
      <c r="BI52" s="795"/>
      <c r="BJ52" s="795"/>
      <c r="BK52" s="795"/>
      <c r="BL52" s="795"/>
      <c r="BM52" s="795"/>
      <c r="BN52" s="795"/>
      <c r="BO52" s="795"/>
      <c r="BP52" s="795"/>
      <c r="BQ52" s="795"/>
      <c r="BR52" s="795"/>
      <c r="BS52" s="795"/>
      <c r="BT52" s="795"/>
      <c r="BU52" s="795"/>
    </row>
    <row r="53" spans="1:73" ht="29.25" customHeight="1">
      <c r="A53" s="795"/>
      <c r="B53" s="941"/>
      <c r="C53" s="1385"/>
      <c r="D53" s="1815"/>
      <c r="E53" s="952"/>
      <c r="F53" s="940"/>
      <c r="G53" s="953" t="e">
        <f t="shared" si="0"/>
        <v>#DIV/0!</v>
      </c>
      <c r="H53" s="954" t="str">
        <f>IF('Project Info'!C4="Prescriptive",2.5*C53+2.5*D53, IF('Project Info'!C4="Performance",5*C53+5*D53,""))</f>
        <v/>
      </c>
      <c r="I53" s="2941"/>
      <c r="J53" s="2942"/>
      <c r="L53" s="1715"/>
      <c r="M53" s="795"/>
      <c r="N53" s="795"/>
      <c r="O53" s="795"/>
      <c r="P53" s="795"/>
      <c r="Q53" s="795"/>
      <c r="R53" s="795"/>
      <c r="S53" s="795"/>
      <c r="T53" s="795"/>
      <c r="U53" s="795"/>
      <c r="V53" s="795"/>
      <c r="W53" s="795"/>
      <c r="X53" s="795"/>
      <c r="Y53" s="795"/>
      <c r="Z53" s="795"/>
      <c r="AA53" s="795"/>
      <c r="AB53" s="795"/>
      <c r="AC53" s="795"/>
      <c r="AD53" s="795"/>
      <c r="AE53" s="795"/>
      <c r="AF53" s="795"/>
      <c r="AG53" s="795"/>
      <c r="AH53" s="795"/>
      <c r="AI53" s="795"/>
      <c r="AJ53" s="795"/>
      <c r="AK53" s="795"/>
      <c r="AL53" s="795"/>
      <c r="AM53" s="795"/>
      <c r="AN53" s="795"/>
      <c r="AO53" s="795"/>
      <c r="AP53" s="795"/>
      <c r="AQ53" s="795"/>
      <c r="AR53" s="795"/>
      <c r="AS53" s="795"/>
      <c r="AT53" s="795"/>
      <c r="AU53" s="795"/>
      <c r="AV53" s="795"/>
      <c r="AW53" s="795"/>
      <c r="AX53" s="795"/>
      <c r="AY53" s="795"/>
      <c r="AZ53" s="795"/>
      <c r="BA53" s="795"/>
      <c r="BB53" s="795"/>
      <c r="BC53" s="795"/>
      <c r="BD53" s="795"/>
      <c r="BE53" s="795"/>
      <c r="BF53" s="795"/>
      <c r="BG53" s="795"/>
      <c r="BH53" s="795"/>
      <c r="BI53" s="795"/>
      <c r="BJ53" s="795"/>
      <c r="BK53" s="795"/>
      <c r="BL53" s="795"/>
      <c r="BM53" s="795"/>
      <c r="BN53" s="795"/>
      <c r="BO53" s="795"/>
      <c r="BP53" s="795"/>
      <c r="BQ53" s="795"/>
      <c r="BR53" s="795"/>
      <c r="BS53" s="795"/>
      <c r="BT53" s="795"/>
      <c r="BU53" s="795"/>
    </row>
    <row r="54" spans="1:73" ht="29.25" customHeight="1">
      <c r="A54" s="795"/>
      <c r="B54" s="941"/>
      <c r="C54" s="1385"/>
      <c r="D54" s="1815"/>
      <c r="E54" s="952"/>
      <c r="F54" s="940"/>
      <c r="G54" s="953" t="e">
        <f t="shared" si="0"/>
        <v>#DIV/0!</v>
      </c>
      <c r="H54" s="954" t="str">
        <f>IF('Project Info'!C4="Prescriptive",2.5*C54+2.5*D54, IF('Project Info'!C4="Performance",5*C54+5*D54,""))</f>
        <v/>
      </c>
      <c r="I54" s="2941"/>
      <c r="J54" s="2942"/>
      <c r="L54" s="1715"/>
      <c r="M54" s="795"/>
      <c r="N54" s="795"/>
      <c r="O54" s="795"/>
      <c r="P54" s="795"/>
      <c r="Q54" s="795"/>
      <c r="R54" s="795"/>
      <c r="S54" s="795"/>
      <c r="T54" s="795"/>
      <c r="U54" s="795"/>
      <c r="V54" s="795"/>
      <c r="W54" s="795"/>
      <c r="X54" s="795"/>
      <c r="Y54" s="795"/>
      <c r="Z54" s="795"/>
      <c r="AA54" s="795"/>
      <c r="AB54" s="795"/>
      <c r="AC54" s="795"/>
      <c r="AD54" s="795"/>
      <c r="AE54" s="795"/>
      <c r="AF54" s="795"/>
      <c r="AG54" s="795"/>
      <c r="AH54" s="795"/>
      <c r="AI54" s="795"/>
      <c r="AJ54" s="795"/>
      <c r="AK54" s="795"/>
      <c r="AL54" s="795"/>
      <c r="AM54" s="795"/>
      <c r="AN54" s="795"/>
      <c r="AO54" s="795"/>
      <c r="AP54" s="795"/>
      <c r="AQ54" s="795"/>
      <c r="AR54" s="795"/>
      <c r="AS54" s="795"/>
      <c r="AT54" s="795"/>
      <c r="AU54" s="795"/>
      <c r="AV54" s="795"/>
      <c r="AW54" s="795"/>
      <c r="AX54" s="795"/>
      <c r="AY54" s="795"/>
      <c r="AZ54" s="795"/>
      <c r="BA54" s="795"/>
      <c r="BB54" s="795"/>
      <c r="BC54" s="795"/>
      <c r="BD54" s="795"/>
      <c r="BE54" s="795"/>
      <c r="BF54" s="795"/>
      <c r="BG54" s="795"/>
      <c r="BH54" s="795"/>
      <c r="BI54" s="795"/>
      <c r="BJ54" s="795"/>
      <c r="BK54" s="795"/>
      <c r="BL54" s="795"/>
      <c r="BM54" s="795"/>
      <c r="BN54" s="795"/>
      <c r="BO54" s="795"/>
      <c r="BP54" s="795"/>
      <c r="BQ54" s="795"/>
      <c r="BR54" s="795"/>
      <c r="BS54" s="795"/>
      <c r="BT54" s="795"/>
      <c r="BU54" s="795"/>
    </row>
    <row r="55" spans="1:73" ht="15.75">
      <c r="C55" s="1814"/>
      <c r="E55" s="1525"/>
      <c r="F55" s="1813"/>
    </row>
    <row r="56" spans="1:73" ht="15.75">
      <c r="C56" s="1814"/>
      <c r="E56" s="1525"/>
      <c r="F56" s="1813"/>
    </row>
    <row r="57" spans="1:73" ht="18">
      <c r="B57" s="1812" t="s">
        <v>2314</v>
      </c>
      <c r="D57" s="1811"/>
    </row>
    <row r="58" spans="1:73">
      <c r="D58" s="1811"/>
    </row>
    <row r="59" spans="1:73">
      <c r="B59" s="1810" t="s">
        <v>1811</v>
      </c>
      <c r="C59" s="2949" t="s">
        <v>1864</v>
      </c>
      <c r="D59" s="2949"/>
      <c r="E59" s="955"/>
    </row>
    <row r="60" spans="1:73">
      <c r="A60" s="1426"/>
      <c r="B60" s="955"/>
      <c r="C60" s="2949" t="s">
        <v>1865</v>
      </c>
      <c r="D60" s="2949"/>
      <c r="E60" s="955"/>
    </row>
    <row r="61" spans="1:73">
      <c r="C61" s="2949" t="s">
        <v>1866</v>
      </c>
      <c r="D61" s="2949"/>
      <c r="E61" s="955"/>
    </row>
    <row r="63" spans="1:73" ht="51">
      <c r="C63" s="1810" t="s">
        <v>1867</v>
      </c>
      <c r="D63" s="1810" t="s">
        <v>1868</v>
      </c>
      <c r="E63" s="1810" t="s">
        <v>1869</v>
      </c>
      <c r="F63" s="1810" t="s">
        <v>1870</v>
      </c>
      <c r="G63" s="1810" t="s">
        <v>2313</v>
      </c>
      <c r="H63" s="1810" t="s">
        <v>1871</v>
      </c>
      <c r="I63" s="1810" t="s">
        <v>1872</v>
      </c>
      <c r="J63" s="1809"/>
    </row>
    <row r="64" spans="1:73">
      <c r="B64" s="1525"/>
      <c r="C64" s="956"/>
      <c r="D64" s="956"/>
      <c r="E64" s="956"/>
      <c r="F64" s="957" t="str">
        <f>IF(E64=1,ABS(D64-$E$61)^0.5*41.42,IF(E64=2,ABS(D64-$E$61)^0.5*15.8,IF(E64=3,ABS(D64-$E$61)^0.5*6.33,IF(E64="O",ABS(D64-$E$61)^0.5*108.5,"Enter Plate Position"))))</f>
        <v>Enter Plate Position</v>
      </c>
      <c r="G64" s="957" t="e">
        <f>F64*SQRT(($E$60+460)/($E$59+460))</f>
        <v>#VALUE!</v>
      </c>
      <c r="H64" s="958" t="e">
        <f>LOG(ABS(C64-$E$61))</f>
        <v>#NUM!</v>
      </c>
      <c r="I64" s="958" t="e">
        <f>LOG(G64)</f>
        <v>#VALUE!</v>
      </c>
      <c r="J64" s="1808"/>
    </row>
    <row r="65" spans="2:10">
      <c r="B65" s="1525"/>
      <c r="C65" s="956"/>
      <c r="D65" s="956"/>
      <c r="E65" s="956"/>
      <c r="F65" s="957" t="str">
        <f>IF(E65=1,ABS(D65-$E$61)^0.5*41.42,IF(E65=2,ABS(D65-$E$61)^0.5*15.8,IF(E65=3,ABS(D65-$E$61)^0.5*6.33,IF(E65="O",ABS(D65-$E$61)^0.5*108.5,"Enter Plate Position"))))</f>
        <v>Enter Plate Position</v>
      </c>
      <c r="G65" s="957" t="e">
        <f>F65*SQRT(($E$60+460)/($E$59+460))</f>
        <v>#VALUE!</v>
      </c>
      <c r="H65" s="958" t="e">
        <f>LOG(ABS(C65-$E$61))</f>
        <v>#NUM!</v>
      </c>
      <c r="I65" s="958" t="e">
        <f>LOG(G65)</f>
        <v>#VALUE!</v>
      </c>
      <c r="J65" s="1808"/>
    </row>
    <row r="66" spans="2:10">
      <c r="B66" s="1525"/>
      <c r="C66" s="956"/>
      <c r="D66" s="956"/>
      <c r="E66" s="956"/>
      <c r="F66" s="957" t="str">
        <f>IF(E66=1,ABS(D66-$E$61)^0.5*41.42,IF(E66=2,ABS(D66-$E$61)^0.5*15.8,IF(E66=3,ABS(D66-$E$61)^0.5*6.33,IF(E66="O",ABS(D66-$E$61)^0.5*108.5,"Enter Plate Position"))))</f>
        <v>Enter Plate Position</v>
      </c>
      <c r="G66" s="957" t="e">
        <f>F66*SQRT(($E$60+460)/($E$59+460))</f>
        <v>#VALUE!</v>
      </c>
      <c r="H66" s="958" t="e">
        <f>LOG(ABS(C66-$E$61))</f>
        <v>#NUM!</v>
      </c>
      <c r="I66" s="958" t="e">
        <f>LOG(G66)</f>
        <v>#VALUE!</v>
      </c>
      <c r="J66" s="1808"/>
    </row>
    <row r="67" spans="2:10">
      <c r="B67" s="1525"/>
      <c r="C67" s="956"/>
      <c r="D67" s="956"/>
      <c r="E67" s="956"/>
      <c r="F67" s="957" t="str">
        <f>IF(E67=1,ABS(D67-$E$61)^0.5*41.42,IF(E67=2,ABS(D67-$E$61)^0.5*15.8,IF(E67=3,ABS(D67-$E$61)^0.5*6.33,IF(E67="O",ABS(D67-$E$61)^0.5*108.5,"Enter Plate Position"))))</f>
        <v>Enter Plate Position</v>
      </c>
      <c r="G67" s="957" t="e">
        <f>F67*SQRT(($E$60+460)/($E$59+460))</f>
        <v>#VALUE!</v>
      </c>
      <c r="H67" s="958" t="e">
        <f>LOG(ABS(C67-$E$61))</f>
        <v>#NUM!</v>
      </c>
      <c r="I67" s="958" t="e">
        <f>LOG(G67)</f>
        <v>#VALUE!</v>
      </c>
      <c r="J67" s="1808"/>
    </row>
    <row r="68" spans="2:10">
      <c r="B68" s="1525"/>
      <c r="C68" s="956"/>
      <c r="D68" s="956"/>
      <c r="E68" s="956"/>
      <c r="F68" s="957" t="str">
        <f>IF(E68=1,ABS(D68-$E$61)^0.5*41.42,IF(E68=2,ABS(D68-$E$61)^0.5*15.8,IF(E68=3,ABS(D68-$E$61)^0.5*6.33,IF(E68="O",ABS(D68-$E$61)^0.5*108.5,"Enter Plate Position"))))</f>
        <v>Enter Plate Position</v>
      </c>
      <c r="G68" s="957" t="e">
        <f>F68*SQRT(($E$60+460)/($E$59+460))</f>
        <v>#VALUE!</v>
      </c>
      <c r="H68" s="958" t="e">
        <f>LOG(ABS(C68-$E$61))</f>
        <v>#NUM!</v>
      </c>
      <c r="I68" s="958" t="e">
        <f>LOG(G68)</f>
        <v>#VALUE!</v>
      </c>
      <c r="J68" s="1808"/>
    </row>
    <row r="69" spans="2:10">
      <c r="H69" s="1807"/>
    </row>
    <row r="73" spans="2:10">
      <c r="C73" s="1806" t="s">
        <v>1873</v>
      </c>
      <c r="D73" s="959" t="e">
        <f>INDEX(LINEST(I64:I68,H64:H68),1)</f>
        <v>#VALUE!</v>
      </c>
    </row>
    <row r="74" spans="2:10">
      <c r="C74" s="1802" t="s">
        <v>1874</v>
      </c>
      <c r="D74" s="960" t="e">
        <f>INDEX(LINEST(I64:I68,H64:H68),2)</f>
        <v>#VALUE!</v>
      </c>
    </row>
    <row r="75" spans="2:10">
      <c r="C75" s="1801"/>
      <c r="D75" s="1800"/>
    </row>
    <row r="76" spans="2:10">
      <c r="C76" s="1804" t="s">
        <v>1875</v>
      </c>
      <c r="D76" s="961" t="e">
        <f>10^D74</f>
        <v>#VALUE!</v>
      </c>
    </row>
    <row r="77" spans="2:10">
      <c r="C77" s="1806" t="s">
        <v>1876</v>
      </c>
      <c r="D77" s="959" t="e">
        <f>D73</f>
        <v>#VALUE!</v>
      </c>
    </row>
    <row r="78" spans="2:10">
      <c r="C78" s="1802" t="s">
        <v>1877</v>
      </c>
      <c r="D78" s="960" t="e">
        <f>INDEX(LINEST(I64:I68,H64:H68,TRUE,TRUE),3)</f>
        <v>#VALUE!</v>
      </c>
    </row>
    <row r="79" spans="2:10">
      <c r="C79" s="1801"/>
      <c r="D79" s="1800"/>
      <c r="E79" s="1805"/>
      <c r="J79" s="1805"/>
    </row>
    <row r="80" spans="2:10">
      <c r="C80" s="1804" t="s">
        <v>1878</v>
      </c>
      <c r="D80" s="1803"/>
    </row>
    <row r="81" spans="3:16" ht="24.75" customHeight="1">
      <c r="C81" s="1802" t="s">
        <v>1879</v>
      </c>
      <c r="D81" s="962" t="e">
        <f>D76*50^D77</f>
        <v>#VALUE!</v>
      </c>
    </row>
    <row r="82" spans="3:16">
      <c r="C82" s="1801"/>
      <c r="D82" s="1800"/>
      <c r="G82" s="1798"/>
      <c r="H82" s="1799"/>
    </row>
    <row r="83" spans="3:16">
      <c r="G83" s="1798"/>
      <c r="H83" s="1799"/>
    </row>
    <row r="85" spans="3:16">
      <c r="G85" s="1798"/>
    </row>
    <row r="86" spans="3:16">
      <c r="G86" s="1795"/>
      <c r="H86" s="1797"/>
      <c r="I86" s="1681"/>
      <c r="J86" s="1681"/>
    </row>
    <row r="87" spans="3:16">
      <c r="G87" s="1795"/>
      <c r="H87" s="1796"/>
      <c r="I87" s="1681"/>
      <c r="J87" s="1681"/>
    </row>
    <row r="88" spans="3:16">
      <c r="G88" s="1795"/>
      <c r="H88" s="1794"/>
      <c r="I88" s="1681"/>
      <c r="J88" s="1681"/>
    </row>
    <row r="89" spans="3:16">
      <c r="G89" s="1793"/>
      <c r="H89" s="1792"/>
      <c r="I89" s="1681"/>
      <c r="J89" s="1681"/>
    </row>
    <row r="90" spans="3:16">
      <c r="G90" s="1793"/>
      <c r="H90" s="1792"/>
      <c r="I90" s="1681"/>
      <c r="J90" s="1681"/>
    </row>
    <row r="95" spans="3:16">
      <c r="O95" s="1426"/>
    </row>
    <row r="96" spans="3:16">
      <c r="N96" s="1426" t="s">
        <v>362</v>
      </c>
      <c r="O96" s="1426"/>
      <c r="P96" s="1426" t="s">
        <v>1880</v>
      </c>
    </row>
    <row r="97" spans="14:16">
      <c r="N97" s="1426" t="s">
        <v>364</v>
      </c>
      <c r="O97" s="1426"/>
      <c r="P97" s="1426" t="s">
        <v>1881</v>
      </c>
    </row>
    <row r="98" spans="14:16">
      <c r="N98" s="1426" t="s">
        <v>363</v>
      </c>
    </row>
    <row r="171" spans="2:2" ht="18">
      <c r="B171" s="794"/>
    </row>
  </sheetData>
  <sheetProtection formatCells="0" formatColumns="0" formatRows="0" insertColumns="0" insertRows="0"/>
  <mergeCells count="35">
    <mergeCell ref="C61:D61"/>
    <mergeCell ref="C59:D59"/>
    <mergeCell ref="C60:D60"/>
    <mergeCell ref="I45:J45"/>
    <mergeCell ref="I46:J46"/>
    <mergeCell ref="I47:J47"/>
    <mergeCell ref="I48:J48"/>
    <mergeCell ref="I49:J49"/>
    <mergeCell ref="I50:J50"/>
    <mergeCell ref="I51:J51"/>
    <mergeCell ref="H5:I5"/>
    <mergeCell ref="H6:I6"/>
    <mergeCell ref="H7:I7"/>
    <mergeCell ref="B30:E30"/>
    <mergeCell ref="B28:F28"/>
    <mergeCell ref="B27:F27"/>
    <mergeCell ref="H8:I8"/>
    <mergeCell ref="B9:G9"/>
    <mergeCell ref="B26:F26"/>
    <mergeCell ref="D31:E31"/>
    <mergeCell ref="D32:E33"/>
    <mergeCell ref="I52:J52"/>
    <mergeCell ref="I53:J53"/>
    <mergeCell ref="I54:J54"/>
    <mergeCell ref="B36:H36"/>
    <mergeCell ref="B37:H37"/>
    <mergeCell ref="B34:H34"/>
    <mergeCell ref="B32:B33"/>
    <mergeCell ref="B41:H41"/>
    <mergeCell ref="B38:H38"/>
    <mergeCell ref="B39:H39"/>
    <mergeCell ref="G42:H42"/>
    <mergeCell ref="I42:J42"/>
    <mergeCell ref="B40:H40"/>
    <mergeCell ref="B35:H35"/>
  </mergeCells>
  <conditionalFormatting sqref="H46:H54">
    <cfRule type="expression" dxfId="0" priority="1" stopIfTrue="1">
      <formula>$F46:$F54&gt;$H46:$H54</formula>
    </cfRule>
  </conditionalFormatting>
  <dataValidations count="2">
    <dataValidation type="list" allowBlank="1" showInputMessage="1" showErrorMessage="1" sqref="H32:I33 JD32:JE33 SZ32:TA33 ACV32:ACW33 AMR32:AMS33 AWN32:AWO33 BGJ32:BGK33 BQF32:BQG33 CAB32:CAC33 CJX32:CJY33 CTT32:CTU33 DDP32:DDQ33 DNL32:DNM33 DXH32:DXI33 EHD32:EHE33 EQZ32:ERA33 FAV32:FAW33 FKR32:FKS33 FUN32:FUO33 GEJ32:GEK33 GOF32:GOG33 GYB32:GYC33 HHX32:HHY33 HRT32:HRU33 IBP32:IBQ33 ILL32:ILM33 IVH32:IVI33 JFD32:JFE33 JOZ32:JPA33 JYV32:JYW33 KIR32:KIS33 KSN32:KSO33 LCJ32:LCK33 LMF32:LMG33 LWB32:LWC33 MFX32:MFY33 MPT32:MPU33 MZP32:MZQ33 NJL32:NJM33 NTH32:NTI33 ODD32:ODE33 OMZ32:ONA33 OWV32:OWW33 PGR32:PGS33 PQN32:PQO33 QAJ32:QAK33 QKF32:QKG33 QUB32:QUC33 RDX32:RDY33 RNT32:RNU33 RXP32:RXQ33 SHL32:SHM33 SRH32:SRI33 TBD32:TBE33 TKZ32:TLA33 TUV32:TUW33 UER32:UES33 UON32:UOO33 UYJ32:UYK33 VIF32:VIG33 VSB32:VSC33 WBX32:WBY33 WLT32:WLU33 WVP32:WVQ33 H65568:I65569 JD65568:JE65569 SZ65568:TA65569 ACV65568:ACW65569 AMR65568:AMS65569 AWN65568:AWO65569 BGJ65568:BGK65569 BQF65568:BQG65569 CAB65568:CAC65569 CJX65568:CJY65569 CTT65568:CTU65569 DDP65568:DDQ65569 DNL65568:DNM65569 DXH65568:DXI65569 EHD65568:EHE65569 EQZ65568:ERA65569 FAV65568:FAW65569 FKR65568:FKS65569 FUN65568:FUO65569 GEJ65568:GEK65569 GOF65568:GOG65569 GYB65568:GYC65569 HHX65568:HHY65569 HRT65568:HRU65569 IBP65568:IBQ65569 ILL65568:ILM65569 IVH65568:IVI65569 JFD65568:JFE65569 JOZ65568:JPA65569 JYV65568:JYW65569 KIR65568:KIS65569 KSN65568:KSO65569 LCJ65568:LCK65569 LMF65568:LMG65569 LWB65568:LWC65569 MFX65568:MFY65569 MPT65568:MPU65569 MZP65568:MZQ65569 NJL65568:NJM65569 NTH65568:NTI65569 ODD65568:ODE65569 OMZ65568:ONA65569 OWV65568:OWW65569 PGR65568:PGS65569 PQN65568:PQO65569 QAJ65568:QAK65569 QKF65568:QKG65569 QUB65568:QUC65569 RDX65568:RDY65569 RNT65568:RNU65569 RXP65568:RXQ65569 SHL65568:SHM65569 SRH65568:SRI65569 TBD65568:TBE65569 TKZ65568:TLA65569 TUV65568:TUW65569 UER65568:UES65569 UON65568:UOO65569 UYJ65568:UYK65569 VIF65568:VIG65569 VSB65568:VSC65569 WBX65568:WBY65569 WLT65568:WLU65569 WVP65568:WVQ65569 H131104:I131105 JD131104:JE131105 SZ131104:TA131105 ACV131104:ACW131105 AMR131104:AMS131105 AWN131104:AWO131105 BGJ131104:BGK131105 BQF131104:BQG131105 CAB131104:CAC131105 CJX131104:CJY131105 CTT131104:CTU131105 DDP131104:DDQ131105 DNL131104:DNM131105 DXH131104:DXI131105 EHD131104:EHE131105 EQZ131104:ERA131105 FAV131104:FAW131105 FKR131104:FKS131105 FUN131104:FUO131105 GEJ131104:GEK131105 GOF131104:GOG131105 GYB131104:GYC131105 HHX131104:HHY131105 HRT131104:HRU131105 IBP131104:IBQ131105 ILL131104:ILM131105 IVH131104:IVI131105 JFD131104:JFE131105 JOZ131104:JPA131105 JYV131104:JYW131105 KIR131104:KIS131105 KSN131104:KSO131105 LCJ131104:LCK131105 LMF131104:LMG131105 LWB131104:LWC131105 MFX131104:MFY131105 MPT131104:MPU131105 MZP131104:MZQ131105 NJL131104:NJM131105 NTH131104:NTI131105 ODD131104:ODE131105 OMZ131104:ONA131105 OWV131104:OWW131105 PGR131104:PGS131105 PQN131104:PQO131105 QAJ131104:QAK131105 QKF131104:QKG131105 QUB131104:QUC131105 RDX131104:RDY131105 RNT131104:RNU131105 RXP131104:RXQ131105 SHL131104:SHM131105 SRH131104:SRI131105 TBD131104:TBE131105 TKZ131104:TLA131105 TUV131104:TUW131105 UER131104:UES131105 UON131104:UOO131105 UYJ131104:UYK131105 VIF131104:VIG131105 VSB131104:VSC131105 WBX131104:WBY131105 WLT131104:WLU131105 WVP131104:WVQ131105 H196640:I196641 JD196640:JE196641 SZ196640:TA196641 ACV196640:ACW196641 AMR196640:AMS196641 AWN196640:AWO196641 BGJ196640:BGK196641 BQF196640:BQG196641 CAB196640:CAC196641 CJX196640:CJY196641 CTT196640:CTU196641 DDP196640:DDQ196641 DNL196640:DNM196641 DXH196640:DXI196641 EHD196640:EHE196641 EQZ196640:ERA196641 FAV196640:FAW196641 FKR196640:FKS196641 FUN196640:FUO196641 GEJ196640:GEK196641 GOF196640:GOG196641 GYB196640:GYC196641 HHX196640:HHY196641 HRT196640:HRU196641 IBP196640:IBQ196641 ILL196640:ILM196641 IVH196640:IVI196641 JFD196640:JFE196641 JOZ196640:JPA196641 JYV196640:JYW196641 KIR196640:KIS196641 KSN196640:KSO196641 LCJ196640:LCK196641 LMF196640:LMG196641 LWB196640:LWC196641 MFX196640:MFY196641 MPT196640:MPU196641 MZP196640:MZQ196641 NJL196640:NJM196641 NTH196640:NTI196641 ODD196640:ODE196641 OMZ196640:ONA196641 OWV196640:OWW196641 PGR196640:PGS196641 PQN196640:PQO196641 QAJ196640:QAK196641 QKF196640:QKG196641 QUB196640:QUC196641 RDX196640:RDY196641 RNT196640:RNU196641 RXP196640:RXQ196641 SHL196640:SHM196641 SRH196640:SRI196641 TBD196640:TBE196641 TKZ196640:TLA196641 TUV196640:TUW196641 UER196640:UES196641 UON196640:UOO196641 UYJ196640:UYK196641 VIF196640:VIG196641 VSB196640:VSC196641 WBX196640:WBY196641 WLT196640:WLU196641 WVP196640:WVQ196641 H262176:I262177 JD262176:JE262177 SZ262176:TA262177 ACV262176:ACW262177 AMR262176:AMS262177 AWN262176:AWO262177 BGJ262176:BGK262177 BQF262176:BQG262177 CAB262176:CAC262177 CJX262176:CJY262177 CTT262176:CTU262177 DDP262176:DDQ262177 DNL262176:DNM262177 DXH262176:DXI262177 EHD262176:EHE262177 EQZ262176:ERA262177 FAV262176:FAW262177 FKR262176:FKS262177 FUN262176:FUO262177 GEJ262176:GEK262177 GOF262176:GOG262177 GYB262176:GYC262177 HHX262176:HHY262177 HRT262176:HRU262177 IBP262176:IBQ262177 ILL262176:ILM262177 IVH262176:IVI262177 JFD262176:JFE262177 JOZ262176:JPA262177 JYV262176:JYW262177 KIR262176:KIS262177 KSN262176:KSO262177 LCJ262176:LCK262177 LMF262176:LMG262177 LWB262176:LWC262177 MFX262176:MFY262177 MPT262176:MPU262177 MZP262176:MZQ262177 NJL262176:NJM262177 NTH262176:NTI262177 ODD262176:ODE262177 OMZ262176:ONA262177 OWV262176:OWW262177 PGR262176:PGS262177 PQN262176:PQO262177 QAJ262176:QAK262177 QKF262176:QKG262177 QUB262176:QUC262177 RDX262176:RDY262177 RNT262176:RNU262177 RXP262176:RXQ262177 SHL262176:SHM262177 SRH262176:SRI262177 TBD262176:TBE262177 TKZ262176:TLA262177 TUV262176:TUW262177 UER262176:UES262177 UON262176:UOO262177 UYJ262176:UYK262177 VIF262176:VIG262177 VSB262176:VSC262177 WBX262176:WBY262177 WLT262176:WLU262177 WVP262176:WVQ262177 H327712:I327713 JD327712:JE327713 SZ327712:TA327713 ACV327712:ACW327713 AMR327712:AMS327713 AWN327712:AWO327713 BGJ327712:BGK327713 BQF327712:BQG327713 CAB327712:CAC327713 CJX327712:CJY327713 CTT327712:CTU327713 DDP327712:DDQ327713 DNL327712:DNM327713 DXH327712:DXI327713 EHD327712:EHE327713 EQZ327712:ERA327713 FAV327712:FAW327713 FKR327712:FKS327713 FUN327712:FUO327713 GEJ327712:GEK327713 GOF327712:GOG327713 GYB327712:GYC327713 HHX327712:HHY327713 HRT327712:HRU327713 IBP327712:IBQ327713 ILL327712:ILM327713 IVH327712:IVI327713 JFD327712:JFE327713 JOZ327712:JPA327713 JYV327712:JYW327713 KIR327712:KIS327713 KSN327712:KSO327713 LCJ327712:LCK327713 LMF327712:LMG327713 LWB327712:LWC327713 MFX327712:MFY327713 MPT327712:MPU327713 MZP327712:MZQ327713 NJL327712:NJM327713 NTH327712:NTI327713 ODD327712:ODE327713 OMZ327712:ONA327713 OWV327712:OWW327713 PGR327712:PGS327713 PQN327712:PQO327713 QAJ327712:QAK327713 QKF327712:QKG327713 QUB327712:QUC327713 RDX327712:RDY327713 RNT327712:RNU327713 RXP327712:RXQ327713 SHL327712:SHM327713 SRH327712:SRI327713 TBD327712:TBE327713 TKZ327712:TLA327713 TUV327712:TUW327713 UER327712:UES327713 UON327712:UOO327713 UYJ327712:UYK327713 VIF327712:VIG327713 VSB327712:VSC327713 WBX327712:WBY327713 WLT327712:WLU327713 WVP327712:WVQ327713 H393248:I393249 JD393248:JE393249 SZ393248:TA393249 ACV393248:ACW393249 AMR393248:AMS393249 AWN393248:AWO393249 BGJ393248:BGK393249 BQF393248:BQG393249 CAB393248:CAC393249 CJX393248:CJY393249 CTT393248:CTU393249 DDP393248:DDQ393249 DNL393248:DNM393249 DXH393248:DXI393249 EHD393248:EHE393249 EQZ393248:ERA393249 FAV393248:FAW393249 FKR393248:FKS393249 FUN393248:FUO393249 GEJ393248:GEK393249 GOF393248:GOG393249 GYB393248:GYC393249 HHX393248:HHY393249 HRT393248:HRU393249 IBP393248:IBQ393249 ILL393248:ILM393249 IVH393248:IVI393249 JFD393248:JFE393249 JOZ393248:JPA393249 JYV393248:JYW393249 KIR393248:KIS393249 KSN393248:KSO393249 LCJ393248:LCK393249 LMF393248:LMG393249 LWB393248:LWC393249 MFX393248:MFY393249 MPT393248:MPU393249 MZP393248:MZQ393249 NJL393248:NJM393249 NTH393248:NTI393249 ODD393248:ODE393249 OMZ393248:ONA393249 OWV393248:OWW393249 PGR393248:PGS393249 PQN393248:PQO393249 QAJ393248:QAK393249 QKF393248:QKG393249 QUB393248:QUC393249 RDX393248:RDY393249 RNT393248:RNU393249 RXP393248:RXQ393249 SHL393248:SHM393249 SRH393248:SRI393249 TBD393248:TBE393249 TKZ393248:TLA393249 TUV393248:TUW393249 UER393248:UES393249 UON393248:UOO393249 UYJ393248:UYK393249 VIF393248:VIG393249 VSB393248:VSC393249 WBX393248:WBY393249 WLT393248:WLU393249 WVP393248:WVQ393249 H458784:I458785 JD458784:JE458785 SZ458784:TA458785 ACV458784:ACW458785 AMR458784:AMS458785 AWN458784:AWO458785 BGJ458784:BGK458785 BQF458784:BQG458785 CAB458784:CAC458785 CJX458784:CJY458785 CTT458784:CTU458785 DDP458784:DDQ458785 DNL458784:DNM458785 DXH458784:DXI458785 EHD458784:EHE458785 EQZ458784:ERA458785 FAV458784:FAW458785 FKR458784:FKS458785 FUN458784:FUO458785 GEJ458784:GEK458785 GOF458784:GOG458785 GYB458784:GYC458785 HHX458784:HHY458785 HRT458784:HRU458785 IBP458784:IBQ458785 ILL458784:ILM458785 IVH458784:IVI458785 JFD458784:JFE458785 JOZ458784:JPA458785 JYV458784:JYW458785 KIR458784:KIS458785 KSN458784:KSO458785 LCJ458784:LCK458785 LMF458784:LMG458785 LWB458784:LWC458785 MFX458784:MFY458785 MPT458784:MPU458785 MZP458784:MZQ458785 NJL458784:NJM458785 NTH458784:NTI458785 ODD458784:ODE458785 OMZ458784:ONA458785 OWV458784:OWW458785 PGR458784:PGS458785 PQN458784:PQO458785 QAJ458784:QAK458785 QKF458784:QKG458785 QUB458784:QUC458785 RDX458784:RDY458785 RNT458784:RNU458785 RXP458784:RXQ458785 SHL458784:SHM458785 SRH458784:SRI458785 TBD458784:TBE458785 TKZ458784:TLA458785 TUV458784:TUW458785 UER458784:UES458785 UON458784:UOO458785 UYJ458784:UYK458785 VIF458784:VIG458785 VSB458784:VSC458785 WBX458784:WBY458785 WLT458784:WLU458785 WVP458784:WVQ458785 H524320:I524321 JD524320:JE524321 SZ524320:TA524321 ACV524320:ACW524321 AMR524320:AMS524321 AWN524320:AWO524321 BGJ524320:BGK524321 BQF524320:BQG524321 CAB524320:CAC524321 CJX524320:CJY524321 CTT524320:CTU524321 DDP524320:DDQ524321 DNL524320:DNM524321 DXH524320:DXI524321 EHD524320:EHE524321 EQZ524320:ERA524321 FAV524320:FAW524321 FKR524320:FKS524321 FUN524320:FUO524321 GEJ524320:GEK524321 GOF524320:GOG524321 GYB524320:GYC524321 HHX524320:HHY524321 HRT524320:HRU524321 IBP524320:IBQ524321 ILL524320:ILM524321 IVH524320:IVI524321 JFD524320:JFE524321 JOZ524320:JPA524321 JYV524320:JYW524321 KIR524320:KIS524321 KSN524320:KSO524321 LCJ524320:LCK524321 LMF524320:LMG524321 LWB524320:LWC524321 MFX524320:MFY524321 MPT524320:MPU524321 MZP524320:MZQ524321 NJL524320:NJM524321 NTH524320:NTI524321 ODD524320:ODE524321 OMZ524320:ONA524321 OWV524320:OWW524321 PGR524320:PGS524321 PQN524320:PQO524321 QAJ524320:QAK524321 QKF524320:QKG524321 QUB524320:QUC524321 RDX524320:RDY524321 RNT524320:RNU524321 RXP524320:RXQ524321 SHL524320:SHM524321 SRH524320:SRI524321 TBD524320:TBE524321 TKZ524320:TLA524321 TUV524320:TUW524321 UER524320:UES524321 UON524320:UOO524321 UYJ524320:UYK524321 VIF524320:VIG524321 VSB524320:VSC524321 WBX524320:WBY524321 WLT524320:WLU524321 WVP524320:WVQ524321 H589856:I589857 JD589856:JE589857 SZ589856:TA589857 ACV589856:ACW589857 AMR589856:AMS589857 AWN589856:AWO589857 BGJ589856:BGK589857 BQF589856:BQG589857 CAB589856:CAC589857 CJX589856:CJY589857 CTT589856:CTU589857 DDP589856:DDQ589857 DNL589856:DNM589857 DXH589856:DXI589857 EHD589856:EHE589857 EQZ589856:ERA589857 FAV589856:FAW589857 FKR589856:FKS589857 FUN589856:FUO589857 GEJ589856:GEK589857 GOF589856:GOG589857 GYB589856:GYC589857 HHX589856:HHY589857 HRT589856:HRU589857 IBP589856:IBQ589857 ILL589856:ILM589857 IVH589856:IVI589857 JFD589856:JFE589857 JOZ589856:JPA589857 JYV589856:JYW589857 KIR589856:KIS589857 KSN589856:KSO589857 LCJ589856:LCK589857 LMF589856:LMG589857 LWB589856:LWC589857 MFX589856:MFY589857 MPT589856:MPU589857 MZP589856:MZQ589857 NJL589856:NJM589857 NTH589856:NTI589857 ODD589856:ODE589857 OMZ589856:ONA589857 OWV589856:OWW589857 PGR589856:PGS589857 PQN589856:PQO589857 QAJ589856:QAK589857 QKF589856:QKG589857 QUB589856:QUC589857 RDX589856:RDY589857 RNT589856:RNU589857 RXP589856:RXQ589857 SHL589856:SHM589857 SRH589856:SRI589857 TBD589856:TBE589857 TKZ589856:TLA589857 TUV589856:TUW589857 UER589856:UES589857 UON589856:UOO589857 UYJ589856:UYK589857 VIF589856:VIG589857 VSB589856:VSC589857 WBX589856:WBY589857 WLT589856:WLU589857 WVP589856:WVQ589857 H655392:I655393 JD655392:JE655393 SZ655392:TA655393 ACV655392:ACW655393 AMR655392:AMS655393 AWN655392:AWO655393 BGJ655392:BGK655393 BQF655392:BQG655393 CAB655392:CAC655393 CJX655392:CJY655393 CTT655392:CTU655393 DDP655392:DDQ655393 DNL655392:DNM655393 DXH655392:DXI655393 EHD655392:EHE655393 EQZ655392:ERA655393 FAV655392:FAW655393 FKR655392:FKS655393 FUN655392:FUO655393 GEJ655392:GEK655393 GOF655392:GOG655393 GYB655392:GYC655393 HHX655392:HHY655393 HRT655392:HRU655393 IBP655392:IBQ655393 ILL655392:ILM655393 IVH655392:IVI655393 JFD655392:JFE655393 JOZ655392:JPA655393 JYV655392:JYW655393 KIR655392:KIS655393 KSN655392:KSO655393 LCJ655392:LCK655393 LMF655392:LMG655393 LWB655392:LWC655393 MFX655392:MFY655393 MPT655392:MPU655393 MZP655392:MZQ655393 NJL655392:NJM655393 NTH655392:NTI655393 ODD655392:ODE655393 OMZ655392:ONA655393 OWV655392:OWW655393 PGR655392:PGS655393 PQN655392:PQO655393 QAJ655392:QAK655393 QKF655392:QKG655393 QUB655392:QUC655393 RDX655392:RDY655393 RNT655392:RNU655393 RXP655392:RXQ655393 SHL655392:SHM655393 SRH655392:SRI655393 TBD655392:TBE655393 TKZ655392:TLA655393 TUV655392:TUW655393 UER655392:UES655393 UON655392:UOO655393 UYJ655392:UYK655393 VIF655392:VIG655393 VSB655392:VSC655393 WBX655392:WBY655393 WLT655392:WLU655393 WVP655392:WVQ655393 H720928:I720929 JD720928:JE720929 SZ720928:TA720929 ACV720928:ACW720929 AMR720928:AMS720929 AWN720928:AWO720929 BGJ720928:BGK720929 BQF720928:BQG720929 CAB720928:CAC720929 CJX720928:CJY720929 CTT720928:CTU720929 DDP720928:DDQ720929 DNL720928:DNM720929 DXH720928:DXI720929 EHD720928:EHE720929 EQZ720928:ERA720929 FAV720928:FAW720929 FKR720928:FKS720929 FUN720928:FUO720929 GEJ720928:GEK720929 GOF720928:GOG720929 GYB720928:GYC720929 HHX720928:HHY720929 HRT720928:HRU720929 IBP720928:IBQ720929 ILL720928:ILM720929 IVH720928:IVI720929 JFD720928:JFE720929 JOZ720928:JPA720929 JYV720928:JYW720929 KIR720928:KIS720929 KSN720928:KSO720929 LCJ720928:LCK720929 LMF720928:LMG720929 LWB720928:LWC720929 MFX720928:MFY720929 MPT720928:MPU720929 MZP720928:MZQ720929 NJL720928:NJM720929 NTH720928:NTI720929 ODD720928:ODE720929 OMZ720928:ONA720929 OWV720928:OWW720929 PGR720928:PGS720929 PQN720928:PQO720929 QAJ720928:QAK720929 QKF720928:QKG720929 QUB720928:QUC720929 RDX720928:RDY720929 RNT720928:RNU720929 RXP720928:RXQ720929 SHL720928:SHM720929 SRH720928:SRI720929 TBD720928:TBE720929 TKZ720928:TLA720929 TUV720928:TUW720929 UER720928:UES720929 UON720928:UOO720929 UYJ720928:UYK720929 VIF720928:VIG720929 VSB720928:VSC720929 WBX720928:WBY720929 WLT720928:WLU720929 WVP720928:WVQ720929 H786464:I786465 JD786464:JE786465 SZ786464:TA786465 ACV786464:ACW786465 AMR786464:AMS786465 AWN786464:AWO786465 BGJ786464:BGK786465 BQF786464:BQG786465 CAB786464:CAC786465 CJX786464:CJY786465 CTT786464:CTU786465 DDP786464:DDQ786465 DNL786464:DNM786465 DXH786464:DXI786465 EHD786464:EHE786465 EQZ786464:ERA786465 FAV786464:FAW786465 FKR786464:FKS786465 FUN786464:FUO786465 GEJ786464:GEK786465 GOF786464:GOG786465 GYB786464:GYC786465 HHX786464:HHY786465 HRT786464:HRU786465 IBP786464:IBQ786465 ILL786464:ILM786465 IVH786464:IVI786465 JFD786464:JFE786465 JOZ786464:JPA786465 JYV786464:JYW786465 KIR786464:KIS786465 KSN786464:KSO786465 LCJ786464:LCK786465 LMF786464:LMG786465 LWB786464:LWC786465 MFX786464:MFY786465 MPT786464:MPU786465 MZP786464:MZQ786465 NJL786464:NJM786465 NTH786464:NTI786465 ODD786464:ODE786465 OMZ786464:ONA786465 OWV786464:OWW786465 PGR786464:PGS786465 PQN786464:PQO786465 QAJ786464:QAK786465 QKF786464:QKG786465 QUB786464:QUC786465 RDX786464:RDY786465 RNT786464:RNU786465 RXP786464:RXQ786465 SHL786464:SHM786465 SRH786464:SRI786465 TBD786464:TBE786465 TKZ786464:TLA786465 TUV786464:TUW786465 UER786464:UES786465 UON786464:UOO786465 UYJ786464:UYK786465 VIF786464:VIG786465 VSB786464:VSC786465 WBX786464:WBY786465 WLT786464:WLU786465 WVP786464:WVQ786465 H852000:I852001 JD852000:JE852001 SZ852000:TA852001 ACV852000:ACW852001 AMR852000:AMS852001 AWN852000:AWO852001 BGJ852000:BGK852001 BQF852000:BQG852001 CAB852000:CAC852001 CJX852000:CJY852001 CTT852000:CTU852001 DDP852000:DDQ852001 DNL852000:DNM852001 DXH852000:DXI852001 EHD852000:EHE852001 EQZ852000:ERA852001 FAV852000:FAW852001 FKR852000:FKS852001 FUN852000:FUO852001 GEJ852000:GEK852001 GOF852000:GOG852001 GYB852000:GYC852001 HHX852000:HHY852001 HRT852000:HRU852001 IBP852000:IBQ852001 ILL852000:ILM852001 IVH852000:IVI852001 JFD852000:JFE852001 JOZ852000:JPA852001 JYV852000:JYW852001 KIR852000:KIS852001 KSN852000:KSO852001 LCJ852000:LCK852001 LMF852000:LMG852001 LWB852000:LWC852001 MFX852000:MFY852001 MPT852000:MPU852001 MZP852000:MZQ852001 NJL852000:NJM852001 NTH852000:NTI852001 ODD852000:ODE852001 OMZ852000:ONA852001 OWV852000:OWW852001 PGR852000:PGS852001 PQN852000:PQO852001 QAJ852000:QAK852001 QKF852000:QKG852001 QUB852000:QUC852001 RDX852000:RDY852001 RNT852000:RNU852001 RXP852000:RXQ852001 SHL852000:SHM852001 SRH852000:SRI852001 TBD852000:TBE852001 TKZ852000:TLA852001 TUV852000:TUW852001 UER852000:UES852001 UON852000:UOO852001 UYJ852000:UYK852001 VIF852000:VIG852001 VSB852000:VSC852001 WBX852000:WBY852001 WLT852000:WLU852001 WVP852000:WVQ852001 H917536:I917537 JD917536:JE917537 SZ917536:TA917537 ACV917536:ACW917537 AMR917536:AMS917537 AWN917536:AWO917537 BGJ917536:BGK917537 BQF917536:BQG917537 CAB917536:CAC917537 CJX917536:CJY917537 CTT917536:CTU917537 DDP917536:DDQ917537 DNL917536:DNM917537 DXH917536:DXI917537 EHD917536:EHE917537 EQZ917536:ERA917537 FAV917536:FAW917537 FKR917536:FKS917537 FUN917536:FUO917537 GEJ917536:GEK917537 GOF917536:GOG917537 GYB917536:GYC917537 HHX917536:HHY917537 HRT917536:HRU917537 IBP917536:IBQ917537 ILL917536:ILM917537 IVH917536:IVI917537 JFD917536:JFE917537 JOZ917536:JPA917537 JYV917536:JYW917537 KIR917536:KIS917537 KSN917536:KSO917537 LCJ917536:LCK917537 LMF917536:LMG917537 LWB917536:LWC917537 MFX917536:MFY917537 MPT917536:MPU917537 MZP917536:MZQ917537 NJL917536:NJM917537 NTH917536:NTI917537 ODD917536:ODE917537 OMZ917536:ONA917537 OWV917536:OWW917537 PGR917536:PGS917537 PQN917536:PQO917537 QAJ917536:QAK917537 QKF917536:QKG917537 QUB917536:QUC917537 RDX917536:RDY917537 RNT917536:RNU917537 RXP917536:RXQ917537 SHL917536:SHM917537 SRH917536:SRI917537 TBD917536:TBE917537 TKZ917536:TLA917537 TUV917536:TUW917537 UER917536:UES917537 UON917536:UOO917537 UYJ917536:UYK917537 VIF917536:VIG917537 VSB917536:VSC917537 WBX917536:WBY917537 WLT917536:WLU917537 WVP917536:WVQ917537 H983072:I983073 JD983072:JE983073 SZ983072:TA983073 ACV983072:ACW983073 AMR983072:AMS983073 AWN983072:AWO983073 BGJ983072:BGK983073 BQF983072:BQG983073 CAB983072:CAC983073 CJX983072:CJY983073 CTT983072:CTU983073 DDP983072:DDQ983073 DNL983072:DNM983073 DXH983072:DXI983073 EHD983072:EHE983073 EQZ983072:ERA983073 FAV983072:FAW983073 FKR983072:FKS983073 FUN983072:FUO983073 GEJ983072:GEK983073 GOF983072:GOG983073 GYB983072:GYC983073 HHX983072:HHY983073 HRT983072:HRU983073 IBP983072:IBQ983073 ILL983072:ILM983073 IVH983072:IVI983073 JFD983072:JFE983073 JOZ983072:JPA983073 JYV983072:JYW983073 KIR983072:KIS983073 KSN983072:KSO983073 LCJ983072:LCK983073 LMF983072:LMG983073 LWB983072:LWC983073 MFX983072:MFY983073 MPT983072:MPU983073 MZP983072:MZQ983073 NJL983072:NJM983073 NTH983072:NTI983073 ODD983072:ODE983073 OMZ983072:ONA983073 OWV983072:OWW983073 PGR983072:PGS983073 PQN983072:PQO983073 QAJ983072:QAK983073 QKF983072:QKG983073 QUB983072:QUC983073 RDX983072:RDY983073 RNT983072:RNU983073 RXP983072:RXQ983073 SHL983072:SHM983073 SRH983072:SRI983073 TBD983072:TBE983073 TKZ983072:TLA983073 TUV983072:TUW983073 UER983072:UES983073 UON983072:UOO983073 UYJ983072:UYK983073 VIF983072:VIG983073 VSB983072:VSC983073 WBX983072:WBY983073 WLT983072:WLU983073 WVP983072:WVQ983073 I34:I41 JE34:JE41 TA34:TA41 ACW34:ACW41 AMS34:AMS41 AWO34:AWO41 BGK34:BGK41 BQG34:BQG41 CAC34:CAC41 CJY34:CJY41 CTU34:CTU41 DDQ34:DDQ41 DNM34:DNM41 DXI34:DXI41 EHE34:EHE41 ERA34:ERA41 FAW34:FAW41 FKS34:FKS41 FUO34:FUO41 GEK34:GEK41 GOG34:GOG41 GYC34:GYC41 HHY34:HHY41 HRU34:HRU41 IBQ34:IBQ41 ILM34:ILM41 IVI34:IVI41 JFE34:JFE41 JPA34:JPA41 JYW34:JYW41 KIS34:KIS41 KSO34:KSO41 LCK34:LCK41 LMG34:LMG41 LWC34:LWC41 MFY34:MFY41 MPU34:MPU41 MZQ34:MZQ41 NJM34:NJM41 NTI34:NTI41 ODE34:ODE41 ONA34:ONA41 OWW34:OWW41 PGS34:PGS41 PQO34:PQO41 QAK34:QAK41 QKG34:QKG41 QUC34:QUC41 RDY34:RDY41 RNU34:RNU41 RXQ34:RXQ41 SHM34:SHM41 SRI34:SRI41 TBE34:TBE41 TLA34:TLA41 TUW34:TUW41 UES34:UES41 UOO34:UOO41 UYK34:UYK41 VIG34:VIG41 VSC34:VSC41 WBY34:WBY41 WLU34:WLU41 WVQ34:WVQ41 I65570:I65577 JE65570:JE65577 TA65570:TA65577 ACW65570:ACW65577 AMS65570:AMS65577 AWO65570:AWO65577 BGK65570:BGK65577 BQG65570:BQG65577 CAC65570:CAC65577 CJY65570:CJY65577 CTU65570:CTU65577 DDQ65570:DDQ65577 DNM65570:DNM65577 DXI65570:DXI65577 EHE65570:EHE65577 ERA65570:ERA65577 FAW65570:FAW65577 FKS65570:FKS65577 FUO65570:FUO65577 GEK65570:GEK65577 GOG65570:GOG65577 GYC65570:GYC65577 HHY65570:HHY65577 HRU65570:HRU65577 IBQ65570:IBQ65577 ILM65570:ILM65577 IVI65570:IVI65577 JFE65570:JFE65577 JPA65570:JPA65577 JYW65570:JYW65577 KIS65570:KIS65577 KSO65570:KSO65577 LCK65570:LCK65577 LMG65570:LMG65577 LWC65570:LWC65577 MFY65570:MFY65577 MPU65570:MPU65577 MZQ65570:MZQ65577 NJM65570:NJM65577 NTI65570:NTI65577 ODE65570:ODE65577 ONA65570:ONA65577 OWW65570:OWW65577 PGS65570:PGS65577 PQO65570:PQO65577 QAK65570:QAK65577 QKG65570:QKG65577 QUC65570:QUC65577 RDY65570:RDY65577 RNU65570:RNU65577 RXQ65570:RXQ65577 SHM65570:SHM65577 SRI65570:SRI65577 TBE65570:TBE65577 TLA65570:TLA65577 TUW65570:TUW65577 UES65570:UES65577 UOO65570:UOO65577 UYK65570:UYK65577 VIG65570:VIG65577 VSC65570:VSC65577 WBY65570:WBY65577 WLU65570:WLU65577 WVQ65570:WVQ65577 I131106:I131113 JE131106:JE131113 TA131106:TA131113 ACW131106:ACW131113 AMS131106:AMS131113 AWO131106:AWO131113 BGK131106:BGK131113 BQG131106:BQG131113 CAC131106:CAC131113 CJY131106:CJY131113 CTU131106:CTU131113 DDQ131106:DDQ131113 DNM131106:DNM131113 DXI131106:DXI131113 EHE131106:EHE131113 ERA131106:ERA131113 FAW131106:FAW131113 FKS131106:FKS131113 FUO131106:FUO131113 GEK131106:GEK131113 GOG131106:GOG131113 GYC131106:GYC131113 HHY131106:HHY131113 HRU131106:HRU131113 IBQ131106:IBQ131113 ILM131106:ILM131113 IVI131106:IVI131113 JFE131106:JFE131113 JPA131106:JPA131113 JYW131106:JYW131113 KIS131106:KIS131113 KSO131106:KSO131113 LCK131106:LCK131113 LMG131106:LMG131113 LWC131106:LWC131113 MFY131106:MFY131113 MPU131106:MPU131113 MZQ131106:MZQ131113 NJM131106:NJM131113 NTI131106:NTI131113 ODE131106:ODE131113 ONA131106:ONA131113 OWW131106:OWW131113 PGS131106:PGS131113 PQO131106:PQO131113 QAK131106:QAK131113 QKG131106:QKG131113 QUC131106:QUC131113 RDY131106:RDY131113 RNU131106:RNU131113 RXQ131106:RXQ131113 SHM131106:SHM131113 SRI131106:SRI131113 TBE131106:TBE131113 TLA131106:TLA131113 TUW131106:TUW131113 UES131106:UES131113 UOO131106:UOO131113 UYK131106:UYK131113 VIG131106:VIG131113 VSC131106:VSC131113 WBY131106:WBY131113 WLU131106:WLU131113 WVQ131106:WVQ131113 I196642:I196649 JE196642:JE196649 TA196642:TA196649 ACW196642:ACW196649 AMS196642:AMS196649 AWO196642:AWO196649 BGK196642:BGK196649 BQG196642:BQG196649 CAC196642:CAC196649 CJY196642:CJY196649 CTU196642:CTU196649 DDQ196642:DDQ196649 DNM196642:DNM196649 DXI196642:DXI196649 EHE196642:EHE196649 ERA196642:ERA196649 FAW196642:FAW196649 FKS196642:FKS196649 FUO196642:FUO196649 GEK196642:GEK196649 GOG196642:GOG196649 GYC196642:GYC196649 HHY196642:HHY196649 HRU196642:HRU196649 IBQ196642:IBQ196649 ILM196642:ILM196649 IVI196642:IVI196649 JFE196642:JFE196649 JPA196642:JPA196649 JYW196642:JYW196649 KIS196642:KIS196649 KSO196642:KSO196649 LCK196642:LCK196649 LMG196642:LMG196649 LWC196642:LWC196649 MFY196642:MFY196649 MPU196642:MPU196649 MZQ196642:MZQ196649 NJM196642:NJM196649 NTI196642:NTI196649 ODE196642:ODE196649 ONA196642:ONA196649 OWW196642:OWW196649 PGS196642:PGS196649 PQO196642:PQO196649 QAK196642:QAK196649 QKG196642:QKG196649 QUC196642:QUC196649 RDY196642:RDY196649 RNU196642:RNU196649 RXQ196642:RXQ196649 SHM196642:SHM196649 SRI196642:SRI196649 TBE196642:TBE196649 TLA196642:TLA196649 TUW196642:TUW196649 UES196642:UES196649 UOO196642:UOO196649 UYK196642:UYK196649 VIG196642:VIG196649 VSC196642:VSC196649 WBY196642:WBY196649 WLU196642:WLU196649 WVQ196642:WVQ196649 I262178:I262185 JE262178:JE262185 TA262178:TA262185 ACW262178:ACW262185 AMS262178:AMS262185 AWO262178:AWO262185 BGK262178:BGK262185 BQG262178:BQG262185 CAC262178:CAC262185 CJY262178:CJY262185 CTU262178:CTU262185 DDQ262178:DDQ262185 DNM262178:DNM262185 DXI262178:DXI262185 EHE262178:EHE262185 ERA262178:ERA262185 FAW262178:FAW262185 FKS262178:FKS262185 FUO262178:FUO262185 GEK262178:GEK262185 GOG262178:GOG262185 GYC262178:GYC262185 HHY262178:HHY262185 HRU262178:HRU262185 IBQ262178:IBQ262185 ILM262178:ILM262185 IVI262178:IVI262185 JFE262178:JFE262185 JPA262178:JPA262185 JYW262178:JYW262185 KIS262178:KIS262185 KSO262178:KSO262185 LCK262178:LCK262185 LMG262178:LMG262185 LWC262178:LWC262185 MFY262178:MFY262185 MPU262178:MPU262185 MZQ262178:MZQ262185 NJM262178:NJM262185 NTI262178:NTI262185 ODE262178:ODE262185 ONA262178:ONA262185 OWW262178:OWW262185 PGS262178:PGS262185 PQO262178:PQO262185 QAK262178:QAK262185 QKG262178:QKG262185 QUC262178:QUC262185 RDY262178:RDY262185 RNU262178:RNU262185 RXQ262178:RXQ262185 SHM262178:SHM262185 SRI262178:SRI262185 TBE262178:TBE262185 TLA262178:TLA262185 TUW262178:TUW262185 UES262178:UES262185 UOO262178:UOO262185 UYK262178:UYK262185 VIG262178:VIG262185 VSC262178:VSC262185 WBY262178:WBY262185 WLU262178:WLU262185 WVQ262178:WVQ262185 I327714:I327721 JE327714:JE327721 TA327714:TA327721 ACW327714:ACW327721 AMS327714:AMS327721 AWO327714:AWO327721 BGK327714:BGK327721 BQG327714:BQG327721 CAC327714:CAC327721 CJY327714:CJY327721 CTU327714:CTU327721 DDQ327714:DDQ327721 DNM327714:DNM327721 DXI327714:DXI327721 EHE327714:EHE327721 ERA327714:ERA327721 FAW327714:FAW327721 FKS327714:FKS327721 FUO327714:FUO327721 GEK327714:GEK327721 GOG327714:GOG327721 GYC327714:GYC327721 HHY327714:HHY327721 HRU327714:HRU327721 IBQ327714:IBQ327721 ILM327714:ILM327721 IVI327714:IVI327721 JFE327714:JFE327721 JPA327714:JPA327721 JYW327714:JYW327721 KIS327714:KIS327721 KSO327714:KSO327721 LCK327714:LCK327721 LMG327714:LMG327721 LWC327714:LWC327721 MFY327714:MFY327721 MPU327714:MPU327721 MZQ327714:MZQ327721 NJM327714:NJM327721 NTI327714:NTI327721 ODE327714:ODE327721 ONA327714:ONA327721 OWW327714:OWW327721 PGS327714:PGS327721 PQO327714:PQO327721 QAK327714:QAK327721 QKG327714:QKG327721 QUC327714:QUC327721 RDY327714:RDY327721 RNU327714:RNU327721 RXQ327714:RXQ327721 SHM327714:SHM327721 SRI327714:SRI327721 TBE327714:TBE327721 TLA327714:TLA327721 TUW327714:TUW327721 UES327714:UES327721 UOO327714:UOO327721 UYK327714:UYK327721 VIG327714:VIG327721 VSC327714:VSC327721 WBY327714:WBY327721 WLU327714:WLU327721 WVQ327714:WVQ327721 I393250:I393257 JE393250:JE393257 TA393250:TA393257 ACW393250:ACW393257 AMS393250:AMS393257 AWO393250:AWO393257 BGK393250:BGK393257 BQG393250:BQG393257 CAC393250:CAC393257 CJY393250:CJY393257 CTU393250:CTU393257 DDQ393250:DDQ393257 DNM393250:DNM393257 DXI393250:DXI393257 EHE393250:EHE393257 ERA393250:ERA393257 FAW393250:FAW393257 FKS393250:FKS393257 FUO393250:FUO393257 GEK393250:GEK393257 GOG393250:GOG393257 GYC393250:GYC393257 HHY393250:HHY393257 HRU393250:HRU393257 IBQ393250:IBQ393257 ILM393250:ILM393257 IVI393250:IVI393257 JFE393250:JFE393257 JPA393250:JPA393257 JYW393250:JYW393257 KIS393250:KIS393257 KSO393250:KSO393257 LCK393250:LCK393257 LMG393250:LMG393257 LWC393250:LWC393257 MFY393250:MFY393257 MPU393250:MPU393257 MZQ393250:MZQ393257 NJM393250:NJM393257 NTI393250:NTI393257 ODE393250:ODE393257 ONA393250:ONA393257 OWW393250:OWW393257 PGS393250:PGS393257 PQO393250:PQO393257 QAK393250:QAK393257 QKG393250:QKG393257 QUC393250:QUC393257 RDY393250:RDY393257 RNU393250:RNU393257 RXQ393250:RXQ393257 SHM393250:SHM393257 SRI393250:SRI393257 TBE393250:TBE393257 TLA393250:TLA393257 TUW393250:TUW393257 UES393250:UES393257 UOO393250:UOO393257 UYK393250:UYK393257 VIG393250:VIG393257 VSC393250:VSC393257 WBY393250:WBY393257 WLU393250:WLU393257 WVQ393250:WVQ393257 I458786:I458793 JE458786:JE458793 TA458786:TA458793 ACW458786:ACW458793 AMS458786:AMS458793 AWO458786:AWO458793 BGK458786:BGK458793 BQG458786:BQG458793 CAC458786:CAC458793 CJY458786:CJY458793 CTU458786:CTU458793 DDQ458786:DDQ458793 DNM458786:DNM458793 DXI458786:DXI458793 EHE458786:EHE458793 ERA458786:ERA458793 FAW458786:FAW458793 FKS458786:FKS458793 FUO458786:FUO458793 GEK458786:GEK458793 GOG458786:GOG458793 GYC458786:GYC458793 HHY458786:HHY458793 HRU458786:HRU458793 IBQ458786:IBQ458793 ILM458786:ILM458793 IVI458786:IVI458793 JFE458786:JFE458793 JPA458786:JPA458793 JYW458786:JYW458793 KIS458786:KIS458793 KSO458786:KSO458793 LCK458786:LCK458793 LMG458786:LMG458793 LWC458786:LWC458793 MFY458786:MFY458793 MPU458786:MPU458793 MZQ458786:MZQ458793 NJM458786:NJM458793 NTI458786:NTI458793 ODE458786:ODE458793 ONA458786:ONA458793 OWW458786:OWW458793 PGS458786:PGS458793 PQO458786:PQO458793 QAK458786:QAK458793 QKG458786:QKG458793 QUC458786:QUC458793 RDY458786:RDY458793 RNU458786:RNU458793 RXQ458786:RXQ458793 SHM458786:SHM458793 SRI458786:SRI458793 TBE458786:TBE458793 TLA458786:TLA458793 TUW458786:TUW458793 UES458786:UES458793 UOO458786:UOO458793 UYK458786:UYK458793 VIG458786:VIG458793 VSC458786:VSC458793 WBY458786:WBY458793 WLU458786:WLU458793 WVQ458786:WVQ458793 I524322:I524329 JE524322:JE524329 TA524322:TA524329 ACW524322:ACW524329 AMS524322:AMS524329 AWO524322:AWO524329 BGK524322:BGK524329 BQG524322:BQG524329 CAC524322:CAC524329 CJY524322:CJY524329 CTU524322:CTU524329 DDQ524322:DDQ524329 DNM524322:DNM524329 DXI524322:DXI524329 EHE524322:EHE524329 ERA524322:ERA524329 FAW524322:FAW524329 FKS524322:FKS524329 FUO524322:FUO524329 GEK524322:GEK524329 GOG524322:GOG524329 GYC524322:GYC524329 HHY524322:HHY524329 HRU524322:HRU524329 IBQ524322:IBQ524329 ILM524322:ILM524329 IVI524322:IVI524329 JFE524322:JFE524329 JPA524322:JPA524329 JYW524322:JYW524329 KIS524322:KIS524329 KSO524322:KSO524329 LCK524322:LCK524329 LMG524322:LMG524329 LWC524322:LWC524329 MFY524322:MFY524329 MPU524322:MPU524329 MZQ524322:MZQ524329 NJM524322:NJM524329 NTI524322:NTI524329 ODE524322:ODE524329 ONA524322:ONA524329 OWW524322:OWW524329 PGS524322:PGS524329 PQO524322:PQO524329 QAK524322:QAK524329 QKG524322:QKG524329 QUC524322:QUC524329 RDY524322:RDY524329 RNU524322:RNU524329 RXQ524322:RXQ524329 SHM524322:SHM524329 SRI524322:SRI524329 TBE524322:TBE524329 TLA524322:TLA524329 TUW524322:TUW524329 UES524322:UES524329 UOO524322:UOO524329 UYK524322:UYK524329 VIG524322:VIG524329 VSC524322:VSC524329 WBY524322:WBY524329 WLU524322:WLU524329 WVQ524322:WVQ524329 I589858:I589865 JE589858:JE589865 TA589858:TA589865 ACW589858:ACW589865 AMS589858:AMS589865 AWO589858:AWO589865 BGK589858:BGK589865 BQG589858:BQG589865 CAC589858:CAC589865 CJY589858:CJY589865 CTU589858:CTU589865 DDQ589858:DDQ589865 DNM589858:DNM589865 DXI589858:DXI589865 EHE589858:EHE589865 ERA589858:ERA589865 FAW589858:FAW589865 FKS589858:FKS589865 FUO589858:FUO589865 GEK589858:GEK589865 GOG589858:GOG589865 GYC589858:GYC589865 HHY589858:HHY589865 HRU589858:HRU589865 IBQ589858:IBQ589865 ILM589858:ILM589865 IVI589858:IVI589865 JFE589858:JFE589865 JPA589858:JPA589865 JYW589858:JYW589865 KIS589858:KIS589865 KSO589858:KSO589865 LCK589858:LCK589865 LMG589858:LMG589865 LWC589858:LWC589865 MFY589858:MFY589865 MPU589858:MPU589865 MZQ589858:MZQ589865 NJM589858:NJM589865 NTI589858:NTI589865 ODE589858:ODE589865 ONA589858:ONA589865 OWW589858:OWW589865 PGS589858:PGS589865 PQO589858:PQO589865 QAK589858:QAK589865 QKG589858:QKG589865 QUC589858:QUC589865 RDY589858:RDY589865 RNU589858:RNU589865 RXQ589858:RXQ589865 SHM589858:SHM589865 SRI589858:SRI589865 TBE589858:TBE589865 TLA589858:TLA589865 TUW589858:TUW589865 UES589858:UES589865 UOO589858:UOO589865 UYK589858:UYK589865 VIG589858:VIG589865 VSC589858:VSC589865 WBY589858:WBY589865 WLU589858:WLU589865 WVQ589858:WVQ589865 I655394:I655401 JE655394:JE655401 TA655394:TA655401 ACW655394:ACW655401 AMS655394:AMS655401 AWO655394:AWO655401 BGK655394:BGK655401 BQG655394:BQG655401 CAC655394:CAC655401 CJY655394:CJY655401 CTU655394:CTU655401 DDQ655394:DDQ655401 DNM655394:DNM655401 DXI655394:DXI655401 EHE655394:EHE655401 ERA655394:ERA655401 FAW655394:FAW655401 FKS655394:FKS655401 FUO655394:FUO655401 GEK655394:GEK655401 GOG655394:GOG655401 GYC655394:GYC655401 HHY655394:HHY655401 HRU655394:HRU655401 IBQ655394:IBQ655401 ILM655394:ILM655401 IVI655394:IVI655401 JFE655394:JFE655401 JPA655394:JPA655401 JYW655394:JYW655401 KIS655394:KIS655401 KSO655394:KSO655401 LCK655394:LCK655401 LMG655394:LMG655401 LWC655394:LWC655401 MFY655394:MFY655401 MPU655394:MPU655401 MZQ655394:MZQ655401 NJM655394:NJM655401 NTI655394:NTI655401 ODE655394:ODE655401 ONA655394:ONA655401 OWW655394:OWW655401 PGS655394:PGS655401 PQO655394:PQO655401 QAK655394:QAK655401 QKG655394:QKG655401 QUC655394:QUC655401 RDY655394:RDY655401 RNU655394:RNU655401 RXQ655394:RXQ655401 SHM655394:SHM655401 SRI655394:SRI655401 TBE655394:TBE655401 TLA655394:TLA655401 TUW655394:TUW655401 UES655394:UES655401 UOO655394:UOO655401 UYK655394:UYK655401 VIG655394:VIG655401 VSC655394:VSC655401 WBY655394:WBY655401 WLU655394:WLU655401 WVQ655394:WVQ655401 I720930:I720937 JE720930:JE720937 TA720930:TA720937 ACW720930:ACW720937 AMS720930:AMS720937 AWO720930:AWO720937 BGK720930:BGK720937 BQG720930:BQG720937 CAC720930:CAC720937 CJY720930:CJY720937 CTU720930:CTU720937 DDQ720930:DDQ720937 DNM720930:DNM720937 DXI720930:DXI720937 EHE720930:EHE720937 ERA720930:ERA720937 FAW720930:FAW720937 FKS720930:FKS720937 FUO720930:FUO720937 GEK720930:GEK720937 GOG720930:GOG720937 GYC720930:GYC720937 HHY720930:HHY720937 HRU720930:HRU720937 IBQ720930:IBQ720937 ILM720930:ILM720937 IVI720930:IVI720937 JFE720930:JFE720937 JPA720930:JPA720937 JYW720930:JYW720937 KIS720930:KIS720937 KSO720930:KSO720937 LCK720930:LCK720937 LMG720930:LMG720937 LWC720930:LWC720937 MFY720930:MFY720937 MPU720930:MPU720937 MZQ720930:MZQ720937 NJM720930:NJM720937 NTI720930:NTI720937 ODE720930:ODE720937 ONA720930:ONA720937 OWW720930:OWW720937 PGS720930:PGS720937 PQO720930:PQO720937 QAK720930:QAK720937 QKG720930:QKG720937 QUC720930:QUC720937 RDY720930:RDY720937 RNU720930:RNU720937 RXQ720930:RXQ720937 SHM720930:SHM720937 SRI720930:SRI720937 TBE720930:TBE720937 TLA720930:TLA720937 TUW720930:TUW720937 UES720930:UES720937 UOO720930:UOO720937 UYK720930:UYK720937 VIG720930:VIG720937 VSC720930:VSC720937 WBY720930:WBY720937 WLU720930:WLU720937 WVQ720930:WVQ720937 I786466:I786473 JE786466:JE786473 TA786466:TA786473 ACW786466:ACW786473 AMS786466:AMS786473 AWO786466:AWO786473 BGK786466:BGK786473 BQG786466:BQG786473 CAC786466:CAC786473 CJY786466:CJY786473 CTU786466:CTU786473 DDQ786466:DDQ786473 DNM786466:DNM786473 DXI786466:DXI786473 EHE786466:EHE786473 ERA786466:ERA786473 FAW786466:FAW786473 FKS786466:FKS786473 FUO786466:FUO786473 GEK786466:GEK786473 GOG786466:GOG786473 GYC786466:GYC786473 HHY786466:HHY786473 HRU786466:HRU786473 IBQ786466:IBQ786473 ILM786466:ILM786473 IVI786466:IVI786473 JFE786466:JFE786473 JPA786466:JPA786473 JYW786466:JYW786473 KIS786466:KIS786473 KSO786466:KSO786473 LCK786466:LCK786473 LMG786466:LMG786473 LWC786466:LWC786473 MFY786466:MFY786473 MPU786466:MPU786473 MZQ786466:MZQ786473 NJM786466:NJM786473 NTI786466:NTI786473 ODE786466:ODE786473 ONA786466:ONA786473 OWW786466:OWW786473 PGS786466:PGS786473 PQO786466:PQO786473 QAK786466:QAK786473 QKG786466:QKG786473 QUC786466:QUC786473 RDY786466:RDY786473 RNU786466:RNU786473 RXQ786466:RXQ786473 SHM786466:SHM786473 SRI786466:SRI786473 TBE786466:TBE786473 TLA786466:TLA786473 TUW786466:TUW786473 UES786466:UES786473 UOO786466:UOO786473 UYK786466:UYK786473 VIG786466:VIG786473 VSC786466:VSC786473 WBY786466:WBY786473 WLU786466:WLU786473 WVQ786466:WVQ786473 I852002:I852009 JE852002:JE852009 TA852002:TA852009 ACW852002:ACW852009 AMS852002:AMS852009 AWO852002:AWO852009 BGK852002:BGK852009 BQG852002:BQG852009 CAC852002:CAC852009 CJY852002:CJY852009 CTU852002:CTU852009 DDQ852002:DDQ852009 DNM852002:DNM852009 DXI852002:DXI852009 EHE852002:EHE852009 ERA852002:ERA852009 FAW852002:FAW852009 FKS852002:FKS852009 FUO852002:FUO852009 GEK852002:GEK852009 GOG852002:GOG852009 GYC852002:GYC852009 HHY852002:HHY852009 HRU852002:HRU852009 IBQ852002:IBQ852009 ILM852002:ILM852009 IVI852002:IVI852009 JFE852002:JFE852009 JPA852002:JPA852009 JYW852002:JYW852009 KIS852002:KIS852009 KSO852002:KSO852009 LCK852002:LCK852009 LMG852002:LMG852009 LWC852002:LWC852009 MFY852002:MFY852009 MPU852002:MPU852009 MZQ852002:MZQ852009 NJM852002:NJM852009 NTI852002:NTI852009 ODE852002:ODE852009 ONA852002:ONA852009 OWW852002:OWW852009 PGS852002:PGS852009 PQO852002:PQO852009 QAK852002:QAK852009 QKG852002:QKG852009 QUC852002:QUC852009 RDY852002:RDY852009 RNU852002:RNU852009 RXQ852002:RXQ852009 SHM852002:SHM852009 SRI852002:SRI852009 TBE852002:TBE852009 TLA852002:TLA852009 TUW852002:TUW852009 UES852002:UES852009 UOO852002:UOO852009 UYK852002:UYK852009 VIG852002:VIG852009 VSC852002:VSC852009 WBY852002:WBY852009 WLU852002:WLU852009 WVQ852002:WVQ852009 I917538:I917545 JE917538:JE917545 TA917538:TA917545 ACW917538:ACW917545 AMS917538:AMS917545 AWO917538:AWO917545 BGK917538:BGK917545 BQG917538:BQG917545 CAC917538:CAC917545 CJY917538:CJY917545 CTU917538:CTU917545 DDQ917538:DDQ917545 DNM917538:DNM917545 DXI917538:DXI917545 EHE917538:EHE917545 ERA917538:ERA917545 FAW917538:FAW917545 FKS917538:FKS917545 FUO917538:FUO917545 GEK917538:GEK917545 GOG917538:GOG917545 GYC917538:GYC917545 HHY917538:HHY917545 HRU917538:HRU917545 IBQ917538:IBQ917545 ILM917538:ILM917545 IVI917538:IVI917545 JFE917538:JFE917545 JPA917538:JPA917545 JYW917538:JYW917545 KIS917538:KIS917545 KSO917538:KSO917545 LCK917538:LCK917545 LMG917538:LMG917545 LWC917538:LWC917545 MFY917538:MFY917545 MPU917538:MPU917545 MZQ917538:MZQ917545 NJM917538:NJM917545 NTI917538:NTI917545 ODE917538:ODE917545 ONA917538:ONA917545 OWW917538:OWW917545 PGS917538:PGS917545 PQO917538:PQO917545 QAK917538:QAK917545 QKG917538:QKG917545 QUC917538:QUC917545 RDY917538:RDY917545 RNU917538:RNU917545 RXQ917538:RXQ917545 SHM917538:SHM917545 SRI917538:SRI917545 TBE917538:TBE917545 TLA917538:TLA917545 TUW917538:TUW917545 UES917538:UES917545 UOO917538:UOO917545 UYK917538:UYK917545 VIG917538:VIG917545 VSC917538:VSC917545 WBY917538:WBY917545 WLU917538:WLU917545 WVQ917538:WVQ917545 I983074:I983081 JE983074:JE983081 TA983074:TA983081 ACW983074:ACW983081 AMS983074:AMS983081 AWO983074:AWO983081 BGK983074:BGK983081 BQG983074:BQG983081 CAC983074:CAC983081 CJY983074:CJY983081 CTU983074:CTU983081 DDQ983074:DDQ983081 DNM983074:DNM983081 DXI983074:DXI983081 EHE983074:EHE983081 ERA983074:ERA983081 FAW983074:FAW983081 FKS983074:FKS983081 FUO983074:FUO983081 GEK983074:GEK983081 GOG983074:GOG983081 GYC983074:GYC983081 HHY983074:HHY983081 HRU983074:HRU983081 IBQ983074:IBQ983081 ILM983074:ILM983081 IVI983074:IVI983081 JFE983074:JFE983081 JPA983074:JPA983081 JYW983074:JYW983081 KIS983074:KIS983081 KSO983074:KSO983081 LCK983074:LCK983081 LMG983074:LMG983081 LWC983074:LWC983081 MFY983074:MFY983081 MPU983074:MPU983081 MZQ983074:MZQ983081 NJM983074:NJM983081 NTI983074:NTI983081 ODE983074:ODE983081 ONA983074:ONA983081 OWW983074:OWW983081 PGS983074:PGS983081 PQO983074:PQO983081 QAK983074:QAK983081 QKG983074:QKG983081 QUC983074:QUC983081 RDY983074:RDY983081 RNU983074:RNU983081 RXQ983074:RXQ983081 SHM983074:SHM983081 SRI983074:SRI983081 TBE983074:TBE983081 TLA983074:TLA983081 TUW983074:TUW983081 UES983074:UES983081 UOO983074:UOO983081 UYK983074:UYK983081 VIG983074:VIG983081 VSC983074:VSC983081 WBY983074:WBY983081 WLU983074:WLU983081 WVQ983074:WVQ983081">
      <formula1>"Yes,No,NA"</formula1>
    </dataValidation>
    <dataValidation type="list" allowBlank="1" showInputMessage="1" showErrorMessage="1" sqref="H30 JD30 SZ30 ACV30 AMR30 AWN30 BGJ30 BQF30 CAB30 CJX30 CTT30 DDP30 DNL30 DXH30 EHD30 EQZ30 FAV30 FKR30 FUN30 GEJ30 GOF30 GYB30 HHX30 HRT30 IBP30 ILL30 IVH30 JFD30 JOZ30 JYV30 KIR30 KSN30 LCJ30 LMF30 LWB30 MFX30 MPT30 MZP30 NJL30 NTH30 ODD30 OMZ30 OWV30 PGR30 PQN30 QAJ30 QKF30 QUB30 RDX30 RNT30 RXP30 SHL30 SRH30 TBD30 TKZ30 TUV30 UER30 UON30 UYJ30 VIF30 VSB30 WBX30 WLT30 WVP30 H65566 JD65566 SZ65566 ACV65566 AMR65566 AWN65566 BGJ65566 BQF65566 CAB65566 CJX65566 CTT65566 DDP65566 DNL65566 DXH65566 EHD65566 EQZ65566 FAV65566 FKR65566 FUN65566 GEJ65566 GOF65566 GYB65566 HHX65566 HRT65566 IBP65566 ILL65566 IVH65566 JFD65566 JOZ65566 JYV65566 KIR65566 KSN65566 LCJ65566 LMF65566 LWB65566 MFX65566 MPT65566 MZP65566 NJL65566 NTH65566 ODD65566 OMZ65566 OWV65566 PGR65566 PQN65566 QAJ65566 QKF65566 QUB65566 RDX65566 RNT65566 RXP65566 SHL65566 SRH65566 TBD65566 TKZ65566 TUV65566 UER65566 UON65566 UYJ65566 VIF65566 VSB65566 WBX65566 WLT65566 WVP65566 H131102 JD131102 SZ131102 ACV131102 AMR131102 AWN131102 BGJ131102 BQF131102 CAB131102 CJX131102 CTT131102 DDP131102 DNL131102 DXH131102 EHD131102 EQZ131102 FAV131102 FKR131102 FUN131102 GEJ131102 GOF131102 GYB131102 HHX131102 HRT131102 IBP131102 ILL131102 IVH131102 JFD131102 JOZ131102 JYV131102 KIR131102 KSN131102 LCJ131102 LMF131102 LWB131102 MFX131102 MPT131102 MZP131102 NJL131102 NTH131102 ODD131102 OMZ131102 OWV131102 PGR131102 PQN131102 QAJ131102 QKF131102 QUB131102 RDX131102 RNT131102 RXP131102 SHL131102 SRH131102 TBD131102 TKZ131102 TUV131102 UER131102 UON131102 UYJ131102 VIF131102 VSB131102 WBX131102 WLT131102 WVP131102 H196638 JD196638 SZ196638 ACV196638 AMR196638 AWN196638 BGJ196638 BQF196638 CAB196638 CJX196638 CTT196638 DDP196638 DNL196638 DXH196638 EHD196638 EQZ196638 FAV196638 FKR196638 FUN196638 GEJ196638 GOF196638 GYB196638 HHX196638 HRT196638 IBP196638 ILL196638 IVH196638 JFD196638 JOZ196638 JYV196638 KIR196638 KSN196638 LCJ196638 LMF196638 LWB196638 MFX196638 MPT196638 MZP196638 NJL196638 NTH196638 ODD196638 OMZ196638 OWV196638 PGR196638 PQN196638 QAJ196638 QKF196638 QUB196638 RDX196638 RNT196638 RXP196638 SHL196638 SRH196638 TBD196638 TKZ196638 TUV196638 UER196638 UON196638 UYJ196638 VIF196638 VSB196638 WBX196638 WLT196638 WVP196638 H262174 JD262174 SZ262174 ACV262174 AMR262174 AWN262174 BGJ262174 BQF262174 CAB262174 CJX262174 CTT262174 DDP262174 DNL262174 DXH262174 EHD262174 EQZ262174 FAV262174 FKR262174 FUN262174 GEJ262174 GOF262174 GYB262174 HHX262174 HRT262174 IBP262174 ILL262174 IVH262174 JFD262174 JOZ262174 JYV262174 KIR262174 KSN262174 LCJ262174 LMF262174 LWB262174 MFX262174 MPT262174 MZP262174 NJL262174 NTH262174 ODD262174 OMZ262174 OWV262174 PGR262174 PQN262174 QAJ262174 QKF262174 QUB262174 RDX262174 RNT262174 RXP262174 SHL262174 SRH262174 TBD262174 TKZ262174 TUV262174 UER262174 UON262174 UYJ262174 VIF262174 VSB262174 WBX262174 WLT262174 WVP262174 H327710 JD327710 SZ327710 ACV327710 AMR327710 AWN327710 BGJ327710 BQF327710 CAB327710 CJX327710 CTT327710 DDP327710 DNL327710 DXH327710 EHD327710 EQZ327710 FAV327710 FKR327710 FUN327710 GEJ327710 GOF327710 GYB327710 HHX327710 HRT327710 IBP327710 ILL327710 IVH327710 JFD327710 JOZ327710 JYV327710 KIR327710 KSN327710 LCJ327710 LMF327710 LWB327710 MFX327710 MPT327710 MZP327710 NJL327710 NTH327710 ODD327710 OMZ327710 OWV327710 PGR327710 PQN327710 QAJ327710 QKF327710 QUB327710 RDX327710 RNT327710 RXP327710 SHL327710 SRH327710 TBD327710 TKZ327710 TUV327710 UER327710 UON327710 UYJ327710 VIF327710 VSB327710 WBX327710 WLT327710 WVP327710 H393246 JD393246 SZ393246 ACV393246 AMR393246 AWN393246 BGJ393246 BQF393246 CAB393246 CJX393246 CTT393246 DDP393246 DNL393246 DXH393246 EHD393246 EQZ393246 FAV393246 FKR393246 FUN393246 GEJ393246 GOF393246 GYB393246 HHX393246 HRT393246 IBP393246 ILL393246 IVH393246 JFD393246 JOZ393246 JYV393246 KIR393246 KSN393246 LCJ393246 LMF393246 LWB393246 MFX393246 MPT393246 MZP393246 NJL393246 NTH393246 ODD393246 OMZ393246 OWV393246 PGR393246 PQN393246 QAJ393246 QKF393246 QUB393246 RDX393246 RNT393246 RXP393246 SHL393246 SRH393246 TBD393246 TKZ393246 TUV393246 UER393246 UON393246 UYJ393246 VIF393246 VSB393246 WBX393246 WLT393246 WVP393246 H458782 JD458782 SZ458782 ACV458782 AMR458782 AWN458782 BGJ458782 BQF458782 CAB458782 CJX458782 CTT458782 DDP458782 DNL458782 DXH458782 EHD458782 EQZ458782 FAV458782 FKR458782 FUN458782 GEJ458782 GOF458782 GYB458782 HHX458782 HRT458782 IBP458782 ILL458782 IVH458782 JFD458782 JOZ458782 JYV458782 KIR458782 KSN458782 LCJ458782 LMF458782 LWB458782 MFX458782 MPT458782 MZP458782 NJL458782 NTH458782 ODD458782 OMZ458782 OWV458782 PGR458782 PQN458782 QAJ458782 QKF458782 QUB458782 RDX458782 RNT458782 RXP458782 SHL458782 SRH458782 TBD458782 TKZ458782 TUV458782 UER458782 UON458782 UYJ458782 VIF458782 VSB458782 WBX458782 WLT458782 WVP458782 H524318 JD524318 SZ524318 ACV524318 AMR524318 AWN524318 BGJ524318 BQF524318 CAB524318 CJX524318 CTT524318 DDP524318 DNL524318 DXH524318 EHD524318 EQZ524318 FAV524318 FKR524318 FUN524318 GEJ524318 GOF524318 GYB524318 HHX524318 HRT524318 IBP524318 ILL524318 IVH524318 JFD524318 JOZ524318 JYV524318 KIR524318 KSN524318 LCJ524318 LMF524318 LWB524318 MFX524318 MPT524318 MZP524318 NJL524318 NTH524318 ODD524318 OMZ524318 OWV524318 PGR524318 PQN524318 QAJ524318 QKF524318 QUB524318 RDX524318 RNT524318 RXP524318 SHL524318 SRH524318 TBD524318 TKZ524318 TUV524318 UER524318 UON524318 UYJ524318 VIF524318 VSB524318 WBX524318 WLT524318 WVP524318 H589854 JD589854 SZ589854 ACV589854 AMR589854 AWN589854 BGJ589854 BQF589854 CAB589854 CJX589854 CTT589854 DDP589854 DNL589854 DXH589854 EHD589854 EQZ589854 FAV589854 FKR589854 FUN589854 GEJ589854 GOF589854 GYB589854 HHX589854 HRT589854 IBP589854 ILL589854 IVH589854 JFD589854 JOZ589854 JYV589854 KIR589854 KSN589854 LCJ589854 LMF589854 LWB589854 MFX589854 MPT589854 MZP589854 NJL589854 NTH589854 ODD589854 OMZ589854 OWV589854 PGR589854 PQN589854 QAJ589854 QKF589854 QUB589854 RDX589854 RNT589854 RXP589854 SHL589854 SRH589854 TBD589854 TKZ589854 TUV589854 UER589854 UON589854 UYJ589854 VIF589854 VSB589854 WBX589854 WLT589854 WVP589854 H655390 JD655390 SZ655390 ACV655390 AMR655390 AWN655390 BGJ655390 BQF655390 CAB655390 CJX655390 CTT655390 DDP655390 DNL655390 DXH655390 EHD655390 EQZ655390 FAV655390 FKR655390 FUN655390 GEJ655390 GOF655390 GYB655390 HHX655390 HRT655390 IBP655390 ILL655390 IVH655390 JFD655390 JOZ655390 JYV655390 KIR655390 KSN655390 LCJ655390 LMF655390 LWB655390 MFX655390 MPT655390 MZP655390 NJL655390 NTH655390 ODD655390 OMZ655390 OWV655390 PGR655390 PQN655390 QAJ655390 QKF655390 QUB655390 RDX655390 RNT655390 RXP655390 SHL655390 SRH655390 TBD655390 TKZ655390 TUV655390 UER655390 UON655390 UYJ655390 VIF655390 VSB655390 WBX655390 WLT655390 WVP655390 H720926 JD720926 SZ720926 ACV720926 AMR720926 AWN720926 BGJ720926 BQF720926 CAB720926 CJX720926 CTT720926 DDP720926 DNL720926 DXH720926 EHD720926 EQZ720926 FAV720926 FKR720926 FUN720926 GEJ720926 GOF720926 GYB720926 HHX720926 HRT720926 IBP720926 ILL720926 IVH720926 JFD720926 JOZ720926 JYV720926 KIR720926 KSN720926 LCJ720926 LMF720926 LWB720926 MFX720926 MPT720926 MZP720926 NJL720926 NTH720926 ODD720926 OMZ720926 OWV720926 PGR720926 PQN720926 QAJ720926 QKF720926 QUB720926 RDX720926 RNT720926 RXP720926 SHL720926 SRH720926 TBD720926 TKZ720926 TUV720926 UER720926 UON720926 UYJ720926 VIF720926 VSB720926 WBX720926 WLT720926 WVP720926 H786462 JD786462 SZ786462 ACV786462 AMR786462 AWN786462 BGJ786462 BQF786462 CAB786462 CJX786462 CTT786462 DDP786462 DNL786462 DXH786462 EHD786462 EQZ786462 FAV786462 FKR786462 FUN786462 GEJ786462 GOF786462 GYB786462 HHX786462 HRT786462 IBP786462 ILL786462 IVH786462 JFD786462 JOZ786462 JYV786462 KIR786462 KSN786462 LCJ786462 LMF786462 LWB786462 MFX786462 MPT786462 MZP786462 NJL786462 NTH786462 ODD786462 OMZ786462 OWV786462 PGR786462 PQN786462 QAJ786462 QKF786462 QUB786462 RDX786462 RNT786462 RXP786462 SHL786462 SRH786462 TBD786462 TKZ786462 TUV786462 UER786462 UON786462 UYJ786462 VIF786462 VSB786462 WBX786462 WLT786462 WVP786462 H851998 JD851998 SZ851998 ACV851998 AMR851998 AWN851998 BGJ851998 BQF851998 CAB851998 CJX851998 CTT851998 DDP851998 DNL851998 DXH851998 EHD851998 EQZ851998 FAV851998 FKR851998 FUN851998 GEJ851998 GOF851998 GYB851998 HHX851998 HRT851998 IBP851998 ILL851998 IVH851998 JFD851998 JOZ851998 JYV851998 KIR851998 KSN851998 LCJ851998 LMF851998 LWB851998 MFX851998 MPT851998 MZP851998 NJL851998 NTH851998 ODD851998 OMZ851998 OWV851998 PGR851998 PQN851998 QAJ851998 QKF851998 QUB851998 RDX851998 RNT851998 RXP851998 SHL851998 SRH851998 TBD851998 TKZ851998 TUV851998 UER851998 UON851998 UYJ851998 VIF851998 VSB851998 WBX851998 WLT851998 WVP851998 H917534 JD917534 SZ917534 ACV917534 AMR917534 AWN917534 BGJ917534 BQF917534 CAB917534 CJX917534 CTT917534 DDP917534 DNL917534 DXH917534 EHD917534 EQZ917534 FAV917534 FKR917534 FUN917534 GEJ917534 GOF917534 GYB917534 HHX917534 HRT917534 IBP917534 ILL917534 IVH917534 JFD917534 JOZ917534 JYV917534 KIR917534 KSN917534 LCJ917534 LMF917534 LWB917534 MFX917534 MPT917534 MZP917534 NJL917534 NTH917534 ODD917534 OMZ917534 OWV917534 PGR917534 PQN917534 QAJ917534 QKF917534 QUB917534 RDX917534 RNT917534 RXP917534 SHL917534 SRH917534 TBD917534 TKZ917534 TUV917534 UER917534 UON917534 UYJ917534 VIF917534 VSB917534 WBX917534 WLT917534 WVP917534 H983070 JD983070 SZ983070 ACV983070 AMR983070 AWN983070 BGJ983070 BQF983070 CAB983070 CJX983070 CTT983070 DDP983070 DNL983070 DXH983070 EHD983070 EQZ983070 FAV983070 FKR983070 FUN983070 GEJ983070 GOF983070 GYB983070 HHX983070 HRT983070 IBP983070 ILL983070 IVH983070 JFD983070 JOZ983070 JYV983070 KIR983070 KSN983070 LCJ983070 LMF983070 LWB983070 MFX983070 MPT983070 MZP983070 NJL983070 NTH983070 ODD983070 OMZ983070 OWV983070 PGR983070 PQN983070 QAJ983070 QKF983070 QUB983070 RDX983070 RNT983070 RXP983070 SHL983070 SRH983070 TBD983070 TKZ983070 TUV983070 UER983070 UON983070 UYJ983070 VIF983070 VSB983070 WBX983070 WLT983070 WVP983070">
      <formula1>$N$95:$N$98</formula1>
    </dataValidation>
  </dataValidations>
  <hyperlinks>
    <hyperlink ref="A1" location="'Table Of Contents'!A1" display="TOC"/>
  </hyperlinks>
  <pageMargins left="0.75" right="0.75" top="1" bottom="1" header="0.5" footer="0.5"/>
  <pageSetup scale="58" fitToHeight="0" orientation="portrait" r:id="rId1"/>
  <headerFooter alignWithMargins="0">
    <oddFooter>Page &amp;P of &amp;N</oddFooter>
  </headerFooter>
  <rowBreaks count="3" manualBreakCount="3">
    <brk id="30" min="1" max="9" man="1"/>
    <brk id="42" min="1" max="9" man="1"/>
    <brk id="89" min="1" max="9" man="1"/>
  </rowBreaks>
  <drawing r:id="rId2"/>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00FF00"/>
    <pageSetUpPr fitToPage="1"/>
  </sheetPr>
  <dimension ref="A1:R176"/>
  <sheetViews>
    <sheetView showGridLines="0" view="pageBreakPreview" zoomScale="90" zoomScaleNormal="75" zoomScaleSheetLayoutView="90" workbookViewId="0">
      <selection activeCell="D1" sqref="D1"/>
    </sheetView>
  </sheetViews>
  <sheetFormatPr defaultRowHeight="12.75"/>
  <cols>
    <col min="1" max="1" width="9.140625" style="1324"/>
    <col min="2" max="2" width="20" style="1324" customWidth="1"/>
    <col min="3" max="5" width="16.140625" style="1324" customWidth="1"/>
    <col min="6" max="6" width="14.42578125" style="1324" customWidth="1"/>
    <col min="7" max="7" width="14.5703125" style="1324" customWidth="1"/>
    <col min="8" max="8" width="14.42578125" style="1324" customWidth="1"/>
    <col min="9" max="9" width="16.140625" style="1324" customWidth="1"/>
    <col min="10" max="10" width="13.42578125" style="1324" customWidth="1"/>
    <col min="11" max="12" width="7" style="1324" customWidth="1"/>
    <col min="13" max="13" width="6.85546875" style="1324" customWidth="1"/>
    <col min="14" max="14" width="25.42578125" style="1324" customWidth="1"/>
    <col min="15" max="17" width="9.140625" style="1324"/>
    <col min="18" max="18" width="9.140625" style="1324" hidden="1" customWidth="1"/>
    <col min="19" max="16384" width="9.140625" style="1324"/>
  </cols>
  <sheetData>
    <row r="1" spans="1:14" ht="26.25" customHeight="1">
      <c r="A1" s="1534" t="s">
        <v>1408</v>
      </c>
      <c r="B1" s="1138"/>
      <c r="C1" s="1137"/>
      <c r="D1" s="1138"/>
      <c r="E1" s="1138"/>
      <c r="F1" s="1140"/>
      <c r="G1" s="1140"/>
      <c r="H1" s="1140"/>
      <c r="I1" s="1140"/>
      <c r="J1" s="1138"/>
      <c r="K1" s="795"/>
      <c r="L1" s="795"/>
      <c r="M1" s="795"/>
      <c r="N1" s="795"/>
    </row>
    <row r="2" spans="1:14" ht="26.25" customHeight="1">
      <c r="B2" s="1138"/>
      <c r="C2" s="1137" t="str">
        <f>'1.1 - APPLIANCES'!C2</f>
        <v>MULTIFAMILY PERFORMANCE PROGRAM</v>
      </c>
      <c r="D2" s="1138"/>
      <c r="E2" s="1138"/>
      <c r="F2" s="1140"/>
      <c r="G2" s="1140"/>
      <c r="H2" s="1140"/>
      <c r="I2" s="1140"/>
      <c r="J2" s="1138"/>
      <c r="K2" s="795"/>
      <c r="L2" s="795"/>
      <c r="M2" s="795"/>
      <c r="N2" s="795"/>
    </row>
    <row r="3" spans="1:14" ht="26.25" customHeight="1">
      <c r="B3" s="1138"/>
      <c r="C3" s="1139" t="s">
        <v>368</v>
      </c>
      <c r="D3" s="1139">
        <f>'Project Info'!C3</f>
        <v>0</v>
      </c>
      <c r="E3" s="1138"/>
      <c r="F3" s="1140"/>
      <c r="G3" s="1140"/>
      <c r="H3" s="1140"/>
      <c r="I3" s="1140"/>
      <c r="J3" s="1138"/>
      <c r="K3" s="795"/>
      <c r="L3" s="795"/>
      <c r="M3" s="795"/>
      <c r="N3" s="795"/>
    </row>
    <row r="4" spans="1:14" ht="26.25" customHeight="1">
      <c r="B4" s="1138"/>
      <c r="C4" s="1139"/>
      <c r="D4" s="1139"/>
      <c r="E4" s="1138"/>
      <c r="F4" s="1140"/>
      <c r="G4" s="1140"/>
      <c r="H4" s="1140"/>
      <c r="I4" s="1140"/>
      <c r="J4" s="1138"/>
      <c r="K4" s="795"/>
      <c r="L4" s="795"/>
      <c r="M4" s="795"/>
      <c r="N4" s="795"/>
    </row>
    <row r="5" spans="1:14" ht="15.75">
      <c r="B5" s="1141" t="s">
        <v>1882</v>
      </c>
      <c r="C5" s="1142"/>
      <c r="D5" s="1143"/>
      <c r="E5" s="1337"/>
      <c r="F5" s="1214"/>
      <c r="G5" s="1214"/>
      <c r="H5" s="1214"/>
      <c r="I5" s="1214"/>
      <c r="J5" s="1214"/>
      <c r="K5" s="2721" t="s">
        <v>1411</v>
      </c>
      <c r="L5" s="2951"/>
      <c r="M5" s="2722"/>
      <c r="N5" s="1352" t="s">
        <v>1412</v>
      </c>
    </row>
    <row r="6" spans="1:14">
      <c r="B6" s="1144"/>
      <c r="C6" s="1144"/>
      <c r="D6" s="1144"/>
      <c r="E6" s="1144"/>
      <c r="F6" s="1144"/>
      <c r="G6" s="1144"/>
      <c r="H6" s="1144"/>
      <c r="I6" s="1144"/>
      <c r="J6" s="1144"/>
      <c r="K6" s="2727" t="s">
        <v>1413</v>
      </c>
      <c r="L6" s="2891"/>
      <c r="M6" s="2745"/>
      <c r="N6" s="913"/>
    </row>
    <row r="7" spans="1:14">
      <c r="B7" s="1146"/>
      <c r="C7" s="1144"/>
      <c r="D7" s="1144"/>
      <c r="E7" s="1144"/>
      <c r="F7" s="1144"/>
      <c r="G7" s="1144"/>
      <c r="H7" s="1144"/>
      <c r="I7" s="1144"/>
      <c r="J7" s="1144"/>
      <c r="K7" s="2754"/>
      <c r="L7" s="2891"/>
      <c r="M7" s="2745"/>
      <c r="N7" s="890"/>
    </row>
    <row r="8" spans="1:14" ht="10.5" customHeight="1">
      <c r="B8" s="1144"/>
      <c r="C8" s="1144"/>
      <c r="D8" s="1144"/>
      <c r="E8" s="1144"/>
      <c r="F8" s="1144"/>
      <c r="G8" s="1144"/>
      <c r="H8" s="1144"/>
      <c r="I8" s="1144"/>
      <c r="J8" s="1144"/>
      <c r="K8" s="2754"/>
      <c r="L8" s="2891"/>
      <c r="M8" s="2745"/>
      <c r="N8" s="890"/>
    </row>
    <row r="9" spans="1:14">
      <c r="B9" s="1146" t="s">
        <v>1414</v>
      </c>
      <c r="C9" s="1144"/>
      <c r="D9" s="1144"/>
      <c r="E9" s="1144"/>
      <c r="F9" s="1144"/>
      <c r="G9" s="1144"/>
      <c r="H9" s="1144"/>
      <c r="I9" s="1144"/>
      <c r="J9" s="1144"/>
      <c r="K9" s="1529"/>
      <c r="L9" s="1529"/>
      <c r="M9" s="1529"/>
      <c r="N9" s="1530"/>
    </row>
    <row r="10" spans="1:14" ht="11.25" customHeight="1">
      <c r="B10" s="1149" t="s">
        <v>1883</v>
      </c>
      <c r="C10" s="1144"/>
      <c r="D10" s="1144"/>
      <c r="E10" s="1144"/>
      <c r="F10" s="1144"/>
      <c r="G10" s="1144"/>
      <c r="H10" s="1144"/>
      <c r="I10" s="1144"/>
      <c r="J10" s="1144"/>
      <c r="K10" s="1529"/>
      <c r="L10" s="1529"/>
      <c r="M10" s="1529"/>
      <c r="N10" s="1530"/>
    </row>
    <row r="11" spans="1:14" ht="11.25" customHeight="1">
      <c r="B11" s="1149" t="s">
        <v>1884</v>
      </c>
      <c r="C11" s="1144"/>
      <c r="D11" s="1144"/>
      <c r="E11" s="1144"/>
      <c r="F11" s="1144"/>
      <c r="G11" s="1144"/>
      <c r="H11" s="1144"/>
      <c r="I11" s="1144"/>
      <c r="J11" s="1144"/>
      <c r="K11" s="1529"/>
      <c r="L11" s="1529"/>
      <c r="M11" s="1529"/>
      <c r="N11" s="1530"/>
    </row>
    <row r="12" spans="1:14" ht="10.5" customHeight="1">
      <c r="B12" s="1144"/>
      <c r="C12" s="1144"/>
      <c r="D12" s="1144"/>
      <c r="E12" s="1144"/>
      <c r="F12" s="1144"/>
      <c r="G12" s="1144"/>
      <c r="H12" s="1144"/>
      <c r="I12" s="1144"/>
      <c r="J12" s="1144"/>
      <c r="K12" s="1529"/>
      <c r="L12" s="1529"/>
      <c r="M12" s="1529"/>
      <c r="N12" s="1530"/>
    </row>
    <row r="13" spans="1:14">
      <c r="B13" s="1146" t="s">
        <v>1416</v>
      </c>
      <c r="C13" s="1144"/>
      <c r="D13" s="1144"/>
      <c r="E13" s="1144"/>
      <c r="F13" s="1144"/>
      <c r="G13" s="1144"/>
      <c r="H13" s="1144"/>
      <c r="I13" s="1144"/>
      <c r="J13" s="1144"/>
      <c r="K13" s="1529"/>
      <c r="L13" s="1529"/>
      <c r="M13" s="1529"/>
      <c r="N13" s="1530"/>
    </row>
    <row r="14" spans="1:14" ht="12.75" customHeight="1">
      <c r="B14" s="1144" t="s">
        <v>1417</v>
      </c>
      <c r="C14" s="1144"/>
      <c r="D14" s="1144"/>
      <c r="E14" s="1144"/>
      <c r="F14" s="1144"/>
      <c r="G14" s="1144"/>
      <c r="H14" s="1144"/>
      <c r="I14" s="1144"/>
      <c r="J14" s="1144"/>
      <c r="K14" s="1529"/>
      <c r="L14" s="1529"/>
      <c r="M14" s="1529"/>
      <c r="N14" s="1529"/>
    </row>
    <row r="15" spans="1:14">
      <c r="B15" s="1149" t="s">
        <v>1885</v>
      </c>
      <c r="C15" s="1144"/>
      <c r="D15" s="1144"/>
      <c r="E15" s="1144"/>
      <c r="F15" s="1144"/>
      <c r="G15" s="1144"/>
      <c r="H15" s="1144"/>
      <c r="I15" s="1144"/>
      <c r="J15" s="1144"/>
      <c r="K15" s="1529"/>
      <c r="L15" s="1529"/>
      <c r="M15" s="1529"/>
      <c r="N15" s="1529"/>
    </row>
    <row r="16" spans="1:14">
      <c r="B16" s="1144"/>
      <c r="C16" s="1144"/>
      <c r="D16" s="1144"/>
      <c r="E16" s="1144"/>
      <c r="F16" s="1144"/>
      <c r="G16" s="1144"/>
      <c r="H16" s="1144"/>
      <c r="I16" s="1144"/>
      <c r="J16" s="1144"/>
      <c r="K16" s="1529"/>
      <c r="L16" s="1529"/>
      <c r="M16" s="1529"/>
      <c r="N16" s="1529"/>
    </row>
    <row r="17" spans="2:14">
      <c r="B17" s="1148" t="s">
        <v>1420</v>
      </c>
      <c r="C17" s="1144"/>
      <c r="D17" s="1144"/>
      <c r="E17" s="1144"/>
      <c r="F17" s="1144"/>
      <c r="G17" s="1144"/>
      <c r="H17" s="1144"/>
      <c r="I17" s="1144"/>
      <c r="J17" s="1144"/>
      <c r="K17" s="1529"/>
      <c r="L17" s="1529"/>
      <c r="M17" s="1529"/>
      <c r="N17" s="1529"/>
    </row>
    <row r="18" spans="2:14" ht="39.75" customHeight="1">
      <c r="B18" s="2673" t="s">
        <v>1886</v>
      </c>
      <c r="C18" s="2673"/>
      <c r="D18" s="2673"/>
      <c r="E18" s="2673"/>
      <c r="F18" s="2673"/>
      <c r="G18" s="2673"/>
      <c r="H18" s="2673"/>
      <c r="I18" s="2673"/>
      <c r="J18" s="2673"/>
      <c r="K18" s="1529"/>
      <c r="L18" s="1529"/>
      <c r="M18" s="1529"/>
      <c r="N18" s="1529"/>
    </row>
    <row r="19" spans="2:14">
      <c r="B19" s="1200" t="s">
        <v>1854</v>
      </c>
      <c r="C19" s="1144"/>
      <c r="D19" s="1144"/>
      <c r="E19" s="1144"/>
      <c r="F19" s="1144"/>
      <c r="G19" s="1144"/>
      <c r="H19" s="1144"/>
      <c r="I19" s="1144"/>
      <c r="J19" s="1144"/>
      <c r="K19" s="1529"/>
      <c r="L19" s="1529"/>
      <c r="M19" s="1529"/>
      <c r="N19" s="1529"/>
    </row>
    <row r="20" spans="2:14">
      <c r="B20" s="2787" t="s">
        <v>1887</v>
      </c>
      <c r="C20" s="2787"/>
      <c r="D20" s="2787"/>
      <c r="E20" s="2787"/>
      <c r="F20" s="2787"/>
      <c r="G20" s="2787"/>
      <c r="H20" s="2787"/>
      <c r="I20" s="2787"/>
      <c r="J20" s="2787"/>
      <c r="K20" s="1529"/>
      <c r="L20" s="1529"/>
      <c r="M20" s="1529"/>
      <c r="N20" s="1529"/>
    </row>
    <row r="21" spans="2:14" ht="82.5" customHeight="1" collapsed="1">
      <c r="B21" s="1342" t="s">
        <v>1888</v>
      </c>
      <c r="C21" s="1391" t="s">
        <v>1889</v>
      </c>
      <c r="D21" s="1391" t="s">
        <v>1890</v>
      </c>
      <c r="E21" s="1391" t="s">
        <v>1891</v>
      </c>
      <c r="F21" s="1391" t="s">
        <v>1892</v>
      </c>
      <c r="G21" s="1391" t="s">
        <v>1893</v>
      </c>
      <c r="H21" s="1391" t="s">
        <v>1894</v>
      </c>
      <c r="I21" s="1342" t="s">
        <v>1433</v>
      </c>
      <c r="J21" s="1342" t="s">
        <v>1493</v>
      </c>
      <c r="K21" s="1822" t="s">
        <v>1435</v>
      </c>
      <c r="L21" s="1528"/>
    </row>
    <row r="22" spans="2:14">
      <c r="B22" s="1252" t="s">
        <v>1895</v>
      </c>
      <c r="C22" s="1376"/>
      <c r="D22" s="1376"/>
      <c r="E22" s="1376"/>
      <c r="F22" s="1376"/>
      <c r="G22" s="1376"/>
      <c r="H22" s="1376"/>
      <c r="I22" s="1821"/>
      <c r="J22" s="911"/>
      <c r="K22" s="963"/>
      <c r="L22" s="1528"/>
    </row>
    <row r="23" spans="2:14" ht="25.5">
      <c r="B23" s="1253" t="s">
        <v>1896</v>
      </c>
      <c r="C23" s="1376"/>
      <c r="D23" s="1376"/>
      <c r="E23" s="1376"/>
      <c r="F23" s="1376"/>
      <c r="G23" s="1376"/>
      <c r="H23" s="1376"/>
      <c r="I23" s="1821"/>
      <c r="J23" s="911"/>
      <c r="K23" s="963"/>
      <c r="L23" s="1528"/>
    </row>
    <row r="24" spans="2:14" ht="25.5">
      <c r="B24" s="1252" t="s">
        <v>1897</v>
      </c>
      <c r="C24" s="896"/>
      <c r="D24" s="1376"/>
      <c r="E24" s="1376"/>
      <c r="F24" s="1376"/>
      <c r="G24" s="1376"/>
      <c r="H24" s="1376"/>
      <c r="I24" s="1821"/>
      <c r="J24" s="911"/>
      <c r="K24" s="963"/>
      <c r="L24" s="1528"/>
    </row>
    <row r="25" spans="2:14">
      <c r="B25" s="1252" t="s">
        <v>1898</v>
      </c>
      <c r="C25" s="1377"/>
      <c r="D25" s="1377"/>
      <c r="E25" s="1376"/>
      <c r="F25" s="1377"/>
      <c r="G25" s="1376"/>
      <c r="H25" s="1376"/>
      <c r="I25" s="1821"/>
      <c r="J25" s="911"/>
      <c r="K25" s="963"/>
      <c r="L25" s="1528"/>
    </row>
    <row r="26" spans="2:14" ht="38.25">
      <c r="B26" s="1253" t="s">
        <v>1899</v>
      </c>
      <c r="C26" s="1376"/>
      <c r="D26" s="1376"/>
      <c r="E26" s="1376"/>
      <c r="F26" s="1376"/>
      <c r="G26" s="1376"/>
      <c r="H26" s="1376"/>
      <c r="I26" s="1376"/>
      <c r="J26" s="911"/>
      <c r="K26" s="963"/>
      <c r="L26" s="1528"/>
      <c r="M26" s="1528"/>
    </row>
    <row r="27" spans="2:14" ht="84" customHeight="1">
      <c r="B27" s="1342" t="s">
        <v>1439</v>
      </c>
      <c r="C27" s="1254"/>
      <c r="D27" s="1254"/>
      <c r="E27" s="1254"/>
      <c r="F27" s="1254"/>
      <c r="G27" s="1254"/>
      <c r="H27" s="1254"/>
      <c r="I27" s="1342" t="s">
        <v>1433</v>
      </c>
      <c r="J27" s="1342" t="s">
        <v>1493</v>
      </c>
      <c r="K27" s="1255" t="s">
        <v>1435</v>
      </c>
      <c r="L27" s="1155" t="s">
        <v>1436</v>
      </c>
      <c r="M27" s="2885" t="s">
        <v>1803</v>
      </c>
      <c r="N27" s="2885"/>
    </row>
    <row r="28" spans="2:14" ht="45.75" customHeight="1">
      <c r="B28" s="2674" t="s">
        <v>1900</v>
      </c>
      <c r="C28" s="2674"/>
      <c r="D28" s="2674"/>
      <c r="E28" s="2674"/>
      <c r="F28" s="2674"/>
      <c r="G28" s="2674"/>
      <c r="H28" s="2674"/>
      <c r="I28" s="1376"/>
      <c r="J28" s="911"/>
      <c r="K28" s="963"/>
      <c r="L28" s="964"/>
      <c r="M28" s="2677"/>
      <c r="N28" s="2678"/>
    </row>
    <row r="29" spans="2:14" ht="54.75" customHeight="1">
      <c r="B29" s="2674" t="s">
        <v>1901</v>
      </c>
      <c r="C29" s="2674"/>
      <c r="D29" s="2674"/>
      <c r="E29" s="2674"/>
      <c r="F29" s="2674"/>
      <c r="G29" s="2674"/>
      <c r="H29" s="2674"/>
      <c r="I29" s="1376"/>
      <c r="J29" s="911"/>
      <c r="K29" s="963"/>
      <c r="L29" s="964"/>
      <c r="M29" s="2677"/>
      <c r="N29" s="2678"/>
    </row>
    <row r="30" spans="2:14" ht="27.75" customHeight="1">
      <c r="B30" s="2674" t="s">
        <v>1902</v>
      </c>
      <c r="C30" s="2674"/>
      <c r="D30" s="2674"/>
      <c r="E30" s="2674"/>
      <c r="F30" s="2674"/>
      <c r="G30" s="2674"/>
      <c r="H30" s="2674"/>
      <c r="I30" s="2674"/>
      <c r="J30" s="2674"/>
      <c r="K30" s="2680"/>
      <c r="L30" s="964"/>
      <c r="M30" s="2677"/>
      <c r="N30" s="2678"/>
    </row>
    <row r="31" spans="2:14" ht="27.75" customHeight="1">
      <c r="B31" s="2674" t="s">
        <v>1903</v>
      </c>
      <c r="C31" s="2674"/>
      <c r="D31" s="2674"/>
      <c r="E31" s="2674"/>
      <c r="F31" s="2674"/>
      <c r="G31" s="2674"/>
      <c r="H31" s="2674"/>
      <c r="I31" s="2674"/>
      <c r="J31" s="2674"/>
      <c r="K31" s="2680"/>
      <c r="L31" s="964"/>
      <c r="M31" s="2677"/>
      <c r="N31" s="2678"/>
    </row>
    <row r="32" spans="2:14" ht="53.25" customHeight="1">
      <c r="B32" s="2674" t="s">
        <v>1904</v>
      </c>
      <c r="C32" s="2674"/>
      <c r="D32" s="2674"/>
      <c r="E32" s="2674"/>
      <c r="F32" s="2674"/>
      <c r="G32" s="2674"/>
      <c r="H32" s="2674"/>
      <c r="I32" s="2674"/>
      <c r="J32" s="2674"/>
      <c r="K32" s="2680"/>
      <c r="L32" s="964"/>
      <c r="M32" s="2677"/>
      <c r="N32" s="2678"/>
    </row>
    <row r="33" spans="2:18" ht="55.5" customHeight="1">
      <c r="B33" s="2674" t="s">
        <v>1441</v>
      </c>
      <c r="C33" s="2674"/>
      <c r="D33" s="2674"/>
      <c r="E33" s="2674"/>
      <c r="F33" s="2674"/>
      <c r="G33" s="2674"/>
      <c r="H33" s="2674"/>
      <c r="I33" s="2674"/>
      <c r="J33" s="2674"/>
      <c r="K33" s="2680"/>
      <c r="L33" s="964"/>
      <c r="M33" s="2677"/>
      <c r="N33" s="2678"/>
    </row>
    <row r="34" spans="2:18" ht="39" customHeight="1"/>
    <row r="35" spans="2:18" ht="26.25" customHeight="1"/>
    <row r="36" spans="2:18" ht="26.25" customHeight="1"/>
    <row r="37" spans="2:18">
      <c r="R37" s="1426" t="s">
        <v>362</v>
      </c>
    </row>
    <row r="38" spans="2:18">
      <c r="R38" s="1426" t="s">
        <v>364</v>
      </c>
    </row>
    <row r="39" spans="2:18">
      <c r="R39" s="1426" t="s">
        <v>363</v>
      </c>
    </row>
    <row r="176" spans="2:2" ht="18">
      <c r="B176" s="794"/>
    </row>
  </sheetData>
  <sheetProtection formatCells="0" formatColumns="0" formatRows="0" insertColumns="0" insertRows="0"/>
  <mergeCells count="19">
    <mergeCell ref="M31:N31"/>
    <mergeCell ref="M32:N32"/>
    <mergeCell ref="M33:N33"/>
    <mergeCell ref="M27:N27"/>
    <mergeCell ref="M28:N28"/>
    <mergeCell ref="M29:N29"/>
    <mergeCell ref="M30:N30"/>
    <mergeCell ref="B18:J18"/>
    <mergeCell ref="B20:J20"/>
    <mergeCell ref="K5:M5"/>
    <mergeCell ref="K6:M6"/>
    <mergeCell ref="K7:M7"/>
    <mergeCell ref="K8:M8"/>
    <mergeCell ref="B32:K32"/>
    <mergeCell ref="B33:K33"/>
    <mergeCell ref="B30:K30"/>
    <mergeCell ref="B31:K31"/>
    <mergeCell ref="B28:H28"/>
    <mergeCell ref="B29:H29"/>
  </mergeCells>
  <dataValidations count="2">
    <dataValidation type="list" allowBlank="1" showInputMessage="1" showErrorMessage="1" sqref="K22:K26 JG22:JG26 TC22:TC26 ACY22:ACY26 AMU22:AMU26 AWQ22:AWQ26 BGM22:BGM26 BQI22:BQI26 CAE22:CAE26 CKA22:CKA26 CTW22:CTW26 DDS22:DDS26 DNO22:DNO26 DXK22:DXK26 EHG22:EHG26 ERC22:ERC26 FAY22:FAY26 FKU22:FKU26 FUQ22:FUQ26 GEM22:GEM26 GOI22:GOI26 GYE22:GYE26 HIA22:HIA26 HRW22:HRW26 IBS22:IBS26 ILO22:ILO26 IVK22:IVK26 JFG22:JFG26 JPC22:JPC26 JYY22:JYY26 KIU22:KIU26 KSQ22:KSQ26 LCM22:LCM26 LMI22:LMI26 LWE22:LWE26 MGA22:MGA26 MPW22:MPW26 MZS22:MZS26 NJO22:NJO26 NTK22:NTK26 ODG22:ODG26 ONC22:ONC26 OWY22:OWY26 PGU22:PGU26 PQQ22:PQQ26 QAM22:QAM26 QKI22:QKI26 QUE22:QUE26 REA22:REA26 RNW22:RNW26 RXS22:RXS26 SHO22:SHO26 SRK22:SRK26 TBG22:TBG26 TLC22:TLC26 TUY22:TUY26 UEU22:UEU26 UOQ22:UOQ26 UYM22:UYM26 VII22:VII26 VSE22:VSE26 WCA22:WCA26 WLW22:WLW26 WVS22:WVS26 K65558:K65562 JG65558:JG65562 TC65558:TC65562 ACY65558:ACY65562 AMU65558:AMU65562 AWQ65558:AWQ65562 BGM65558:BGM65562 BQI65558:BQI65562 CAE65558:CAE65562 CKA65558:CKA65562 CTW65558:CTW65562 DDS65558:DDS65562 DNO65558:DNO65562 DXK65558:DXK65562 EHG65558:EHG65562 ERC65558:ERC65562 FAY65558:FAY65562 FKU65558:FKU65562 FUQ65558:FUQ65562 GEM65558:GEM65562 GOI65558:GOI65562 GYE65558:GYE65562 HIA65558:HIA65562 HRW65558:HRW65562 IBS65558:IBS65562 ILO65558:ILO65562 IVK65558:IVK65562 JFG65558:JFG65562 JPC65558:JPC65562 JYY65558:JYY65562 KIU65558:KIU65562 KSQ65558:KSQ65562 LCM65558:LCM65562 LMI65558:LMI65562 LWE65558:LWE65562 MGA65558:MGA65562 MPW65558:MPW65562 MZS65558:MZS65562 NJO65558:NJO65562 NTK65558:NTK65562 ODG65558:ODG65562 ONC65558:ONC65562 OWY65558:OWY65562 PGU65558:PGU65562 PQQ65558:PQQ65562 QAM65558:QAM65562 QKI65558:QKI65562 QUE65558:QUE65562 REA65558:REA65562 RNW65558:RNW65562 RXS65558:RXS65562 SHO65558:SHO65562 SRK65558:SRK65562 TBG65558:TBG65562 TLC65558:TLC65562 TUY65558:TUY65562 UEU65558:UEU65562 UOQ65558:UOQ65562 UYM65558:UYM65562 VII65558:VII65562 VSE65558:VSE65562 WCA65558:WCA65562 WLW65558:WLW65562 WVS65558:WVS65562 K131094:K131098 JG131094:JG131098 TC131094:TC131098 ACY131094:ACY131098 AMU131094:AMU131098 AWQ131094:AWQ131098 BGM131094:BGM131098 BQI131094:BQI131098 CAE131094:CAE131098 CKA131094:CKA131098 CTW131094:CTW131098 DDS131094:DDS131098 DNO131094:DNO131098 DXK131094:DXK131098 EHG131094:EHG131098 ERC131094:ERC131098 FAY131094:FAY131098 FKU131094:FKU131098 FUQ131094:FUQ131098 GEM131094:GEM131098 GOI131094:GOI131098 GYE131094:GYE131098 HIA131094:HIA131098 HRW131094:HRW131098 IBS131094:IBS131098 ILO131094:ILO131098 IVK131094:IVK131098 JFG131094:JFG131098 JPC131094:JPC131098 JYY131094:JYY131098 KIU131094:KIU131098 KSQ131094:KSQ131098 LCM131094:LCM131098 LMI131094:LMI131098 LWE131094:LWE131098 MGA131094:MGA131098 MPW131094:MPW131098 MZS131094:MZS131098 NJO131094:NJO131098 NTK131094:NTK131098 ODG131094:ODG131098 ONC131094:ONC131098 OWY131094:OWY131098 PGU131094:PGU131098 PQQ131094:PQQ131098 QAM131094:QAM131098 QKI131094:QKI131098 QUE131094:QUE131098 REA131094:REA131098 RNW131094:RNW131098 RXS131094:RXS131098 SHO131094:SHO131098 SRK131094:SRK131098 TBG131094:TBG131098 TLC131094:TLC131098 TUY131094:TUY131098 UEU131094:UEU131098 UOQ131094:UOQ131098 UYM131094:UYM131098 VII131094:VII131098 VSE131094:VSE131098 WCA131094:WCA131098 WLW131094:WLW131098 WVS131094:WVS131098 K196630:K196634 JG196630:JG196634 TC196630:TC196634 ACY196630:ACY196634 AMU196630:AMU196634 AWQ196630:AWQ196634 BGM196630:BGM196634 BQI196630:BQI196634 CAE196630:CAE196634 CKA196630:CKA196634 CTW196630:CTW196634 DDS196630:DDS196634 DNO196630:DNO196634 DXK196630:DXK196634 EHG196630:EHG196634 ERC196630:ERC196634 FAY196630:FAY196634 FKU196630:FKU196634 FUQ196630:FUQ196634 GEM196630:GEM196634 GOI196630:GOI196634 GYE196630:GYE196634 HIA196630:HIA196634 HRW196630:HRW196634 IBS196630:IBS196634 ILO196630:ILO196634 IVK196630:IVK196634 JFG196630:JFG196634 JPC196630:JPC196634 JYY196630:JYY196634 KIU196630:KIU196634 KSQ196630:KSQ196634 LCM196630:LCM196634 LMI196630:LMI196634 LWE196630:LWE196634 MGA196630:MGA196634 MPW196630:MPW196634 MZS196630:MZS196634 NJO196630:NJO196634 NTK196630:NTK196634 ODG196630:ODG196634 ONC196630:ONC196634 OWY196630:OWY196634 PGU196630:PGU196634 PQQ196630:PQQ196634 QAM196630:QAM196634 QKI196630:QKI196634 QUE196630:QUE196634 REA196630:REA196634 RNW196630:RNW196634 RXS196630:RXS196634 SHO196630:SHO196634 SRK196630:SRK196634 TBG196630:TBG196634 TLC196630:TLC196634 TUY196630:TUY196634 UEU196630:UEU196634 UOQ196630:UOQ196634 UYM196630:UYM196634 VII196630:VII196634 VSE196630:VSE196634 WCA196630:WCA196634 WLW196630:WLW196634 WVS196630:WVS196634 K262166:K262170 JG262166:JG262170 TC262166:TC262170 ACY262166:ACY262170 AMU262166:AMU262170 AWQ262166:AWQ262170 BGM262166:BGM262170 BQI262166:BQI262170 CAE262166:CAE262170 CKA262166:CKA262170 CTW262166:CTW262170 DDS262166:DDS262170 DNO262166:DNO262170 DXK262166:DXK262170 EHG262166:EHG262170 ERC262166:ERC262170 FAY262166:FAY262170 FKU262166:FKU262170 FUQ262166:FUQ262170 GEM262166:GEM262170 GOI262166:GOI262170 GYE262166:GYE262170 HIA262166:HIA262170 HRW262166:HRW262170 IBS262166:IBS262170 ILO262166:ILO262170 IVK262166:IVK262170 JFG262166:JFG262170 JPC262166:JPC262170 JYY262166:JYY262170 KIU262166:KIU262170 KSQ262166:KSQ262170 LCM262166:LCM262170 LMI262166:LMI262170 LWE262166:LWE262170 MGA262166:MGA262170 MPW262166:MPW262170 MZS262166:MZS262170 NJO262166:NJO262170 NTK262166:NTK262170 ODG262166:ODG262170 ONC262166:ONC262170 OWY262166:OWY262170 PGU262166:PGU262170 PQQ262166:PQQ262170 QAM262166:QAM262170 QKI262166:QKI262170 QUE262166:QUE262170 REA262166:REA262170 RNW262166:RNW262170 RXS262166:RXS262170 SHO262166:SHO262170 SRK262166:SRK262170 TBG262166:TBG262170 TLC262166:TLC262170 TUY262166:TUY262170 UEU262166:UEU262170 UOQ262166:UOQ262170 UYM262166:UYM262170 VII262166:VII262170 VSE262166:VSE262170 WCA262166:WCA262170 WLW262166:WLW262170 WVS262166:WVS262170 K327702:K327706 JG327702:JG327706 TC327702:TC327706 ACY327702:ACY327706 AMU327702:AMU327706 AWQ327702:AWQ327706 BGM327702:BGM327706 BQI327702:BQI327706 CAE327702:CAE327706 CKA327702:CKA327706 CTW327702:CTW327706 DDS327702:DDS327706 DNO327702:DNO327706 DXK327702:DXK327706 EHG327702:EHG327706 ERC327702:ERC327706 FAY327702:FAY327706 FKU327702:FKU327706 FUQ327702:FUQ327706 GEM327702:GEM327706 GOI327702:GOI327706 GYE327702:GYE327706 HIA327702:HIA327706 HRW327702:HRW327706 IBS327702:IBS327706 ILO327702:ILO327706 IVK327702:IVK327706 JFG327702:JFG327706 JPC327702:JPC327706 JYY327702:JYY327706 KIU327702:KIU327706 KSQ327702:KSQ327706 LCM327702:LCM327706 LMI327702:LMI327706 LWE327702:LWE327706 MGA327702:MGA327706 MPW327702:MPW327706 MZS327702:MZS327706 NJO327702:NJO327706 NTK327702:NTK327706 ODG327702:ODG327706 ONC327702:ONC327706 OWY327702:OWY327706 PGU327702:PGU327706 PQQ327702:PQQ327706 QAM327702:QAM327706 QKI327702:QKI327706 QUE327702:QUE327706 REA327702:REA327706 RNW327702:RNW327706 RXS327702:RXS327706 SHO327702:SHO327706 SRK327702:SRK327706 TBG327702:TBG327706 TLC327702:TLC327706 TUY327702:TUY327706 UEU327702:UEU327706 UOQ327702:UOQ327706 UYM327702:UYM327706 VII327702:VII327706 VSE327702:VSE327706 WCA327702:WCA327706 WLW327702:WLW327706 WVS327702:WVS327706 K393238:K393242 JG393238:JG393242 TC393238:TC393242 ACY393238:ACY393242 AMU393238:AMU393242 AWQ393238:AWQ393242 BGM393238:BGM393242 BQI393238:BQI393242 CAE393238:CAE393242 CKA393238:CKA393242 CTW393238:CTW393242 DDS393238:DDS393242 DNO393238:DNO393242 DXK393238:DXK393242 EHG393238:EHG393242 ERC393238:ERC393242 FAY393238:FAY393242 FKU393238:FKU393242 FUQ393238:FUQ393242 GEM393238:GEM393242 GOI393238:GOI393242 GYE393238:GYE393242 HIA393238:HIA393242 HRW393238:HRW393242 IBS393238:IBS393242 ILO393238:ILO393242 IVK393238:IVK393242 JFG393238:JFG393242 JPC393238:JPC393242 JYY393238:JYY393242 KIU393238:KIU393242 KSQ393238:KSQ393242 LCM393238:LCM393242 LMI393238:LMI393242 LWE393238:LWE393242 MGA393238:MGA393242 MPW393238:MPW393242 MZS393238:MZS393242 NJO393238:NJO393242 NTK393238:NTK393242 ODG393238:ODG393242 ONC393238:ONC393242 OWY393238:OWY393242 PGU393238:PGU393242 PQQ393238:PQQ393242 QAM393238:QAM393242 QKI393238:QKI393242 QUE393238:QUE393242 REA393238:REA393242 RNW393238:RNW393242 RXS393238:RXS393242 SHO393238:SHO393242 SRK393238:SRK393242 TBG393238:TBG393242 TLC393238:TLC393242 TUY393238:TUY393242 UEU393238:UEU393242 UOQ393238:UOQ393242 UYM393238:UYM393242 VII393238:VII393242 VSE393238:VSE393242 WCA393238:WCA393242 WLW393238:WLW393242 WVS393238:WVS393242 K458774:K458778 JG458774:JG458778 TC458774:TC458778 ACY458774:ACY458778 AMU458774:AMU458778 AWQ458774:AWQ458778 BGM458774:BGM458778 BQI458774:BQI458778 CAE458774:CAE458778 CKA458774:CKA458778 CTW458774:CTW458778 DDS458774:DDS458778 DNO458774:DNO458778 DXK458774:DXK458778 EHG458774:EHG458778 ERC458774:ERC458778 FAY458774:FAY458778 FKU458774:FKU458778 FUQ458774:FUQ458778 GEM458774:GEM458778 GOI458774:GOI458778 GYE458774:GYE458778 HIA458774:HIA458778 HRW458774:HRW458778 IBS458774:IBS458778 ILO458774:ILO458778 IVK458774:IVK458778 JFG458774:JFG458778 JPC458774:JPC458778 JYY458774:JYY458778 KIU458774:KIU458778 KSQ458774:KSQ458778 LCM458774:LCM458778 LMI458774:LMI458778 LWE458774:LWE458778 MGA458774:MGA458778 MPW458774:MPW458778 MZS458774:MZS458778 NJO458774:NJO458778 NTK458774:NTK458778 ODG458774:ODG458778 ONC458774:ONC458778 OWY458774:OWY458778 PGU458774:PGU458778 PQQ458774:PQQ458778 QAM458774:QAM458778 QKI458774:QKI458778 QUE458774:QUE458778 REA458774:REA458778 RNW458774:RNW458778 RXS458774:RXS458778 SHO458774:SHO458778 SRK458774:SRK458778 TBG458774:TBG458778 TLC458774:TLC458778 TUY458774:TUY458778 UEU458774:UEU458778 UOQ458774:UOQ458778 UYM458774:UYM458778 VII458774:VII458778 VSE458774:VSE458778 WCA458774:WCA458778 WLW458774:WLW458778 WVS458774:WVS458778 K524310:K524314 JG524310:JG524314 TC524310:TC524314 ACY524310:ACY524314 AMU524310:AMU524314 AWQ524310:AWQ524314 BGM524310:BGM524314 BQI524310:BQI524314 CAE524310:CAE524314 CKA524310:CKA524314 CTW524310:CTW524314 DDS524310:DDS524314 DNO524310:DNO524314 DXK524310:DXK524314 EHG524310:EHG524314 ERC524310:ERC524314 FAY524310:FAY524314 FKU524310:FKU524314 FUQ524310:FUQ524314 GEM524310:GEM524314 GOI524310:GOI524314 GYE524310:GYE524314 HIA524310:HIA524314 HRW524310:HRW524314 IBS524310:IBS524314 ILO524310:ILO524314 IVK524310:IVK524314 JFG524310:JFG524314 JPC524310:JPC524314 JYY524310:JYY524314 KIU524310:KIU524314 KSQ524310:KSQ524314 LCM524310:LCM524314 LMI524310:LMI524314 LWE524310:LWE524314 MGA524310:MGA524314 MPW524310:MPW524314 MZS524310:MZS524314 NJO524310:NJO524314 NTK524310:NTK524314 ODG524310:ODG524314 ONC524310:ONC524314 OWY524310:OWY524314 PGU524310:PGU524314 PQQ524310:PQQ524314 QAM524310:QAM524314 QKI524310:QKI524314 QUE524310:QUE524314 REA524310:REA524314 RNW524310:RNW524314 RXS524310:RXS524314 SHO524310:SHO524314 SRK524310:SRK524314 TBG524310:TBG524314 TLC524310:TLC524314 TUY524310:TUY524314 UEU524310:UEU524314 UOQ524310:UOQ524314 UYM524310:UYM524314 VII524310:VII524314 VSE524310:VSE524314 WCA524310:WCA524314 WLW524310:WLW524314 WVS524310:WVS524314 K589846:K589850 JG589846:JG589850 TC589846:TC589850 ACY589846:ACY589850 AMU589846:AMU589850 AWQ589846:AWQ589850 BGM589846:BGM589850 BQI589846:BQI589850 CAE589846:CAE589850 CKA589846:CKA589850 CTW589846:CTW589850 DDS589846:DDS589850 DNO589846:DNO589850 DXK589846:DXK589850 EHG589846:EHG589850 ERC589846:ERC589850 FAY589846:FAY589850 FKU589846:FKU589850 FUQ589846:FUQ589850 GEM589846:GEM589850 GOI589846:GOI589850 GYE589846:GYE589850 HIA589846:HIA589850 HRW589846:HRW589850 IBS589846:IBS589850 ILO589846:ILO589850 IVK589846:IVK589850 JFG589846:JFG589850 JPC589846:JPC589850 JYY589846:JYY589850 KIU589846:KIU589850 KSQ589846:KSQ589850 LCM589846:LCM589850 LMI589846:LMI589850 LWE589846:LWE589850 MGA589846:MGA589850 MPW589846:MPW589850 MZS589846:MZS589850 NJO589846:NJO589850 NTK589846:NTK589850 ODG589846:ODG589850 ONC589846:ONC589850 OWY589846:OWY589850 PGU589846:PGU589850 PQQ589846:PQQ589850 QAM589846:QAM589850 QKI589846:QKI589850 QUE589846:QUE589850 REA589846:REA589850 RNW589846:RNW589850 RXS589846:RXS589850 SHO589846:SHO589850 SRK589846:SRK589850 TBG589846:TBG589850 TLC589846:TLC589850 TUY589846:TUY589850 UEU589846:UEU589850 UOQ589846:UOQ589850 UYM589846:UYM589850 VII589846:VII589850 VSE589846:VSE589850 WCA589846:WCA589850 WLW589846:WLW589850 WVS589846:WVS589850 K655382:K655386 JG655382:JG655386 TC655382:TC655386 ACY655382:ACY655386 AMU655382:AMU655386 AWQ655382:AWQ655386 BGM655382:BGM655386 BQI655382:BQI655386 CAE655382:CAE655386 CKA655382:CKA655386 CTW655382:CTW655386 DDS655382:DDS655386 DNO655382:DNO655386 DXK655382:DXK655386 EHG655382:EHG655386 ERC655382:ERC655386 FAY655382:FAY655386 FKU655382:FKU655386 FUQ655382:FUQ655386 GEM655382:GEM655386 GOI655382:GOI655386 GYE655382:GYE655386 HIA655382:HIA655386 HRW655382:HRW655386 IBS655382:IBS655386 ILO655382:ILO655386 IVK655382:IVK655386 JFG655382:JFG655386 JPC655382:JPC655386 JYY655382:JYY655386 KIU655382:KIU655386 KSQ655382:KSQ655386 LCM655382:LCM655386 LMI655382:LMI655386 LWE655382:LWE655386 MGA655382:MGA655386 MPW655382:MPW655386 MZS655382:MZS655386 NJO655382:NJO655386 NTK655382:NTK655386 ODG655382:ODG655386 ONC655382:ONC655386 OWY655382:OWY655386 PGU655382:PGU655386 PQQ655382:PQQ655386 QAM655382:QAM655386 QKI655382:QKI655386 QUE655382:QUE655386 REA655382:REA655386 RNW655382:RNW655386 RXS655382:RXS655386 SHO655382:SHO655386 SRK655382:SRK655386 TBG655382:TBG655386 TLC655382:TLC655386 TUY655382:TUY655386 UEU655382:UEU655386 UOQ655382:UOQ655386 UYM655382:UYM655386 VII655382:VII655386 VSE655382:VSE655386 WCA655382:WCA655386 WLW655382:WLW655386 WVS655382:WVS655386 K720918:K720922 JG720918:JG720922 TC720918:TC720922 ACY720918:ACY720922 AMU720918:AMU720922 AWQ720918:AWQ720922 BGM720918:BGM720922 BQI720918:BQI720922 CAE720918:CAE720922 CKA720918:CKA720922 CTW720918:CTW720922 DDS720918:DDS720922 DNO720918:DNO720922 DXK720918:DXK720922 EHG720918:EHG720922 ERC720918:ERC720922 FAY720918:FAY720922 FKU720918:FKU720922 FUQ720918:FUQ720922 GEM720918:GEM720922 GOI720918:GOI720922 GYE720918:GYE720922 HIA720918:HIA720922 HRW720918:HRW720922 IBS720918:IBS720922 ILO720918:ILO720922 IVK720918:IVK720922 JFG720918:JFG720922 JPC720918:JPC720922 JYY720918:JYY720922 KIU720918:KIU720922 KSQ720918:KSQ720922 LCM720918:LCM720922 LMI720918:LMI720922 LWE720918:LWE720922 MGA720918:MGA720922 MPW720918:MPW720922 MZS720918:MZS720922 NJO720918:NJO720922 NTK720918:NTK720922 ODG720918:ODG720922 ONC720918:ONC720922 OWY720918:OWY720922 PGU720918:PGU720922 PQQ720918:PQQ720922 QAM720918:QAM720922 QKI720918:QKI720922 QUE720918:QUE720922 REA720918:REA720922 RNW720918:RNW720922 RXS720918:RXS720922 SHO720918:SHO720922 SRK720918:SRK720922 TBG720918:TBG720922 TLC720918:TLC720922 TUY720918:TUY720922 UEU720918:UEU720922 UOQ720918:UOQ720922 UYM720918:UYM720922 VII720918:VII720922 VSE720918:VSE720922 WCA720918:WCA720922 WLW720918:WLW720922 WVS720918:WVS720922 K786454:K786458 JG786454:JG786458 TC786454:TC786458 ACY786454:ACY786458 AMU786454:AMU786458 AWQ786454:AWQ786458 BGM786454:BGM786458 BQI786454:BQI786458 CAE786454:CAE786458 CKA786454:CKA786458 CTW786454:CTW786458 DDS786454:DDS786458 DNO786454:DNO786458 DXK786454:DXK786458 EHG786454:EHG786458 ERC786454:ERC786458 FAY786454:FAY786458 FKU786454:FKU786458 FUQ786454:FUQ786458 GEM786454:GEM786458 GOI786454:GOI786458 GYE786454:GYE786458 HIA786454:HIA786458 HRW786454:HRW786458 IBS786454:IBS786458 ILO786454:ILO786458 IVK786454:IVK786458 JFG786454:JFG786458 JPC786454:JPC786458 JYY786454:JYY786458 KIU786454:KIU786458 KSQ786454:KSQ786458 LCM786454:LCM786458 LMI786454:LMI786458 LWE786454:LWE786458 MGA786454:MGA786458 MPW786454:MPW786458 MZS786454:MZS786458 NJO786454:NJO786458 NTK786454:NTK786458 ODG786454:ODG786458 ONC786454:ONC786458 OWY786454:OWY786458 PGU786454:PGU786458 PQQ786454:PQQ786458 QAM786454:QAM786458 QKI786454:QKI786458 QUE786454:QUE786458 REA786454:REA786458 RNW786454:RNW786458 RXS786454:RXS786458 SHO786454:SHO786458 SRK786454:SRK786458 TBG786454:TBG786458 TLC786454:TLC786458 TUY786454:TUY786458 UEU786454:UEU786458 UOQ786454:UOQ786458 UYM786454:UYM786458 VII786454:VII786458 VSE786454:VSE786458 WCA786454:WCA786458 WLW786454:WLW786458 WVS786454:WVS786458 K851990:K851994 JG851990:JG851994 TC851990:TC851994 ACY851990:ACY851994 AMU851990:AMU851994 AWQ851990:AWQ851994 BGM851990:BGM851994 BQI851990:BQI851994 CAE851990:CAE851994 CKA851990:CKA851994 CTW851990:CTW851994 DDS851990:DDS851994 DNO851990:DNO851994 DXK851990:DXK851994 EHG851990:EHG851994 ERC851990:ERC851994 FAY851990:FAY851994 FKU851990:FKU851994 FUQ851990:FUQ851994 GEM851990:GEM851994 GOI851990:GOI851994 GYE851990:GYE851994 HIA851990:HIA851994 HRW851990:HRW851994 IBS851990:IBS851994 ILO851990:ILO851994 IVK851990:IVK851994 JFG851990:JFG851994 JPC851990:JPC851994 JYY851990:JYY851994 KIU851990:KIU851994 KSQ851990:KSQ851994 LCM851990:LCM851994 LMI851990:LMI851994 LWE851990:LWE851994 MGA851990:MGA851994 MPW851990:MPW851994 MZS851990:MZS851994 NJO851990:NJO851994 NTK851990:NTK851994 ODG851990:ODG851994 ONC851990:ONC851994 OWY851990:OWY851994 PGU851990:PGU851994 PQQ851990:PQQ851994 QAM851990:QAM851994 QKI851990:QKI851994 QUE851990:QUE851994 REA851990:REA851994 RNW851990:RNW851994 RXS851990:RXS851994 SHO851990:SHO851994 SRK851990:SRK851994 TBG851990:TBG851994 TLC851990:TLC851994 TUY851990:TUY851994 UEU851990:UEU851994 UOQ851990:UOQ851994 UYM851990:UYM851994 VII851990:VII851994 VSE851990:VSE851994 WCA851990:WCA851994 WLW851990:WLW851994 WVS851990:WVS851994 K917526:K917530 JG917526:JG917530 TC917526:TC917530 ACY917526:ACY917530 AMU917526:AMU917530 AWQ917526:AWQ917530 BGM917526:BGM917530 BQI917526:BQI917530 CAE917526:CAE917530 CKA917526:CKA917530 CTW917526:CTW917530 DDS917526:DDS917530 DNO917526:DNO917530 DXK917526:DXK917530 EHG917526:EHG917530 ERC917526:ERC917530 FAY917526:FAY917530 FKU917526:FKU917530 FUQ917526:FUQ917530 GEM917526:GEM917530 GOI917526:GOI917530 GYE917526:GYE917530 HIA917526:HIA917530 HRW917526:HRW917530 IBS917526:IBS917530 ILO917526:ILO917530 IVK917526:IVK917530 JFG917526:JFG917530 JPC917526:JPC917530 JYY917526:JYY917530 KIU917526:KIU917530 KSQ917526:KSQ917530 LCM917526:LCM917530 LMI917526:LMI917530 LWE917526:LWE917530 MGA917526:MGA917530 MPW917526:MPW917530 MZS917526:MZS917530 NJO917526:NJO917530 NTK917526:NTK917530 ODG917526:ODG917530 ONC917526:ONC917530 OWY917526:OWY917530 PGU917526:PGU917530 PQQ917526:PQQ917530 QAM917526:QAM917530 QKI917526:QKI917530 QUE917526:QUE917530 REA917526:REA917530 RNW917526:RNW917530 RXS917526:RXS917530 SHO917526:SHO917530 SRK917526:SRK917530 TBG917526:TBG917530 TLC917526:TLC917530 TUY917526:TUY917530 UEU917526:UEU917530 UOQ917526:UOQ917530 UYM917526:UYM917530 VII917526:VII917530 VSE917526:VSE917530 WCA917526:WCA917530 WLW917526:WLW917530 WVS917526:WVS917530 K983062:K983066 JG983062:JG983066 TC983062:TC983066 ACY983062:ACY983066 AMU983062:AMU983066 AWQ983062:AWQ983066 BGM983062:BGM983066 BQI983062:BQI983066 CAE983062:CAE983066 CKA983062:CKA983066 CTW983062:CTW983066 DDS983062:DDS983066 DNO983062:DNO983066 DXK983062:DXK983066 EHG983062:EHG983066 ERC983062:ERC983066 FAY983062:FAY983066 FKU983062:FKU983066 FUQ983062:FUQ983066 GEM983062:GEM983066 GOI983062:GOI983066 GYE983062:GYE983066 HIA983062:HIA983066 HRW983062:HRW983066 IBS983062:IBS983066 ILO983062:ILO983066 IVK983062:IVK983066 JFG983062:JFG983066 JPC983062:JPC983066 JYY983062:JYY983066 KIU983062:KIU983066 KSQ983062:KSQ983066 LCM983062:LCM983066 LMI983062:LMI983066 LWE983062:LWE983066 MGA983062:MGA983066 MPW983062:MPW983066 MZS983062:MZS983066 NJO983062:NJO983066 NTK983062:NTK983066 ODG983062:ODG983066 ONC983062:ONC983066 OWY983062:OWY983066 PGU983062:PGU983066 PQQ983062:PQQ983066 QAM983062:QAM983066 QKI983062:QKI983066 QUE983062:QUE983066 REA983062:REA983066 RNW983062:RNW983066 RXS983062:RXS983066 SHO983062:SHO983066 SRK983062:SRK983066 TBG983062:TBG983066 TLC983062:TLC983066 TUY983062:TUY983066 UEU983062:UEU983066 UOQ983062:UOQ983066 UYM983062:UYM983066 VII983062:VII983066 VSE983062:VSE983066 WCA983062:WCA983066 WLW983062:WLW983066 WVS983062:WVS983066 K28:L29 JG28:JH29 TC28:TD29 ACY28:ACZ29 AMU28:AMV29 AWQ28:AWR29 BGM28:BGN29 BQI28:BQJ29 CAE28:CAF29 CKA28:CKB29 CTW28:CTX29 DDS28:DDT29 DNO28:DNP29 DXK28:DXL29 EHG28:EHH29 ERC28:ERD29 FAY28:FAZ29 FKU28:FKV29 FUQ28:FUR29 GEM28:GEN29 GOI28:GOJ29 GYE28:GYF29 HIA28:HIB29 HRW28:HRX29 IBS28:IBT29 ILO28:ILP29 IVK28:IVL29 JFG28:JFH29 JPC28:JPD29 JYY28:JYZ29 KIU28:KIV29 KSQ28:KSR29 LCM28:LCN29 LMI28:LMJ29 LWE28:LWF29 MGA28:MGB29 MPW28:MPX29 MZS28:MZT29 NJO28:NJP29 NTK28:NTL29 ODG28:ODH29 ONC28:OND29 OWY28:OWZ29 PGU28:PGV29 PQQ28:PQR29 QAM28:QAN29 QKI28:QKJ29 QUE28:QUF29 REA28:REB29 RNW28:RNX29 RXS28:RXT29 SHO28:SHP29 SRK28:SRL29 TBG28:TBH29 TLC28:TLD29 TUY28:TUZ29 UEU28:UEV29 UOQ28:UOR29 UYM28:UYN29 VII28:VIJ29 VSE28:VSF29 WCA28:WCB29 WLW28:WLX29 WVS28:WVT29 K65564:L65565 JG65564:JH65565 TC65564:TD65565 ACY65564:ACZ65565 AMU65564:AMV65565 AWQ65564:AWR65565 BGM65564:BGN65565 BQI65564:BQJ65565 CAE65564:CAF65565 CKA65564:CKB65565 CTW65564:CTX65565 DDS65564:DDT65565 DNO65564:DNP65565 DXK65564:DXL65565 EHG65564:EHH65565 ERC65564:ERD65565 FAY65564:FAZ65565 FKU65564:FKV65565 FUQ65564:FUR65565 GEM65564:GEN65565 GOI65564:GOJ65565 GYE65564:GYF65565 HIA65564:HIB65565 HRW65564:HRX65565 IBS65564:IBT65565 ILO65564:ILP65565 IVK65564:IVL65565 JFG65564:JFH65565 JPC65564:JPD65565 JYY65564:JYZ65565 KIU65564:KIV65565 KSQ65564:KSR65565 LCM65564:LCN65565 LMI65564:LMJ65565 LWE65564:LWF65565 MGA65564:MGB65565 MPW65564:MPX65565 MZS65564:MZT65565 NJO65564:NJP65565 NTK65564:NTL65565 ODG65564:ODH65565 ONC65564:OND65565 OWY65564:OWZ65565 PGU65564:PGV65565 PQQ65564:PQR65565 QAM65564:QAN65565 QKI65564:QKJ65565 QUE65564:QUF65565 REA65564:REB65565 RNW65564:RNX65565 RXS65564:RXT65565 SHO65564:SHP65565 SRK65564:SRL65565 TBG65564:TBH65565 TLC65564:TLD65565 TUY65564:TUZ65565 UEU65564:UEV65565 UOQ65564:UOR65565 UYM65564:UYN65565 VII65564:VIJ65565 VSE65564:VSF65565 WCA65564:WCB65565 WLW65564:WLX65565 WVS65564:WVT65565 K131100:L131101 JG131100:JH131101 TC131100:TD131101 ACY131100:ACZ131101 AMU131100:AMV131101 AWQ131100:AWR131101 BGM131100:BGN131101 BQI131100:BQJ131101 CAE131100:CAF131101 CKA131100:CKB131101 CTW131100:CTX131101 DDS131100:DDT131101 DNO131100:DNP131101 DXK131100:DXL131101 EHG131100:EHH131101 ERC131100:ERD131101 FAY131100:FAZ131101 FKU131100:FKV131101 FUQ131100:FUR131101 GEM131100:GEN131101 GOI131100:GOJ131101 GYE131100:GYF131101 HIA131100:HIB131101 HRW131100:HRX131101 IBS131100:IBT131101 ILO131100:ILP131101 IVK131100:IVL131101 JFG131100:JFH131101 JPC131100:JPD131101 JYY131100:JYZ131101 KIU131100:KIV131101 KSQ131100:KSR131101 LCM131100:LCN131101 LMI131100:LMJ131101 LWE131100:LWF131101 MGA131100:MGB131101 MPW131100:MPX131101 MZS131100:MZT131101 NJO131100:NJP131101 NTK131100:NTL131101 ODG131100:ODH131101 ONC131100:OND131101 OWY131100:OWZ131101 PGU131100:PGV131101 PQQ131100:PQR131101 QAM131100:QAN131101 QKI131100:QKJ131101 QUE131100:QUF131101 REA131100:REB131101 RNW131100:RNX131101 RXS131100:RXT131101 SHO131100:SHP131101 SRK131100:SRL131101 TBG131100:TBH131101 TLC131100:TLD131101 TUY131100:TUZ131101 UEU131100:UEV131101 UOQ131100:UOR131101 UYM131100:UYN131101 VII131100:VIJ131101 VSE131100:VSF131101 WCA131100:WCB131101 WLW131100:WLX131101 WVS131100:WVT131101 K196636:L196637 JG196636:JH196637 TC196636:TD196637 ACY196636:ACZ196637 AMU196636:AMV196637 AWQ196636:AWR196637 BGM196636:BGN196637 BQI196636:BQJ196637 CAE196636:CAF196637 CKA196636:CKB196637 CTW196636:CTX196637 DDS196636:DDT196637 DNO196636:DNP196637 DXK196636:DXL196637 EHG196636:EHH196637 ERC196636:ERD196637 FAY196636:FAZ196637 FKU196636:FKV196637 FUQ196636:FUR196637 GEM196636:GEN196637 GOI196636:GOJ196637 GYE196636:GYF196637 HIA196636:HIB196637 HRW196636:HRX196637 IBS196636:IBT196637 ILO196636:ILP196637 IVK196636:IVL196637 JFG196636:JFH196637 JPC196636:JPD196637 JYY196636:JYZ196637 KIU196636:KIV196637 KSQ196636:KSR196637 LCM196636:LCN196637 LMI196636:LMJ196637 LWE196636:LWF196637 MGA196636:MGB196637 MPW196636:MPX196637 MZS196636:MZT196637 NJO196636:NJP196637 NTK196636:NTL196637 ODG196636:ODH196637 ONC196636:OND196637 OWY196636:OWZ196637 PGU196636:PGV196637 PQQ196636:PQR196637 QAM196636:QAN196637 QKI196636:QKJ196637 QUE196636:QUF196637 REA196636:REB196637 RNW196636:RNX196637 RXS196636:RXT196637 SHO196636:SHP196637 SRK196636:SRL196637 TBG196636:TBH196637 TLC196636:TLD196637 TUY196636:TUZ196637 UEU196636:UEV196637 UOQ196636:UOR196637 UYM196636:UYN196637 VII196636:VIJ196637 VSE196636:VSF196637 WCA196636:WCB196637 WLW196636:WLX196637 WVS196636:WVT196637 K262172:L262173 JG262172:JH262173 TC262172:TD262173 ACY262172:ACZ262173 AMU262172:AMV262173 AWQ262172:AWR262173 BGM262172:BGN262173 BQI262172:BQJ262173 CAE262172:CAF262173 CKA262172:CKB262173 CTW262172:CTX262173 DDS262172:DDT262173 DNO262172:DNP262173 DXK262172:DXL262173 EHG262172:EHH262173 ERC262172:ERD262173 FAY262172:FAZ262173 FKU262172:FKV262173 FUQ262172:FUR262173 GEM262172:GEN262173 GOI262172:GOJ262173 GYE262172:GYF262173 HIA262172:HIB262173 HRW262172:HRX262173 IBS262172:IBT262173 ILO262172:ILP262173 IVK262172:IVL262173 JFG262172:JFH262173 JPC262172:JPD262173 JYY262172:JYZ262173 KIU262172:KIV262173 KSQ262172:KSR262173 LCM262172:LCN262173 LMI262172:LMJ262173 LWE262172:LWF262173 MGA262172:MGB262173 MPW262172:MPX262173 MZS262172:MZT262173 NJO262172:NJP262173 NTK262172:NTL262173 ODG262172:ODH262173 ONC262172:OND262173 OWY262172:OWZ262173 PGU262172:PGV262173 PQQ262172:PQR262173 QAM262172:QAN262173 QKI262172:QKJ262173 QUE262172:QUF262173 REA262172:REB262173 RNW262172:RNX262173 RXS262172:RXT262173 SHO262172:SHP262173 SRK262172:SRL262173 TBG262172:TBH262173 TLC262172:TLD262173 TUY262172:TUZ262173 UEU262172:UEV262173 UOQ262172:UOR262173 UYM262172:UYN262173 VII262172:VIJ262173 VSE262172:VSF262173 WCA262172:WCB262173 WLW262172:WLX262173 WVS262172:WVT262173 K327708:L327709 JG327708:JH327709 TC327708:TD327709 ACY327708:ACZ327709 AMU327708:AMV327709 AWQ327708:AWR327709 BGM327708:BGN327709 BQI327708:BQJ327709 CAE327708:CAF327709 CKA327708:CKB327709 CTW327708:CTX327709 DDS327708:DDT327709 DNO327708:DNP327709 DXK327708:DXL327709 EHG327708:EHH327709 ERC327708:ERD327709 FAY327708:FAZ327709 FKU327708:FKV327709 FUQ327708:FUR327709 GEM327708:GEN327709 GOI327708:GOJ327709 GYE327708:GYF327709 HIA327708:HIB327709 HRW327708:HRX327709 IBS327708:IBT327709 ILO327708:ILP327709 IVK327708:IVL327709 JFG327708:JFH327709 JPC327708:JPD327709 JYY327708:JYZ327709 KIU327708:KIV327709 KSQ327708:KSR327709 LCM327708:LCN327709 LMI327708:LMJ327709 LWE327708:LWF327709 MGA327708:MGB327709 MPW327708:MPX327709 MZS327708:MZT327709 NJO327708:NJP327709 NTK327708:NTL327709 ODG327708:ODH327709 ONC327708:OND327709 OWY327708:OWZ327709 PGU327708:PGV327709 PQQ327708:PQR327709 QAM327708:QAN327709 QKI327708:QKJ327709 QUE327708:QUF327709 REA327708:REB327709 RNW327708:RNX327709 RXS327708:RXT327709 SHO327708:SHP327709 SRK327708:SRL327709 TBG327708:TBH327709 TLC327708:TLD327709 TUY327708:TUZ327709 UEU327708:UEV327709 UOQ327708:UOR327709 UYM327708:UYN327709 VII327708:VIJ327709 VSE327708:VSF327709 WCA327708:WCB327709 WLW327708:WLX327709 WVS327708:WVT327709 K393244:L393245 JG393244:JH393245 TC393244:TD393245 ACY393244:ACZ393245 AMU393244:AMV393245 AWQ393244:AWR393245 BGM393244:BGN393245 BQI393244:BQJ393245 CAE393244:CAF393245 CKA393244:CKB393245 CTW393244:CTX393245 DDS393244:DDT393245 DNO393244:DNP393245 DXK393244:DXL393245 EHG393244:EHH393245 ERC393244:ERD393245 FAY393244:FAZ393245 FKU393244:FKV393245 FUQ393244:FUR393245 GEM393244:GEN393245 GOI393244:GOJ393245 GYE393244:GYF393245 HIA393244:HIB393245 HRW393244:HRX393245 IBS393244:IBT393245 ILO393244:ILP393245 IVK393244:IVL393245 JFG393244:JFH393245 JPC393244:JPD393245 JYY393244:JYZ393245 KIU393244:KIV393245 KSQ393244:KSR393245 LCM393244:LCN393245 LMI393244:LMJ393245 LWE393244:LWF393245 MGA393244:MGB393245 MPW393244:MPX393245 MZS393244:MZT393245 NJO393244:NJP393245 NTK393244:NTL393245 ODG393244:ODH393245 ONC393244:OND393245 OWY393244:OWZ393245 PGU393244:PGV393245 PQQ393244:PQR393245 QAM393244:QAN393245 QKI393244:QKJ393245 QUE393244:QUF393245 REA393244:REB393245 RNW393244:RNX393245 RXS393244:RXT393245 SHO393244:SHP393245 SRK393244:SRL393245 TBG393244:TBH393245 TLC393244:TLD393245 TUY393244:TUZ393245 UEU393244:UEV393245 UOQ393244:UOR393245 UYM393244:UYN393245 VII393244:VIJ393245 VSE393244:VSF393245 WCA393244:WCB393245 WLW393244:WLX393245 WVS393244:WVT393245 K458780:L458781 JG458780:JH458781 TC458780:TD458781 ACY458780:ACZ458781 AMU458780:AMV458781 AWQ458780:AWR458781 BGM458780:BGN458781 BQI458780:BQJ458781 CAE458780:CAF458781 CKA458780:CKB458781 CTW458780:CTX458781 DDS458780:DDT458781 DNO458780:DNP458781 DXK458780:DXL458781 EHG458780:EHH458781 ERC458780:ERD458781 FAY458780:FAZ458781 FKU458780:FKV458781 FUQ458780:FUR458781 GEM458780:GEN458781 GOI458780:GOJ458781 GYE458780:GYF458781 HIA458780:HIB458781 HRW458780:HRX458781 IBS458780:IBT458781 ILO458780:ILP458781 IVK458780:IVL458781 JFG458780:JFH458781 JPC458780:JPD458781 JYY458780:JYZ458781 KIU458780:KIV458781 KSQ458780:KSR458781 LCM458780:LCN458781 LMI458780:LMJ458781 LWE458780:LWF458781 MGA458780:MGB458781 MPW458780:MPX458781 MZS458780:MZT458781 NJO458780:NJP458781 NTK458780:NTL458781 ODG458780:ODH458781 ONC458780:OND458781 OWY458780:OWZ458781 PGU458780:PGV458781 PQQ458780:PQR458781 QAM458780:QAN458781 QKI458780:QKJ458781 QUE458780:QUF458781 REA458780:REB458781 RNW458780:RNX458781 RXS458780:RXT458781 SHO458780:SHP458781 SRK458780:SRL458781 TBG458780:TBH458781 TLC458780:TLD458781 TUY458780:TUZ458781 UEU458780:UEV458781 UOQ458780:UOR458781 UYM458780:UYN458781 VII458780:VIJ458781 VSE458780:VSF458781 WCA458780:WCB458781 WLW458780:WLX458781 WVS458780:WVT458781 K524316:L524317 JG524316:JH524317 TC524316:TD524317 ACY524316:ACZ524317 AMU524316:AMV524317 AWQ524316:AWR524317 BGM524316:BGN524317 BQI524316:BQJ524317 CAE524316:CAF524317 CKA524316:CKB524317 CTW524316:CTX524317 DDS524316:DDT524317 DNO524316:DNP524317 DXK524316:DXL524317 EHG524316:EHH524317 ERC524316:ERD524317 FAY524316:FAZ524317 FKU524316:FKV524317 FUQ524316:FUR524317 GEM524316:GEN524317 GOI524316:GOJ524317 GYE524316:GYF524317 HIA524316:HIB524317 HRW524316:HRX524317 IBS524316:IBT524317 ILO524316:ILP524317 IVK524316:IVL524317 JFG524316:JFH524317 JPC524316:JPD524317 JYY524316:JYZ524317 KIU524316:KIV524317 KSQ524316:KSR524317 LCM524316:LCN524317 LMI524316:LMJ524317 LWE524316:LWF524317 MGA524316:MGB524317 MPW524316:MPX524317 MZS524316:MZT524317 NJO524316:NJP524317 NTK524316:NTL524317 ODG524316:ODH524317 ONC524316:OND524317 OWY524316:OWZ524317 PGU524316:PGV524317 PQQ524316:PQR524317 QAM524316:QAN524317 QKI524316:QKJ524317 QUE524316:QUF524317 REA524316:REB524317 RNW524316:RNX524317 RXS524316:RXT524317 SHO524316:SHP524317 SRK524316:SRL524317 TBG524316:TBH524317 TLC524316:TLD524317 TUY524316:TUZ524317 UEU524316:UEV524317 UOQ524316:UOR524317 UYM524316:UYN524317 VII524316:VIJ524317 VSE524316:VSF524317 WCA524316:WCB524317 WLW524316:WLX524317 WVS524316:WVT524317 K589852:L589853 JG589852:JH589853 TC589852:TD589853 ACY589852:ACZ589853 AMU589852:AMV589853 AWQ589852:AWR589853 BGM589852:BGN589853 BQI589852:BQJ589853 CAE589852:CAF589853 CKA589852:CKB589853 CTW589852:CTX589853 DDS589852:DDT589853 DNO589852:DNP589853 DXK589852:DXL589853 EHG589852:EHH589853 ERC589852:ERD589853 FAY589852:FAZ589853 FKU589852:FKV589853 FUQ589852:FUR589853 GEM589852:GEN589853 GOI589852:GOJ589853 GYE589852:GYF589853 HIA589852:HIB589853 HRW589852:HRX589853 IBS589852:IBT589853 ILO589852:ILP589853 IVK589852:IVL589853 JFG589852:JFH589853 JPC589852:JPD589853 JYY589852:JYZ589853 KIU589852:KIV589853 KSQ589852:KSR589853 LCM589852:LCN589853 LMI589852:LMJ589853 LWE589852:LWF589853 MGA589852:MGB589853 MPW589852:MPX589853 MZS589852:MZT589853 NJO589852:NJP589853 NTK589852:NTL589853 ODG589852:ODH589853 ONC589852:OND589853 OWY589852:OWZ589853 PGU589852:PGV589853 PQQ589852:PQR589853 QAM589852:QAN589853 QKI589852:QKJ589853 QUE589852:QUF589853 REA589852:REB589853 RNW589852:RNX589853 RXS589852:RXT589853 SHO589852:SHP589853 SRK589852:SRL589853 TBG589852:TBH589853 TLC589852:TLD589853 TUY589852:TUZ589853 UEU589852:UEV589853 UOQ589852:UOR589853 UYM589852:UYN589853 VII589852:VIJ589853 VSE589852:VSF589853 WCA589852:WCB589853 WLW589852:WLX589853 WVS589852:WVT589853 K655388:L655389 JG655388:JH655389 TC655388:TD655389 ACY655388:ACZ655389 AMU655388:AMV655389 AWQ655388:AWR655389 BGM655388:BGN655389 BQI655388:BQJ655389 CAE655388:CAF655389 CKA655388:CKB655389 CTW655388:CTX655389 DDS655388:DDT655389 DNO655388:DNP655389 DXK655388:DXL655389 EHG655388:EHH655389 ERC655388:ERD655389 FAY655388:FAZ655389 FKU655388:FKV655389 FUQ655388:FUR655389 GEM655388:GEN655389 GOI655388:GOJ655389 GYE655388:GYF655389 HIA655388:HIB655389 HRW655388:HRX655389 IBS655388:IBT655389 ILO655388:ILP655389 IVK655388:IVL655389 JFG655388:JFH655389 JPC655388:JPD655389 JYY655388:JYZ655389 KIU655388:KIV655389 KSQ655388:KSR655389 LCM655388:LCN655389 LMI655388:LMJ655389 LWE655388:LWF655389 MGA655388:MGB655389 MPW655388:MPX655389 MZS655388:MZT655389 NJO655388:NJP655389 NTK655388:NTL655389 ODG655388:ODH655389 ONC655388:OND655389 OWY655388:OWZ655389 PGU655388:PGV655389 PQQ655388:PQR655389 QAM655388:QAN655389 QKI655388:QKJ655389 QUE655388:QUF655389 REA655388:REB655389 RNW655388:RNX655389 RXS655388:RXT655389 SHO655388:SHP655389 SRK655388:SRL655389 TBG655388:TBH655389 TLC655388:TLD655389 TUY655388:TUZ655389 UEU655388:UEV655389 UOQ655388:UOR655389 UYM655388:UYN655389 VII655388:VIJ655389 VSE655388:VSF655389 WCA655388:WCB655389 WLW655388:WLX655389 WVS655388:WVT655389 K720924:L720925 JG720924:JH720925 TC720924:TD720925 ACY720924:ACZ720925 AMU720924:AMV720925 AWQ720924:AWR720925 BGM720924:BGN720925 BQI720924:BQJ720925 CAE720924:CAF720925 CKA720924:CKB720925 CTW720924:CTX720925 DDS720924:DDT720925 DNO720924:DNP720925 DXK720924:DXL720925 EHG720924:EHH720925 ERC720924:ERD720925 FAY720924:FAZ720925 FKU720924:FKV720925 FUQ720924:FUR720925 GEM720924:GEN720925 GOI720924:GOJ720925 GYE720924:GYF720925 HIA720924:HIB720925 HRW720924:HRX720925 IBS720924:IBT720925 ILO720924:ILP720925 IVK720924:IVL720925 JFG720924:JFH720925 JPC720924:JPD720925 JYY720924:JYZ720925 KIU720924:KIV720925 KSQ720924:KSR720925 LCM720924:LCN720925 LMI720924:LMJ720925 LWE720924:LWF720925 MGA720924:MGB720925 MPW720924:MPX720925 MZS720924:MZT720925 NJO720924:NJP720925 NTK720924:NTL720925 ODG720924:ODH720925 ONC720924:OND720925 OWY720924:OWZ720925 PGU720924:PGV720925 PQQ720924:PQR720925 QAM720924:QAN720925 QKI720924:QKJ720925 QUE720924:QUF720925 REA720924:REB720925 RNW720924:RNX720925 RXS720924:RXT720925 SHO720924:SHP720925 SRK720924:SRL720925 TBG720924:TBH720925 TLC720924:TLD720925 TUY720924:TUZ720925 UEU720924:UEV720925 UOQ720924:UOR720925 UYM720924:UYN720925 VII720924:VIJ720925 VSE720924:VSF720925 WCA720924:WCB720925 WLW720924:WLX720925 WVS720924:WVT720925 K786460:L786461 JG786460:JH786461 TC786460:TD786461 ACY786460:ACZ786461 AMU786460:AMV786461 AWQ786460:AWR786461 BGM786460:BGN786461 BQI786460:BQJ786461 CAE786460:CAF786461 CKA786460:CKB786461 CTW786460:CTX786461 DDS786460:DDT786461 DNO786460:DNP786461 DXK786460:DXL786461 EHG786460:EHH786461 ERC786460:ERD786461 FAY786460:FAZ786461 FKU786460:FKV786461 FUQ786460:FUR786461 GEM786460:GEN786461 GOI786460:GOJ786461 GYE786460:GYF786461 HIA786460:HIB786461 HRW786460:HRX786461 IBS786460:IBT786461 ILO786460:ILP786461 IVK786460:IVL786461 JFG786460:JFH786461 JPC786460:JPD786461 JYY786460:JYZ786461 KIU786460:KIV786461 KSQ786460:KSR786461 LCM786460:LCN786461 LMI786460:LMJ786461 LWE786460:LWF786461 MGA786460:MGB786461 MPW786460:MPX786461 MZS786460:MZT786461 NJO786460:NJP786461 NTK786460:NTL786461 ODG786460:ODH786461 ONC786460:OND786461 OWY786460:OWZ786461 PGU786460:PGV786461 PQQ786460:PQR786461 QAM786460:QAN786461 QKI786460:QKJ786461 QUE786460:QUF786461 REA786460:REB786461 RNW786460:RNX786461 RXS786460:RXT786461 SHO786460:SHP786461 SRK786460:SRL786461 TBG786460:TBH786461 TLC786460:TLD786461 TUY786460:TUZ786461 UEU786460:UEV786461 UOQ786460:UOR786461 UYM786460:UYN786461 VII786460:VIJ786461 VSE786460:VSF786461 WCA786460:WCB786461 WLW786460:WLX786461 WVS786460:WVT786461 K851996:L851997 JG851996:JH851997 TC851996:TD851997 ACY851996:ACZ851997 AMU851996:AMV851997 AWQ851996:AWR851997 BGM851996:BGN851997 BQI851996:BQJ851997 CAE851996:CAF851997 CKA851996:CKB851997 CTW851996:CTX851997 DDS851996:DDT851997 DNO851996:DNP851997 DXK851996:DXL851997 EHG851996:EHH851997 ERC851996:ERD851997 FAY851996:FAZ851997 FKU851996:FKV851997 FUQ851996:FUR851997 GEM851996:GEN851997 GOI851996:GOJ851997 GYE851996:GYF851997 HIA851996:HIB851997 HRW851996:HRX851997 IBS851996:IBT851997 ILO851996:ILP851997 IVK851996:IVL851997 JFG851996:JFH851997 JPC851996:JPD851997 JYY851996:JYZ851997 KIU851996:KIV851997 KSQ851996:KSR851997 LCM851996:LCN851997 LMI851996:LMJ851997 LWE851996:LWF851997 MGA851996:MGB851997 MPW851996:MPX851997 MZS851996:MZT851997 NJO851996:NJP851997 NTK851996:NTL851997 ODG851996:ODH851997 ONC851996:OND851997 OWY851996:OWZ851997 PGU851996:PGV851997 PQQ851996:PQR851997 QAM851996:QAN851997 QKI851996:QKJ851997 QUE851996:QUF851997 REA851996:REB851997 RNW851996:RNX851997 RXS851996:RXT851997 SHO851996:SHP851997 SRK851996:SRL851997 TBG851996:TBH851997 TLC851996:TLD851997 TUY851996:TUZ851997 UEU851996:UEV851997 UOQ851996:UOR851997 UYM851996:UYN851997 VII851996:VIJ851997 VSE851996:VSF851997 WCA851996:WCB851997 WLW851996:WLX851997 WVS851996:WVT851997 K917532:L917533 JG917532:JH917533 TC917532:TD917533 ACY917532:ACZ917533 AMU917532:AMV917533 AWQ917532:AWR917533 BGM917532:BGN917533 BQI917532:BQJ917533 CAE917532:CAF917533 CKA917532:CKB917533 CTW917532:CTX917533 DDS917532:DDT917533 DNO917532:DNP917533 DXK917532:DXL917533 EHG917532:EHH917533 ERC917532:ERD917533 FAY917532:FAZ917533 FKU917532:FKV917533 FUQ917532:FUR917533 GEM917532:GEN917533 GOI917532:GOJ917533 GYE917532:GYF917533 HIA917532:HIB917533 HRW917532:HRX917533 IBS917532:IBT917533 ILO917532:ILP917533 IVK917532:IVL917533 JFG917532:JFH917533 JPC917532:JPD917533 JYY917532:JYZ917533 KIU917532:KIV917533 KSQ917532:KSR917533 LCM917532:LCN917533 LMI917532:LMJ917533 LWE917532:LWF917533 MGA917532:MGB917533 MPW917532:MPX917533 MZS917532:MZT917533 NJO917532:NJP917533 NTK917532:NTL917533 ODG917532:ODH917533 ONC917532:OND917533 OWY917532:OWZ917533 PGU917532:PGV917533 PQQ917532:PQR917533 QAM917532:QAN917533 QKI917532:QKJ917533 QUE917532:QUF917533 REA917532:REB917533 RNW917532:RNX917533 RXS917532:RXT917533 SHO917532:SHP917533 SRK917532:SRL917533 TBG917532:TBH917533 TLC917532:TLD917533 TUY917532:TUZ917533 UEU917532:UEV917533 UOQ917532:UOR917533 UYM917532:UYN917533 VII917532:VIJ917533 VSE917532:VSF917533 WCA917532:WCB917533 WLW917532:WLX917533 WVS917532:WVT917533 K983068:L983069 JG983068:JH983069 TC983068:TD983069 ACY983068:ACZ983069 AMU983068:AMV983069 AWQ983068:AWR983069 BGM983068:BGN983069 BQI983068:BQJ983069 CAE983068:CAF983069 CKA983068:CKB983069 CTW983068:CTX983069 DDS983068:DDT983069 DNO983068:DNP983069 DXK983068:DXL983069 EHG983068:EHH983069 ERC983068:ERD983069 FAY983068:FAZ983069 FKU983068:FKV983069 FUQ983068:FUR983069 GEM983068:GEN983069 GOI983068:GOJ983069 GYE983068:GYF983069 HIA983068:HIB983069 HRW983068:HRX983069 IBS983068:IBT983069 ILO983068:ILP983069 IVK983068:IVL983069 JFG983068:JFH983069 JPC983068:JPD983069 JYY983068:JYZ983069 KIU983068:KIV983069 KSQ983068:KSR983069 LCM983068:LCN983069 LMI983068:LMJ983069 LWE983068:LWF983069 MGA983068:MGB983069 MPW983068:MPX983069 MZS983068:MZT983069 NJO983068:NJP983069 NTK983068:NTL983069 ODG983068:ODH983069 ONC983068:OND983069 OWY983068:OWZ983069 PGU983068:PGV983069 PQQ983068:PQR983069 QAM983068:QAN983069 QKI983068:QKJ983069 QUE983068:QUF983069 REA983068:REB983069 RNW983068:RNX983069 RXS983068:RXT983069 SHO983068:SHP983069 SRK983068:SRL983069 TBG983068:TBH983069 TLC983068:TLD983069 TUY983068:TUZ983069 UEU983068:UEV983069 UOQ983068:UOR983069 UYM983068:UYN983069 VII983068:VIJ983069 VSE983068:VSF983069 WCA983068:WCB983069 WLW983068:WLX983069 WVS983068:WVT983069 L30:L33 JH30:JH33 TD30:TD33 ACZ30:ACZ33 AMV30:AMV33 AWR30:AWR33 BGN30:BGN33 BQJ30:BQJ33 CAF30:CAF33 CKB30:CKB33 CTX30:CTX33 DDT30:DDT33 DNP30:DNP33 DXL30:DXL33 EHH30:EHH33 ERD30:ERD33 FAZ30:FAZ33 FKV30:FKV33 FUR30:FUR33 GEN30:GEN33 GOJ30:GOJ33 GYF30:GYF33 HIB30:HIB33 HRX30:HRX33 IBT30:IBT33 ILP30:ILP33 IVL30:IVL33 JFH30:JFH33 JPD30:JPD33 JYZ30:JYZ33 KIV30:KIV33 KSR30:KSR33 LCN30:LCN33 LMJ30:LMJ33 LWF30:LWF33 MGB30:MGB33 MPX30:MPX33 MZT30:MZT33 NJP30:NJP33 NTL30:NTL33 ODH30:ODH33 OND30:OND33 OWZ30:OWZ33 PGV30:PGV33 PQR30:PQR33 QAN30:QAN33 QKJ30:QKJ33 QUF30:QUF33 REB30:REB33 RNX30:RNX33 RXT30:RXT33 SHP30:SHP33 SRL30:SRL33 TBH30:TBH33 TLD30:TLD33 TUZ30:TUZ33 UEV30:UEV33 UOR30:UOR33 UYN30:UYN33 VIJ30:VIJ33 VSF30:VSF33 WCB30:WCB33 WLX30:WLX33 WVT30:WVT33 L65566:L65569 JH65566:JH65569 TD65566:TD65569 ACZ65566:ACZ65569 AMV65566:AMV65569 AWR65566:AWR65569 BGN65566:BGN65569 BQJ65566:BQJ65569 CAF65566:CAF65569 CKB65566:CKB65569 CTX65566:CTX65569 DDT65566:DDT65569 DNP65566:DNP65569 DXL65566:DXL65569 EHH65566:EHH65569 ERD65566:ERD65569 FAZ65566:FAZ65569 FKV65566:FKV65569 FUR65566:FUR65569 GEN65566:GEN65569 GOJ65566:GOJ65569 GYF65566:GYF65569 HIB65566:HIB65569 HRX65566:HRX65569 IBT65566:IBT65569 ILP65566:ILP65569 IVL65566:IVL65569 JFH65566:JFH65569 JPD65566:JPD65569 JYZ65566:JYZ65569 KIV65566:KIV65569 KSR65566:KSR65569 LCN65566:LCN65569 LMJ65566:LMJ65569 LWF65566:LWF65569 MGB65566:MGB65569 MPX65566:MPX65569 MZT65566:MZT65569 NJP65566:NJP65569 NTL65566:NTL65569 ODH65566:ODH65569 OND65566:OND65569 OWZ65566:OWZ65569 PGV65566:PGV65569 PQR65566:PQR65569 QAN65566:QAN65569 QKJ65566:QKJ65569 QUF65566:QUF65569 REB65566:REB65569 RNX65566:RNX65569 RXT65566:RXT65569 SHP65566:SHP65569 SRL65566:SRL65569 TBH65566:TBH65569 TLD65566:TLD65569 TUZ65566:TUZ65569 UEV65566:UEV65569 UOR65566:UOR65569 UYN65566:UYN65569 VIJ65566:VIJ65569 VSF65566:VSF65569 WCB65566:WCB65569 WLX65566:WLX65569 WVT65566:WVT65569 L131102:L131105 JH131102:JH131105 TD131102:TD131105 ACZ131102:ACZ131105 AMV131102:AMV131105 AWR131102:AWR131105 BGN131102:BGN131105 BQJ131102:BQJ131105 CAF131102:CAF131105 CKB131102:CKB131105 CTX131102:CTX131105 DDT131102:DDT131105 DNP131102:DNP131105 DXL131102:DXL131105 EHH131102:EHH131105 ERD131102:ERD131105 FAZ131102:FAZ131105 FKV131102:FKV131105 FUR131102:FUR131105 GEN131102:GEN131105 GOJ131102:GOJ131105 GYF131102:GYF131105 HIB131102:HIB131105 HRX131102:HRX131105 IBT131102:IBT131105 ILP131102:ILP131105 IVL131102:IVL131105 JFH131102:JFH131105 JPD131102:JPD131105 JYZ131102:JYZ131105 KIV131102:KIV131105 KSR131102:KSR131105 LCN131102:LCN131105 LMJ131102:LMJ131105 LWF131102:LWF131105 MGB131102:MGB131105 MPX131102:MPX131105 MZT131102:MZT131105 NJP131102:NJP131105 NTL131102:NTL131105 ODH131102:ODH131105 OND131102:OND131105 OWZ131102:OWZ131105 PGV131102:PGV131105 PQR131102:PQR131105 QAN131102:QAN131105 QKJ131102:QKJ131105 QUF131102:QUF131105 REB131102:REB131105 RNX131102:RNX131105 RXT131102:RXT131105 SHP131102:SHP131105 SRL131102:SRL131105 TBH131102:TBH131105 TLD131102:TLD131105 TUZ131102:TUZ131105 UEV131102:UEV131105 UOR131102:UOR131105 UYN131102:UYN131105 VIJ131102:VIJ131105 VSF131102:VSF131105 WCB131102:WCB131105 WLX131102:WLX131105 WVT131102:WVT131105 L196638:L196641 JH196638:JH196641 TD196638:TD196641 ACZ196638:ACZ196641 AMV196638:AMV196641 AWR196638:AWR196641 BGN196638:BGN196641 BQJ196638:BQJ196641 CAF196638:CAF196641 CKB196638:CKB196641 CTX196638:CTX196641 DDT196638:DDT196641 DNP196638:DNP196641 DXL196638:DXL196641 EHH196638:EHH196641 ERD196638:ERD196641 FAZ196638:FAZ196641 FKV196638:FKV196641 FUR196638:FUR196641 GEN196638:GEN196641 GOJ196638:GOJ196641 GYF196638:GYF196641 HIB196638:HIB196641 HRX196638:HRX196641 IBT196638:IBT196641 ILP196638:ILP196641 IVL196638:IVL196641 JFH196638:JFH196641 JPD196638:JPD196641 JYZ196638:JYZ196641 KIV196638:KIV196641 KSR196638:KSR196641 LCN196638:LCN196641 LMJ196638:LMJ196641 LWF196638:LWF196641 MGB196638:MGB196641 MPX196638:MPX196641 MZT196638:MZT196641 NJP196638:NJP196641 NTL196638:NTL196641 ODH196638:ODH196641 OND196638:OND196641 OWZ196638:OWZ196641 PGV196638:PGV196641 PQR196638:PQR196641 QAN196638:QAN196641 QKJ196638:QKJ196641 QUF196638:QUF196641 REB196638:REB196641 RNX196638:RNX196641 RXT196638:RXT196641 SHP196638:SHP196641 SRL196638:SRL196641 TBH196638:TBH196641 TLD196638:TLD196641 TUZ196638:TUZ196641 UEV196638:UEV196641 UOR196638:UOR196641 UYN196638:UYN196641 VIJ196638:VIJ196641 VSF196638:VSF196641 WCB196638:WCB196641 WLX196638:WLX196641 WVT196638:WVT196641 L262174:L262177 JH262174:JH262177 TD262174:TD262177 ACZ262174:ACZ262177 AMV262174:AMV262177 AWR262174:AWR262177 BGN262174:BGN262177 BQJ262174:BQJ262177 CAF262174:CAF262177 CKB262174:CKB262177 CTX262174:CTX262177 DDT262174:DDT262177 DNP262174:DNP262177 DXL262174:DXL262177 EHH262174:EHH262177 ERD262174:ERD262177 FAZ262174:FAZ262177 FKV262174:FKV262177 FUR262174:FUR262177 GEN262174:GEN262177 GOJ262174:GOJ262177 GYF262174:GYF262177 HIB262174:HIB262177 HRX262174:HRX262177 IBT262174:IBT262177 ILP262174:ILP262177 IVL262174:IVL262177 JFH262174:JFH262177 JPD262174:JPD262177 JYZ262174:JYZ262177 KIV262174:KIV262177 KSR262174:KSR262177 LCN262174:LCN262177 LMJ262174:LMJ262177 LWF262174:LWF262177 MGB262174:MGB262177 MPX262174:MPX262177 MZT262174:MZT262177 NJP262174:NJP262177 NTL262174:NTL262177 ODH262174:ODH262177 OND262174:OND262177 OWZ262174:OWZ262177 PGV262174:PGV262177 PQR262174:PQR262177 QAN262174:QAN262177 QKJ262174:QKJ262177 QUF262174:QUF262177 REB262174:REB262177 RNX262174:RNX262177 RXT262174:RXT262177 SHP262174:SHP262177 SRL262174:SRL262177 TBH262174:TBH262177 TLD262174:TLD262177 TUZ262174:TUZ262177 UEV262174:UEV262177 UOR262174:UOR262177 UYN262174:UYN262177 VIJ262174:VIJ262177 VSF262174:VSF262177 WCB262174:WCB262177 WLX262174:WLX262177 WVT262174:WVT262177 L327710:L327713 JH327710:JH327713 TD327710:TD327713 ACZ327710:ACZ327713 AMV327710:AMV327713 AWR327710:AWR327713 BGN327710:BGN327713 BQJ327710:BQJ327713 CAF327710:CAF327713 CKB327710:CKB327713 CTX327710:CTX327713 DDT327710:DDT327713 DNP327710:DNP327713 DXL327710:DXL327713 EHH327710:EHH327713 ERD327710:ERD327713 FAZ327710:FAZ327713 FKV327710:FKV327713 FUR327710:FUR327713 GEN327710:GEN327713 GOJ327710:GOJ327713 GYF327710:GYF327713 HIB327710:HIB327713 HRX327710:HRX327713 IBT327710:IBT327713 ILP327710:ILP327713 IVL327710:IVL327713 JFH327710:JFH327713 JPD327710:JPD327713 JYZ327710:JYZ327713 KIV327710:KIV327713 KSR327710:KSR327713 LCN327710:LCN327713 LMJ327710:LMJ327713 LWF327710:LWF327713 MGB327710:MGB327713 MPX327710:MPX327713 MZT327710:MZT327713 NJP327710:NJP327713 NTL327710:NTL327713 ODH327710:ODH327713 OND327710:OND327713 OWZ327710:OWZ327713 PGV327710:PGV327713 PQR327710:PQR327713 QAN327710:QAN327713 QKJ327710:QKJ327713 QUF327710:QUF327713 REB327710:REB327713 RNX327710:RNX327713 RXT327710:RXT327713 SHP327710:SHP327713 SRL327710:SRL327713 TBH327710:TBH327713 TLD327710:TLD327713 TUZ327710:TUZ327713 UEV327710:UEV327713 UOR327710:UOR327713 UYN327710:UYN327713 VIJ327710:VIJ327713 VSF327710:VSF327713 WCB327710:WCB327713 WLX327710:WLX327713 WVT327710:WVT327713 L393246:L393249 JH393246:JH393249 TD393246:TD393249 ACZ393246:ACZ393249 AMV393246:AMV393249 AWR393246:AWR393249 BGN393246:BGN393249 BQJ393246:BQJ393249 CAF393246:CAF393249 CKB393246:CKB393249 CTX393246:CTX393249 DDT393246:DDT393249 DNP393246:DNP393249 DXL393246:DXL393249 EHH393246:EHH393249 ERD393246:ERD393249 FAZ393246:FAZ393249 FKV393246:FKV393249 FUR393246:FUR393249 GEN393246:GEN393249 GOJ393246:GOJ393249 GYF393246:GYF393249 HIB393246:HIB393249 HRX393246:HRX393249 IBT393246:IBT393249 ILP393246:ILP393249 IVL393246:IVL393249 JFH393246:JFH393249 JPD393246:JPD393249 JYZ393246:JYZ393249 KIV393246:KIV393249 KSR393246:KSR393249 LCN393246:LCN393249 LMJ393246:LMJ393249 LWF393246:LWF393249 MGB393246:MGB393249 MPX393246:MPX393249 MZT393246:MZT393249 NJP393246:NJP393249 NTL393246:NTL393249 ODH393246:ODH393249 OND393246:OND393249 OWZ393246:OWZ393249 PGV393246:PGV393249 PQR393246:PQR393249 QAN393246:QAN393249 QKJ393246:QKJ393249 QUF393246:QUF393249 REB393246:REB393249 RNX393246:RNX393249 RXT393246:RXT393249 SHP393246:SHP393249 SRL393246:SRL393249 TBH393246:TBH393249 TLD393246:TLD393249 TUZ393246:TUZ393249 UEV393246:UEV393249 UOR393246:UOR393249 UYN393246:UYN393249 VIJ393246:VIJ393249 VSF393246:VSF393249 WCB393246:WCB393249 WLX393246:WLX393249 WVT393246:WVT393249 L458782:L458785 JH458782:JH458785 TD458782:TD458785 ACZ458782:ACZ458785 AMV458782:AMV458785 AWR458782:AWR458785 BGN458782:BGN458785 BQJ458782:BQJ458785 CAF458782:CAF458785 CKB458782:CKB458785 CTX458782:CTX458785 DDT458782:DDT458785 DNP458782:DNP458785 DXL458782:DXL458785 EHH458782:EHH458785 ERD458782:ERD458785 FAZ458782:FAZ458785 FKV458782:FKV458785 FUR458782:FUR458785 GEN458782:GEN458785 GOJ458782:GOJ458785 GYF458782:GYF458785 HIB458782:HIB458785 HRX458782:HRX458785 IBT458782:IBT458785 ILP458782:ILP458785 IVL458782:IVL458785 JFH458782:JFH458785 JPD458782:JPD458785 JYZ458782:JYZ458785 KIV458782:KIV458785 KSR458782:KSR458785 LCN458782:LCN458785 LMJ458782:LMJ458785 LWF458782:LWF458785 MGB458782:MGB458785 MPX458782:MPX458785 MZT458782:MZT458785 NJP458782:NJP458785 NTL458782:NTL458785 ODH458782:ODH458785 OND458782:OND458785 OWZ458782:OWZ458785 PGV458782:PGV458785 PQR458782:PQR458785 QAN458782:QAN458785 QKJ458782:QKJ458785 QUF458782:QUF458785 REB458782:REB458785 RNX458782:RNX458785 RXT458782:RXT458785 SHP458782:SHP458785 SRL458782:SRL458785 TBH458782:TBH458785 TLD458782:TLD458785 TUZ458782:TUZ458785 UEV458782:UEV458785 UOR458782:UOR458785 UYN458782:UYN458785 VIJ458782:VIJ458785 VSF458782:VSF458785 WCB458782:WCB458785 WLX458782:WLX458785 WVT458782:WVT458785 L524318:L524321 JH524318:JH524321 TD524318:TD524321 ACZ524318:ACZ524321 AMV524318:AMV524321 AWR524318:AWR524321 BGN524318:BGN524321 BQJ524318:BQJ524321 CAF524318:CAF524321 CKB524318:CKB524321 CTX524318:CTX524321 DDT524318:DDT524321 DNP524318:DNP524321 DXL524318:DXL524321 EHH524318:EHH524321 ERD524318:ERD524321 FAZ524318:FAZ524321 FKV524318:FKV524321 FUR524318:FUR524321 GEN524318:GEN524321 GOJ524318:GOJ524321 GYF524318:GYF524321 HIB524318:HIB524321 HRX524318:HRX524321 IBT524318:IBT524321 ILP524318:ILP524321 IVL524318:IVL524321 JFH524318:JFH524321 JPD524318:JPD524321 JYZ524318:JYZ524321 KIV524318:KIV524321 KSR524318:KSR524321 LCN524318:LCN524321 LMJ524318:LMJ524321 LWF524318:LWF524321 MGB524318:MGB524321 MPX524318:MPX524321 MZT524318:MZT524321 NJP524318:NJP524321 NTL524318:NTL524321 ODH524318:ODH524321 OND524318:OND524321 OWZ524318:OWZ524321 PGV524318:PGV524321 PQR524318:PQR524321 QAN524318:QAN524321 QKJ524318:QKJ524321 QUF524318:QUF524321 REB524318:REB524321 RNX524318:RNX524321 RXT524318:RXT524321 SHP524318:SHP524321 SRL524318:SRL524321 TBH524318:TBH524321 TLD524318:TLD524321 TUZ524318:TUZ524321 UEV524318:UEV524321 UOR524318:UOR524321 UYN524318:UYN524321 VIJ524318:VIJ524321 VSF524318:VSF524321 WCB524318:WCB524321 WLX524318:WLX524321 WVT524318:WVT524321 L589854:L589857 JH589854:JH589857 TD589854:TD589857 ACZ589854:ACZ589857 AMV589854:AMV589857 AWR589854:AWR589857 BGN589854:BGN589857 BQJ589854:BQJ589857 CAF589854:CAF589857 CKB589854:CKB589857 CTX589854:CTX589857 DDT589854:DDT589857 DNP589854:DNP589857 DXL589854:DXL589857 EHH589854:EHH589857 ERD589854:ERD589857 FAZ589854:FAZ589857 FKV589854:FKV589857 FUR589854:FUR589857 GEN589854:GEN589857 GOJ589854:GOJ589857 GYF589854:GYF589857 HIB589854:HIB589857 HRX589854:HRX589857 IBT589854:IBT589857 ILP589854:ILP589857 IVL589854:IVL589857 JFH589854:JFH589857 JPD589854:JPD589857 JYZ589854:JYZ589857 KIV589854:KIV589857 KSR589854:KSR589857 LCN589854:LCN589857 LMJ589854:LMJ589857 LWF589854:LWF589857 MGB589854:MGB589857 MPX589854:MPX589857 MZT589854:MZT589857 NJP589854:NJP589857 NTL589854:NTL589857 ODH589854:ODH589857 OND589854:OND589857 OWZ589854:OWZ589857 PGV589854:PGV589857 PQR589854:PQR589857 QAN589854:QAN589857 QKJ589854:QKJ589857 QUF589854:QUF589857 REB589854:REB589857 RNX589854:RNX589857 RXT589854:RXT589857 SHP589854:SHP589857 SRL589854:SRL589857 TBH589854:TBH589857 TLD589854:TLD589857 TUZ589854:TUZ589857 UEV589854:UEV589857 UOR589854:UOR589857 UYN589854:UYN589857 VIJ589854:VIJ589857 VSF589854:VSF589857 WCB589854:WCB589857 WLX589854:WLX589857 WVT589854:WVT589857 L655390:L655393 JH655390:JH655393 TD655390:TD655393 ACZ655390:ACZ655393 AMV655390:AMV655393 AWR655390:AWR655393 BGN655390:BGN655393 BQJ655390:BQJ655393 CAF655390:CAF655393 CKB655390:CKB655393 CTX655390:CTX655393 DDT655390:DDT655393 DNP655390:DNP655393 DXL655390:DXL655393 EHH655390:EHH655393 ERD655390:ERD655393 FAZ655390:FAZ655393 FKV655390:FKV655393 FUR655390:FUR655393 GEN655390:GEN655393 GOJ655390:GOJ655393 GYF655390:GYF655393 HIB655390:HIB655393 HRX655390:HRX655393 IBT655390:IBT655393 ILP655390:ILP655393 IVL655390:IVL655393 JFH655390:JFH655393 JPD655390:JPD655393 JYZ655390:JYZ655393 KIV655390:KIV655393 KSR655390:KSR655393 LCN655390:LCN655393 LMJ655390:LMJ655393 LWF655390:LWF655393 MGB655390:MGB655393 MPX655390:MPX655393 MZT655390:MZT655393 NJP655390:NJP655393 NTL655390:NTL655393 ODH655390:ODH655393 OND655390:OND655393 OWZ655390:OWZ655393 PGV655390:PGV655393 PQR655390:PQR655393 QAN655390:QAN655393 QKJ655390:QKJ655393 QUF655390:QUF655393 REB655390:REB655393 RNX655390:RNX655393 RXT655390:RXT655393 SHP655390:SHP655393 SRL655390:SRL655393 TBH655390:TBH655393 TLD655390:TLD655393 TUZ655390:TUZ655393 UEV655390:UEV655393 UOR655390:UOR655393 UYN655390:UYN655393 VIJ655390:VIJ655393 VSF655390:VSF655393 WCB655390:WCB655393 WLX655390:WLX655393 WVT655390:WVT655393 L720926:L720929 JH720926:JH720929 TD720926:TD720929 ACZ720926:ACZ720929 AMV720926:AMV720929 AWR720926:AWR720929 BGN720926:BGN720929 BQJ720926:BQJ720929 CAF720926:CAF720929 CKB720926:CKB720929 CTX720926:CTX720929 DDT720926:DDT720929 DNP720926:DNP720929 DXL720926:DXL720929 EHH720926:EHH720929 ERD720926:ERD720929 FAZ720926:FAZ720929 FKV720926:FKV720929 FUR720926:FUR720929 GEN720926:GEN720929 GOJ720926:GOJ720929 GYF720926:GYF720929 HIB720926:HIB720929 HRX720926:HRX720929 IBT720926:IBT720929 ILP720926:ILP720929 IVL720926:IVL720929 JFH720926:JFH720929 JPD720926:JPD720929 JYZ720926:JYZ720929 KIV720926:KIV720929 KSR720926:KSR720929 LCN720926:LCN720929 LMJ720926:LMJ720929 LWF720926:LWF720929 MGB720926:MGB720929 MPX720926:MPX720929 MZT720926:MZT720929 NJP720926:NJP720929 NTL720926:NTL720929 ODH720926:ODH720929 OND720926:OND720929 OWZ720926:OWZ720929 PGV720926:PGV720929 PQR720926:PQR720929 QAN720926:QAN720929 QKJ720926:QKJ720929 QUF720926:QUF720929 REB720926:REB720929 RNX720926:RNX720929 RXT720926:RXT720929 SHP720926:SHP720929 SRL720926:SRL720929 TBH720926:TBH720929 TLD720926:TLD720929 TUZ720926:TUZ720929 UEV720926:UEV720929 UOR720926:UOR720929 UYN720926:UYN720929 VIJ720926:VIJ720929 VSF720926:VSF720929 WCB720926:WCB720929 WLX720926:WLX720929 WVT720926:WVT720929 L786462:L786465 JH786462:JH786465 TD786462:TD786465 ACZ786462:ACZ786465 AMV786462:AMV786465 AWR786462:AWR786465 BGN786462:BGN786465 BQJ786462:BQJ786465 CAF786462:CAF786465 CKB786462:CKB786465 CTX786462:CTX786465 DDT786462:DDT786465 DNP786462:DNP786465 DXL786462:DXL786465 EHH786462:EHH786465 ERD786462:ERD786465 FAZ786462:FAZ786465 FKV786462:FKV786465 FUR786462:FUR786465 GEN786462:GEN786465 GOJ786462:GOJ786465 GYF786462:GYF786465 HIB786462:HIB786465 HRX786462:HRX786465 IBT786462:IBT786465 ILP786462:ILP786465 IVL786462:IVL786465 JFH786462:JFH786465 JPD786462:JPD786465 JYZ786462:JYZ786465 KIV786462:KIV786465 KSR786462:KSR786465 LCN786462:LCN786465 LMJ786462:LMJ786465 LWF786462:LWF786465 MGB786462:MGB786465 MPX786462:MPX786465 MZT786462:MZT786465 NJP786462:NJP786465 NTL786462:NTL786465 ODH786462:ODH786465 OND786462:OND786465 OWZ786462:OWZ786465 PGV786462:PGV786465 PQR786462:PQR786465 QAN786462:QAN786465 QKJ786462:QKJ786465 QUF786462:QUF786465 REB786462:REB786465 RNX786462:RNX786465 RXT786462:RXT786465 SHP786462:SHP786465 SRL786462:SRL786465 TBH786462:TBH786465 TLD786462:TLD786465 TUZ786462:TUZ786465 UEV786462:UEV786465 UOR786462:UOR786465 UYN786462:UYN786465 VIJ786462:VIJ786465 VSF786462:VSF786465 WCB786462:WCB786465 WLX786462:WLX786465 WVT786462:WVT786465 L851998:L852001 JH851998:JH852001 TD851998:TD852001 ACZ851998:ACZ852001 AMV851998:AMV852001 AWR851998:AWR852001 BGN851998:BGN852001 BQJ851998:BQJ852001 CAF851998:CAF852001 CKB851998:CKB852001 CTX851998:CTX852001 DDT851998:DDT852001 DNP851998:DNP852001 DXL851998:DXL852001 EHH851998:EHH852001 ERD851998:ERD852001 FAZ851998:FAZ852001 FKV851998:FKV852001 FUR851998:FUR852001 GEN851998:GEN852001 GOJ851998:GOJ852001 GYF851998:GYF852001 HIB851998:HIB852001 HRX851998:HRX852001 IBT851998:IBT852001 ILP851998:ILP852001 IVL851998:IVL852001 JFH851998:JFH852001 JPD851998:JPD852001 JYZ851998:JYZ852001 KIV851998:KIV852001 KSR851998:KSR852001 LCN851998:LCN852001 LMJ851998:LMJ852001 LWF851998:LWF852001 MGB851998:MGB852001 MPX851998:MPX852001 MZT851998:MZT852001 NJP851998:NJP852001 NTL851998:NTL852001 ODH851998:ODH852001 OND851998:OND852001 OWZ851998:OWZ852001 PGV851998:PGV852001 PQR851998:PQR852001 QAN851998:QAN852001 QKJ851998:QKJ852001 QUF851998:QUF852001 REB851998:REB852001 RNX851998:RNX852001 RXT851998:RXT852001 SHP851998:SHP852001 SRL851998:SRL852001 TBH851998:TBH852001 TLD851998:TLD852001 TUZ851998:TUZ852001 UEV851998:UEV852001 UOR851998:UOR852001 UYN851998:UYN852001 VIJ851998:VIJ852001 VSF851998:VSF852001 WCB851998:WCB852001 WLX851998:WLX852001 WVT851998:WVT852001 L917534:L917537 JH917534:JH917537 TD917534:TD917537 ACZ917534:ACZ917537 AMV917534:AMV917537 AWR917534:AWR917537 BGN917534:BGN917537 BQJ917534:BQJ917537 CAF917534:CAF917537 CKB917534:CKB917537 CTX917534:CTX917537 DDT917534:DDT917537 DNP917534:DNP917537 DXL917534:DXL917537 EHH917534:EHH917537 ERD917534:ERD917537 FAZ917534:FAZ917537 FKV917534:FKV917537 FUR917534:FUR917537 GEN917534:GEN917537 GOJ917534:GOJ917537 GYF917534:GYF917537 HIB917534:HIB917537 HRX917534:HRX917537 IBT917534:IBT917537 ILP917534:ILP917537 IVL917534:IVL917537 JFH917534:JFH917537 JPD917534:JPD917537 JYZ917534:JYZ917537 KIV917534:KIV917537 KSR917534:KSR917537 LCN917534:LCN917537 LMJ917534:LMJ917537 LWF917534:LWF917537 MGB917534:MGB917537 MPX917534:MPX917537 MZT917534:MZT917537 NJP917534:NJP917537 NTL917534:NTL917537 ODH917534:ODH917537 OND917534:OND917537 OWZ917534:OWZ917537 PGV917534:PGV917537 PQR917534:PQR917537 QAN917534:QAN917537 QKJ917534:QKJ917537 QUF917534:QUF917537 REB917534:REB917537 RNX917534:RNX917537 RXT917534:RXT917537 SHP917534:SHP917537 SRL917534:SRL917537 TBH917534:TBH917537 TLD917534:TLD917537 TUZ917534:TUZ917537 UEV917534:UEV917537 UOR917534:UOR917537 UYN917534:UYN917537 VIJ917534:VIJ917537 VSF917534:VSF917537 WCB917534:WCB917537 WLX917534:WLX917537 WVT917534:WVT917537 L983070:L983073 JH983070:JH983073 TD983070:TD983073 ACZ983070:ACZ983073 AMV983070:AMV983073 AWR983070:AWR983073 BGN983070:BGN983073 BQJ983070:BQJ983073 CAF983070:CAF983073 CKB983070:CKB983073 CTX983070:CTX983073 DDT983070:DDT983073 DNP983070:DNP983073 DXL983070:DXL983073 EHH983070:EHH983073 ERD983070:ERD983073 FAZ983070:FAZ983073 FKV983070:FKV983073 FUR983070:FUR983073 GEN983070:GEN983073 GOJ983070:GOJ983073 GYF983070:GYF983073 HIB983070:HIB983073 HRX983070:HRX983073 IBT983070:IBT983073 ILP983070:ILP983073 IVL983070:IVL983073 JFH983070:JFH983073 JPD983070:JPD983073 JYZ983070:JYZ983073 KIV983070:KIV983073 KSR983070:KSR983073 LCN983070:LCN983073 LMJ983070:LMJ983073 LWF983070:LWF983073 MGB983070:MGB983073 MPX983070:MPX983073 MZT983070:MZT983073 NJP983070:NJP983073 NTL983070:NTL983073 ODH983070:ODH983073 OND983070:OND983073 OWZ983070:OWZ983073 PGV983070:PGV983073 PQR983070:PQR983073 QAN983070:QAN983073 QKJ983070:QKJ983073 QUF983070:QUF983073 REB983070:REB983073 RNX983070:RNX983073 RXT983070:RXT983073 SHP983070:SHP983073 SRL983070:SRL983073 TBH983070:TBH983073 TLD983070:TLD983073 TUZ983070:TUZ983073 UEV983070:UEV983073 UOR983070:UOR983073 UYN983070:UYN983073 VIJ983070:VIJ983073 VSF983070:VSF983073 WCB983070:WCB983073 WLX983070:WLX983073 WVT983070:WVT983073">
      <formula1>"Yes,No,NA"</formula1>
    </dataValidation>
    <dataValidation type="list" allowBlank="1" showInputMessage="1" showErrorMessage="1" sqref="K30:K33 JG30:JG33 TC30:TC33 ACY30:ACY33 AMU30:AMU33 AWQ30:AWQ33 BGM30:BGM33 BQI30:BQI33 CAE30:CAE33 CKA30:CKA33 CTW30:CTW33 DDS30:DDS33 DNO30:DNO33 DXK30:DXK33 EHG30:EHG33 ERC30:ERC33 FAY30:FAY33 FKU30:FKU33 FUQ30:FUQ33 GEM30:GEM33 GOI30:GOI33 GYE30:GYE33 HIA30:HIA33 HRW30:HRW33 IBS30:IBS33 ILO30:ILO33 IVK30:IVK33 JFG30:JFG33 JPC30:JPC33 JYY30:JYY33 KIU30:KIU33 KSQ30:KSQ33 LCM30:LCM33 LMI30:LMI33 LWE30:LWE33 MGA30:MGA33 MPW30:MPW33 MZS30:MZS33 NJO30:NJO33 NTK30:NTK33 ODG30:ODG33 ONC30:ONC33 OWY30:OWY33 PGU30:PGU33 PQQ30:PQQ33 QAM30:QAM33 QKI30:QKI33 QUE30:QUE33 REA30:REA33 RNW30:RNW33 RXS30:RXS33 SHO30:SHO33 SRK30:SRK33 TBG30:TBG33 TLC30:TLC33 TUY30:TUY33 UEU30:UEU33 UOQ30:UOQ33 UYM30:UYM33 VII30:VII33 VSE30:VSE33 WCA30:WCA33 WLW30:WLW33 WVS30:WVS33 K65566:K65569 JG65566:JG65569 TC65566:TC65569 ACY65566:ACY65569 AMU65566:AMU65569 AWQ65566:AWQ65569 BGM65566:BGM65569 BQI65566:BQI65569 CAE65566:CAE65569 CKA65566:CKA65569 CTW65566:CTW65569 DDS65566:DDS65569 DNO65566:DNO65569 DXK65566:DXK65569 EHG65566:EHG65569 ERC65566:ERC65569 FAY65566:FAY65569 FKU65566:FKU65569 FUQ65566:FUQ65569 GEM65566:GEM65569 GOI65566:GOI65569 GYE65566:GYE65569 HIA65566:HIA65569 HRW65566:HRW65569 IBS65566:IBS65569 ILO65566:ILO65569 IVK65566:IVK65569 JFG65566:JFG65569 JPC65566:JPC65569 JYY65566:JYY65569 KIU65566:KIU65569 KSQ65566:KSQ65569 LCM65566:LCM65569 LMI65566:LMI65569 LWE65566:LWE65569 MGA65566:MGA65569 MPW65566:MPW65569 MZS65566:MZS65569 NJO65566:NJO65569 NTK65566:NTK65569 ODG65566:ODG65569 ONC65566:ONC65569 OWY65566:OWY65569 PGU65566:PGU65569 PQQ65566:PQQ65569 QAM65566:QAM65569 QKI65566:QKI65569 QUE65566:QUE65569 REA65566:REA65569 RNW65566:RNW65569 RXS65566:RXS65569 SHO65566:SHO65569 SRK65566:SRK65569 TBG65566:TBG65569 TLC65566:TLC65569 TUY65566:TUY65569 UEU65566:UEU65569 UOQ65566:UOQ65569 UYM65566:UYM65569 VII65566:VII65569 VSE65566:VSE65569 WCA65566:WCA65569 WLW65566:WLW65569 WVS65566:WVS65569 K131102:K131105 JG131102:JG131105 TC131102:TC131105 ACY131102:ACY131105 AMU131102:AMU131105 AWQ131102:AWQ131105 BGM131102:BGM131105 BQI131102:BQI131105 CAE131102:CAE131105 CKA131102:CKA131105 CTW131102:CTW131105 DDS131102:DDS131105 DNO131102:DNO131105 DXK131102:DXK131105 EHG131102:EHG131105 ERC131102:ERC131105 FAY131102:FAY131105 FKU131102:FKU131105 FUQ131102:FUQ131105 GEM131102:GEM131105 GOI131102:GOI131105 GYE131102:GYE131105 HIA131102:HIA131105 HRW131102:HRW131105 IBS131102:IBS131105 ILO131102:ILO131105 IVK131102:IVK131105 JFG131102:JFG131105 JPC131102:JPC131105 JYY131102:JYY131105 KIU131102:KIU131105 KSQ131102:KSQ131105 LCM131102:LCM131105 LMI131102:LMI131105 LWE131102:LWE131105 MGA131102:MGA131105 MPW131102:MPW131105 MZS131102:MZS131105 NJO131102:NJO131105 NTK131102:NTK131105 ODG131102:ODG131105 ONC131102:ONC131105 OWY131102:OWY131105 PGU131102:PGU131105 PQQ131102:PQQ131105 QAM131102:QAM131105 QKI131102:QKI131105 QUE131102:QUE131105 REA131102:REA131105 RNW131102:RNW131105 RXS131102:RXS131105 SHO131102:SHO131105 SRK131102:SRK131105 TBG131102:TBG131105 TLC131102:TLC131105 TUY131102:TUY131105 UEU131102:UEU131105 UOQ131102:UOQ131105 UYM131102:UYM131105 VII131102:VII131105 VSE131102:VSE131105 WCA131102:WCA131105 WLW131102:WLW131105 WVS131102:WVS131105 K196638:K196641 JG196638:JG196641 TC196638:TC196641 ACY196638:ACY196641 AMU196638:AMU196641 AWQ196638:AWQ196641 BGM196638:BGM196641 BQI196638:BQI196641 CAE196638:CAE196641 CKA196638:CKA196641 CTW196638:CTW196641 DDS196638:DDS196641 DNO196638:DNO196641 DXK196638:DXK196641 EHG196638:EHG196641 ERC196638:ERC196641 FAY196638:FAY196641 FKU196638:FKU196641 FUQ196638:FUQ196641 GEM196638:GEM196641 GOI196638:GOI196641 GYE196638:GYE196641 HIA196638:HIA196641 HRW196638:HRW196641 IBS196638:IBS196641 ILO196638:ILO196641 IVK196638:IVK196641 JFG196638:JFG196641 JPC196638:JPC196641 JYY196638:JYY196641 KIU196638:KIU196641 KSQ196638:KSQ196641 LCM196638:LCM196641 LMI196638:LMI196641 LWE196638:LWE196641 MGA196638:MGA196641 MPW196638:MPW196641 MZS196638:MZS196641 NJO196638:NJO196641 NTK196638:NTK196641 ODG196638:ODG196641 ONC196638:ONC196641 OWY196638:OWY196641 PGU196638:PGU196641 PQQ196638:PQQ196641 QAM196638:QAM196641 QKI196638:QKI196641 QUE196638:QUE196641 REA196638:REA196641 RNW196638:RNW196641 RXS196638:RXS196641 SHO196638:SHO196641 SRK196638:SRK196641 TBG196638:TBG196641 TLC196638:TLC196641 TUY196638:TUY196641 UEU196638:UEU196641 UOQ196638:UOQ196641 UYM196638:UYM196641 VII196638:VII196641 VSE196638:VSE196641 WCA196638:WCA196641 WLW196638:WLW196641 WVS196638:WVS196641 K262174:K262177 JG262174:JG262177 TC262174:TC262177 ACY262174:ACY262177 AMU262174:AMU262177 AWQ262174:AWQ262177 BGM262174:BGM262177 BQI262174:BQI262177 CAE262174:CAE262177 CKA262174:CKA262177 CTW262174:CTW262177 DDS262174:DDS262177 DNO262174:DNO262177 DXK262174:DXK262177 EHG262174:EHG262177 ERC262174:ERC262177 FAY262174:FAY262177 FKU262174:FKU262177 FUQ262174:FUQ262177 GEM262174:GEM262177 GOI262174:GOI262177 GYE262174:GYE262177 HIA262174:HIA262177 HRW262174:HRW262177 IBS262174:IBS262177 ILO262174:ILO262177 IVK262174:IVK262177 JFG262174:JFG262177 JPC262174:JPC262177 JYY262174:JYY262177 KIU262174:KIU262177 KSQ262174:KSQ262177 LCM262174:LCM262177 LMI262174:LMI262177 LWE262174:LWE262177 MGA262174:MGA262177 MPW262174:MPW262177 MZS262174:MZS262177 NJO262174:NJO262177 NTK262174:NTK262177 ODG262174:ODG262177 ONC262174:ONC262177 OWY262174:OWY262177 PGU262174:PGU262177 PQQ262174:PQQ262177 QAM262174:QAM262177 QKI262174:QKI262177 QUE262174:QUE262177 REA262174:REA262177 RNW262174:RNW262177 RXS262174:RXS262177 SHO262174:SHO262177 SRK262174:SRK262177 TBG262174:TBG262177 TLC262174:TLC262177 TUY262174:TUY262177 UEU262174:UEU262177 UOQ262174:UOQ262177 UYM262174:UYM262177 VII262174:VII262177 VSE262174:VSE262177 WCA262174:WCA262177 WLW262174:WLW262177 WVS262174:WVS262177 K327710:K327713 JG327710:JG327713 TC327710:TC327713 ACY327710:ACY327713 AMU327710:AMU327713 AWQ327710:AWQ327713 BGM327710:BGM327713 BQI327710:BQI327713 CAE327710:CAE327713 CKA327710:CKA327713 CTW327710:CTW327713 DDS327710:DDS327713 DNO327710:DNO327713 DXK327710:DXK327713 EHG327710:EHG327713 ERC327710:ERC327713 FAY327710:FAY327713 FKU327710:FKU327713 FUQ327710:FUQ327713 GEM327710:GEM327713 GOI327710:GOI327713 GYE327710:GYE327713 HIA327710:HIA327713 HRW327710:HRW327713 IBS327710:IBS327713 ILO327710:ILO327713 IVK327710:IVK327713 JFG327710:JFG327713 JPC327710:JPC327713 JYY327710:JYY327713 KIU327710:KIU327713 KSQ327710:KSQ327713 LCM327710:LCM327713 LMI327710:LMI327713 LWE327710:LWE327713 MGA327710:MGA327713 MPW327710:MPW327713 MZS327710:MZS327713 NJO327710:NJO327713 NTK327710:NTK327713 ODG327710:ODG327713 ONC327710:ONC327713 OWY327710:OWY327713 PGU327710:PGU327713 PQQ327710:PQQ327713 QAM327710:QAM327713 QKI327710:QKI327713 QUE327710:QUE327713 REA327710:REA327713 RNW327710:RNW327713 RXS327710:RXS327713 SHO327710:SHO327713 SRK327710:SRK327713 TBG327710:TBG327713 TLC327710:TLC327713 TUY327710:TUY327713 UEU327710:UEU327713 UOQ327710:UOQ327713 UYM327710:UYM327713 VII327710:VII327713 VSE327710:VSE327713 WCA327710:WCA327713 WLW327710:WLW327713 WVS327710:WVS327713 K393246:K393249 JG393246:JG393249 TC393246:TC393249 ACY393246:ACY393249 AMU393246:AMU393249 AWQ393246:AWQ393249 BGM393246:BGM393249 BQI393246:BQI393249 CAE393246:CAE393249 CKA393246:CKA393249 CTW393246:CTW393249 DDS393246:DDS393249 DNO393246:DNO393249 DXK393246:DXK393249 EHG393246:EHG393249 ERC393246:ERC393249 FAY393246:FAY393249 FKU393246:FKU393249 FUQ393246:FUQ393249 GEM393246:GEM393249 GOI393246:GOI393249 GYE393246:GYE393249 HIA393246:HIA393249 HRW393246:HRW393249 IBS393246:IBS393249 ILO393246:ILO393249 IVK393246:IVK393249 JFG393246:JFG393249 JPC393246:JPC393249 JYY393246:JYY393249 KIU393246:KIU393249 KSQ393246:KSQ393249 LCM393246:LCM393249 LMI393246:LMI393249 LWE393246:LWE393249 MGA393246:MGA393249 MPW393246:MPW393249 MZS393246:MZS393249 NJO393246:NJO393249 NTK393246:NTK393249 ODG393246:ODG393249 ONC393246:ONC393249 OWY393246:OWY393249 PGU393246:PGU393249 PQQ393246:PQQ393249 QAM393246:QAM393249 QKI393246:QKI393249 QUE393246:QUE393249 REA393246:REA393249 RNW393246:RNW393249 RXS393246:RXS393249 SHO393246:SHO393249 SRK393246:SRK393249 TBG393246:TBG393249 TLC393246:TLC393249 TUY393246:TUY393249 UEU393246:UEU393249 UOQ393246:UOQ393249 UYM393246:UYM393249 VII393246:VII393249 VSE393246:VSE393249 WCA393246:WCA393249 WLW393246:WLW393249 WVS393246:WVS393249 K458782:K458785 JG458782:JG458785 TC458782:TC458785 ACY458782:ACY458785 AMU458782:AMU458785 AWQ458782:AWQ458785 BGM458782:BGM458785 BQI458782:BQI458785 CAE458782:CAE458785 CKA458782:CKA458785 CTW458782:CTW458785 DDS458782:DDS458785 DNO458782:DNO458785 DXK458782:DXK458785 EHG458782:EHG458785 ERC458782:ERC458785 FAY458782:FAY458785 FKU458782:FKU458785 FUQ458782:FUQ458785 GEM458782:GEM458785 GOI458782:GOI458785 GYE458782:GYE458785 HIA458782:HIA458785 HRW458782:HRW458785 IBS458782:IBS458785 ILO458782:ILO458785 IVK458782:IVK458785 JFG458782:JFG458785 JPC458782:JPC458785 JYY458782:JYY458785 KIU458782:KIU458785 KSQ458782:KSQ458785 LCM458782:LCM458785 LMI458782:LMI458785 LWE458782:LWE458785 MGA458782:MGA458785 MPW458782:MPW458785 MZS458782:MZS458785 NJO458782:NJO458785 NTK458782:NTK458785 ODG458782:ODG458785 ONC458782:ONC458785 OWY458782:OWY458785 PGU458782:PGU458785 PQQ458782:PQQ458785 QAM458782:QAM458785 QKI458782:QKI458785 QUE458782:QUE458785 REA458782:REA458785 RNW458782:RNW458785 RXS458782:RXS458785 SHO458782:SHO458785 SRK458782:SRK458785 TBG458782:TBG458785 TLC458782:TLC458785 TUY458782:TUY458785 UEU458782:UEU458785 UOQ458782:UOQ458785 UYM458782:UYM458785 VII458782:VII458785 VSE458782:VSE458785 WCA458782:WCA458785 WLW458782:WLW458785 WVS458782:WVS458785 K524318:K524321 JG524318:JG524321 TC524318:TC524321 ACY524318:ACY524321 AMU524318:AMU524321 AWQ524318:AWQ524321 BGM524318:BGM524321 BQI524318:BQI524321 CAE524318:CAE524321 CKA524318:CKA524321 CTW524318:CTW524321 DDS524318:DDS524321 DNO524318:DNO524321 DXK524318:DXK524321 EHG524318:EHG524321 ERC524318:ERC524321 FAY524318:FAY524321 FKU524318:FKU524321 FUQ524318:FUQ524321 GEM524318:GEM524321 GOI524318:GOI524321 GYE524318:GYE524321 HIA524318:HIA524321 HRW524318:HRW524321 IBS524318:IBS524321 ILO524318:ILO524321 IVK524318:IVK524321 JFG524318:JFG524321 JPC524318:JPC524321 JYY524318:JYY524321 KIU524318:KIU524321 KSQ524318:KSQ524321 LCM524318:LCM524321 LMI524318:LMI524321 LWE524318:LWE524321 MGA524318:MGA524321 MPW524318:MPW524321 MZS524318:MZS524321 NJO524318:NJO524321 NTK524318:NTK524321 ODG524318:ODG524321 ONC524318:ONC524321 OWY524318:OWY524321 PGU524318:PGU524321 PQQ524318:PQQ524321 QAM524318:QAM524321 QKI524318:QKI524321 QUE524318:QUE524321 REA524318:REA524321 RNW524318:RNW524321 RXS524318:RXS524321 SHO524318:SHO524321 SRK524318:SRK524321 TBG524318:TBG524321 TLC524318:TLC524321 TUY524318:TUY524321 UEU524318:UEU524321 UOQ524318:UOQ524321 UYM524318:UYM524321 VII524318:VII524321 VSE524318:VSE524321 WCA524318:WCA524321 WLW524318:WLW524321 WVS524318:WVS524321 K589854:K589857 JG589854:JG589857 TC589854:TC589857 ACY589854:ACY589857 AMU589854:AMU589857 AWQ589854:AWQ589857 BGM589854:BGM589857 BQI589854:BQI589857 CAE589854:CAE589857 CKA589854:CKA589857 CTW589854:CTW589857 DDS589854:DDS589857 DNO589854:DNO589857 DXK589854:DXK589857 EHG589854:EHG589857 ERC589854:ERC589857 FAY589854:FAY589857 FKU589854:FKU589857 FUQ589854:FUQ589857 GEM589854:GEM589857 GOI589854:GOI589857 GYE589854:GYE589857 HIA589854:HIA589857 HRW589854:HRW589857 IBS589854:IBS589857 ILO589854:ILO589857 IVK589854:IVK589857 JFG589854:JFG589857 JPC589854:JPC589857 JYY589854:JYY589857 KIU589854:KIU589857 KSQ589854:KSQ589857 LCM589854:LCM589857 LMI589854:LMI589857 LWE589854:LWE589857 MGA589854:MGA589857 MPW589854:MPW589857 MZS589854:MZS589857 NJO589854:NJO589857 NTK589854:NTK589857 ODG589854:ODG589857 ONC589854:ONC589857 OWY589854:OWY589857 PGU589854:PGU589857 PQQ589854:PQQ589857 QAM589854:QAM589857 QKI589854:QKI589857 QUE589854:QUE589857 REA589854:REA589857 RNW589854:RNW589857 RXS589854:RXS589857 SHO589854:SHO589857 SRK589854:SRK589857 TBG589854:TBG589857 TLC589854:TLC589857 TUY589854:TUY589857 UEU589854:UEU589857 UOQ589854:UOQ589857 UYM589854:UYM589857 VII589854:VII589857 VSE589854:VSE589857 WCA589854:WCA589857 WLW589854:WLW589857 WVS589854:WVS589857 K655390:K655393 JG655390:JG655393 TC655390:TC655393 ACY655390:ACY655393 AMU655390:AMU655393 AWQ655390:AWQ655393 BGM655390:BGM655393 BQI655390:BQI655393 CAE655390:CAE655393 CKA655390:CKA655393 CTW655390:CTW655393 DDS655390:DDS655393 DNO655390:DNO655393 DXK655390:DXK655393 EHG655390:EHG655393 ERC655390:ERC655393 FAY655390:FAY655393 FKU655390:FKU655393 FUQ655390:FUQ655393 GEM655390:GEM655393 GOI655390:GOI655393 GYE655390:GYE655393 HIA655390:HIA655393 HRW655390:HRW655393 IBS655390:IBS655393 ILO655390:ILO655393 IVK655390:IVK655393 JFG655390:JFG655393 JPC655390:JPC655393 JYY655390:JYY655393 KIU655390:KIU655393 KSQ655390:KSQ655393 LCM655390:LCM655393 LMI655390:LMI655393 LWE655390:LWE655393 MGA655390:MGA655393 MPW655390:MPW655393 MZS655390:MZS655393 NJO655390:NJO655393 NTK655390:NTK655393 ODG655390:ODG655393 ONC655390:ONC655393 OWY655390:OWY655393 PGU655390:PGU655393 PQQ655390:PQQ655393 QAM655390:QAM655393 QKI655390:QKI655393 QUE655390:QUE655393 REA655390:REA655393 RNW655390:RNW655393 RXS655390:RXS655393 SHO655390:SHO655393 SRK655390:SRK655393 TBG655390:TBG655393 TLC655390:TLC655393 TUY655390:TUY655393 UEU655390:UEU655393 UOQ655390:UOQ655393 UYM655390:UYM655393 VII655390:VII655393 VSE655390:VSE655393 WCA655390:WCA655393 WLW655390:WLW655393 WVS655390:WVS655393 K720926:K720929 JG720926:JG720929 TC720926:TC720929 ACY720926:ACY720929 AMU720926:AMU720929 AWQ720926:AWQ720929 BGM720926:BGM720929 BQI720926:BQI720929 CAE720926:CAE720929 CKA720926:CKA720929 CTW720926:CTW720929 DDS720926:DDS720929 DNO720926:DNO720929 DXK720926:DXK720929 EHG720926:EHG720929 ERC720926:ERC720929 FAY720926:FAY720929 FKU720926:FKU720929 FUQ720926:FUQ720929 GEM720926:GEM720929 GOI720926:GOI720929 GYE720926:GYE720929 HIA720926:HIA720929 HRW720926:HRW720929 IBS720926:IBS720929 ILO720926:ILO720929 IVK720926:IVK720929 JFG720926:JFG720929 JPC720926:JPC720929 JYY720926:JYY720929 KIU720926:KIU720929 KSQ720926:KSQ720929 LCM720926:LCM720929 LMI720926:LMI720929 LWE720926:LWE720929 MGA720926:MGA720929 MPW720926:MPW720929 MZS720926:MZS720929 NJO720926:NJO720929 NTK720926:NTK720929 ODG720926:ODG720929 ONC720926:ONC720929 OWY720926:OWY720929 PGU720926:PGU720929 PQQ720926:PQQ720929 QAM720926:QAM720929 QKI720926:QKI720929 QUE720926:QUE720929 REA720926:REA720929 RNW720926:RNW720929 RXS720926:RXS720929 SHO720926:SHO720929 SRK720926:SRK720929 TBG720926:TBG720929 TLC720926:TLC720929 TUY720926:TUY720929 UEU720926:UEU720929 UOQ720926:UOQ720929 UYM720926:UYM720929 VII720926:VII720929 VSE720926:VSE720929 WCA720926:WCA720929 WLW720926:WLW720929 WVS720926:WVS720929 K786462:K786465 JG786462:JG786465 TC786462:TC786465 ACY786462:ACY786465 AMU786462:AMU786465 AWQ786462:AWQ786465 BGM786462:BGM786465 BQI786462:BQI786465 CAE786462:CAE786465 CKA786462:CKA786465 CTW786462:CTW786465 DDS786462:DDS786465 DNO786462:DNO786465 DXK786462:DXK786465 EHG786462:EHG786465 ERC786462:ERC786465 FAY786462:FAY786465 FKU786462:FKU786465 FUQ786462:FUQ786465 GEM786462:GEM786465 GOI786462:GOI786465 GYE786462:GYE786465 HIA786462:HIA786465 HRW786462:HRW786465 IBS786462:IBS786465 ILO786462:ILO786465 IVK786462:IVK786465 JFG786462:JFG786465 JPC786462:JPC786465 JYY786462:JYY786465 KIU786462:KIU786465 KSQ786462:KSQ786465 LCM786462:LCM786465 LMI786462:LMI786465 LWE786462:LWE786465 MGA786462:MGA786465 MPW786462:MPW786465 MZS786462:MZS786465 NJO786462:NJO786465 NTK786462:NTK786465 ODG786462:ODG786465 ONC786462:ONC786465 OWY786462:OWY786465 PGU786462:PGU786465 PQQ786462:PQQ786465 QAM786462:QAM786465 QKI786462:QKI786465 QUE786462:QUE786465 REA786462:REA786465 RNW786462:RNW786465 RXS786462:RXS786465 SHO786462:SHO786465 SRK786462:SRK786465 TBG786462:TBG786465 TLC786462:TLC786465 TUY786462:TUY786465 UEU786462:UEU786465 UOQ786462:UOQ786465 UYM786462:UYM786465 VII786462:VII786465 VSE786462:VSE786465 WCA786462:WCA786465 WLW786462:WLW786465 WVS786462:WVS786465 K851998:K852001 JG851998:JG852001 TC851998:TC852001 ACY851998:ACY852001 AMU851998:AMU852001 AWQ851998:AWQ852001 BGM851998:BGM852001 BQI851998:BQI852001 CAE851998:CAE852001 CKA851998:CKA852001 CTW851998:CTW852001 DDS851998:DDS852001 DNO851998:DNO852001 DXK851998:DXK852001 EHG851998:EHG852001 ERC851998:ERC852001 FAY851998:FAY852001 FKU851998:FKU852001 FUQ851998:FUQ852001 GEM851998:GEM852001 GOI851998:GOI852001 GYE851998:GYE852001 HIA851998:HIA852001 HRW851998:HRW852001 IBS851998:IBS852001 ILO851998:ILO852001 IVK851998:IVK852001 JFG851998:JFG852001 JPC851998:JPC852001 JYY851998:JYY852001 KIU851998:KIU852001 KSQ851998:KSQ852001 LCM851998:LCM852001 LMI851998:LMI852001 LWE851998:LWE852001 MGA851998:MGA852001 MPW851998:MPW852001 MZS851998:MZS852001 NJO851998:NJO852001 NTK851998:NTK852001 ODG851998:ODG852001 ONC851998:ONC852001 OWY851998:OWY852001 PGU851998:PGU852001 PQQ851998:PQQ852001 QAM851998:QAM852001 QKI851998:QKI852001 QUE851998:QUE852001 REA851998:REA852001 RNW851998:RNW852001 RXS851998:RXS852001 SHO851998:SHO852001 SRK851998:SRK852001 TBG851998:TBG852001 TLC851998:TLC852001 TUY851998:TUY852001 UEU851998:UEU852001 UOQ851998:UOQ852001 UYM851998:UYM852001 VII851998:VII852001 VSE851998:VSE852001 WCA851998:WCA852001 WLW851998:WLW852001 WVS851998:WVS852001 K917534:K917537 JG917534:JG917537 TC917534:TC917537 ACY917534:ACY917537 AMU917534:AMU917537 AWQ917534:AWQ917537 BGM917534:BGM917537 BQI917534:BQI917537 CAE917534:CAE917537 CKA917534:CKA917537 CTW917534:CTW917537 DDS917534:DDS917537 DNO917534:DNO917537 DXK917534:DXK917537 EHG917534:EHG917537 ERC917534:ERC917537 FAY917534:FAY917537 FKU917534:FKU917537 FUQ917534:FUQ917537 GEM917534:GEM917537 GOI917534:GOI917537 GYE917534:GYE917537 HIA917534:HIA917537 HRW917534:HRW917537 IBS917534:IBS917537 ILO917534:ILO917537 IVK917534:IVK917537 JFG917534:JFG917537 JPC917534:JPC917537 JYY917534:JYY917537 KIU917534:KIU917537 KSQ917534:KSQ917537 LCM917534:LCM917537 LMI917534:LMI917537 LWE917534:LWE917537 MGA917534:MGA917537 MPW917534:MPW917537 MZS917534:MZS917537 NJO917534:NJO917537 NTK917534:NTK917537 ODG917534:ODG917537 ONC917534:ONC917537 OWY917534:OWY917537 PGU917534:PGU917537 PQQ917534:PQQ917537 QAM917534:QAM917537 QKI917534:QKI917537 QUE917534:QUE917537 REA917534:REA917537 RNW917534:RNW917537 RXS917534:RXS917537 SHO917534:SHO917537 SRK917534:SRK917537 TBG917534:TBG917537 TLC917534:TLC917537 TUY917534:TUY917537 UEU917534:UEU917537 UOQ917534:UOQ917537 UYM917534:UYM917537 VII917534:VII917537 VSE917534:VSE917537 WCA917534:WCA917537 WLW917534:WLW917537 WVS917534:WVS917537 K983070:K983073 JG983070:JG983073 TC983070:TC983073 ACY983070:ACY983073 AMU983070:AMU983073 AWQ983070:AWQ983073 BGM983070:BGM983073 BQI983070:BQI983073 CAE983070:CAE983073 CKA983070:CKA983073 CTW983070:CTW983073 DDS983070:DDS983073 DNO983070:DNO983073 DXK983070:DXK983073 EHG983070:EHG983073 ERC983070:ERC983073 FAY983070:FAY983073 FKU983070:FKU983073 FUQ983070:FUQ983073 GEM983070:GEM983073 GOI983070:GOI983073 GYE983070:GYE983073 HIA983070:HIA983073 HRW983070:HRW983073 IBS983070:IBS983073 ILO983070:ILO983073 IVK983070:IVK983073 JFG983070:JFG983073 JPC983070:JPC983073 JYY983070:JYY983073 KIU983070:KIU983073 KSQ983070:KSQ983073 LCM983070:LCM983073 LMI983070:LMI983073 LWE983070:LWE983073 MGA983070:MGA983073 MPW983070:MPW983073 MZS983070:MZS983073 NJO983070:NJO983073 NTK983070:NTK983073 ODG983070:ODG983073 ONC983070:ONC983073 OWY983070:OWY983073 PGU983070:PGU983073 PQQ983070:PQQ983073 QAM983070:QAM983073 QKI983070:QKI983073 QUE983070:QUE983073 REA983070:REA983073 RNW983070:RNW983073 RXS983070:RXS983073 SHO983070:SHO983073 SRK983070:SRK983073 TBG983070:TBG983073 TLC983070:TLC983073 TUY983070:TUY983073 UEU983070:UEU983073 UOQ983070:UOQ983073 UYM983070:UYM983073 VII983070:VII983073 VSE983070:VSE983073 WCA983070:WCA983073 WLW983070:WLW983073 WVS983070:WVS983073">
      <formula1>$T$59:$T$62</formula1>
    </dataValidation>
  </dataValidations>
  <hyperlinks>
    <hyperlink ref="A1" location="'Table Of Contents'!A1" display="TOC"/>
  </hyperlinks>
  <pageMargins left="0.75" right="0.75" top="1" bottom="1" header="0.5" footer="0.5"/>
  <pageSetup scale="48" fitToHeight="0" orientation="portrait" r:id="rId1"/>
  <headerFooter alignWithMargins="0">
    <oddFooter>Page &amp;P of &amp;N</oddFooter>
  </headerFooter>
  <colBreaks count="1" manualBreakCount="1">
    <brk id="14" max="31" man="1"/>
  </colBreaks>
  <drawing r:id="rId2"/>
  <legacyDrawingHF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CCFF"/>
  </sheetPr>
  <dimension ref="B2:Q129"/>
  <sheetViews>
    <sheetView showGridLines="0" zoomScaleNormal="100" zoomScaleSheetLayoutView="100" workbookViewId="0">
      <selection activeCell="B3" sqref="B3:B4"/>
    </sheetView>
  </sheetViews>
  <sheetFormatPr defaultRowHeight="15"/>
  <cols>
    <col min="1" max="1" width="9.140625" style="1089"/>
    <col min="2" max="2" width="32.42578125" style="790" customWidth="1"/>
    <col min="3" max="4" width="37.28515625" style="790" customWidth="1"/>
    <col min="5" max="5" width="12.7109375" style="790" hidden="1" customWidth="1"/>
    <col min="6" max="8" width="25.42578125" style="790" hidden="1" customWidth="1"/>
    <col min="9" max="17" width="25.42578125" style="790" customWidth="1"/>
    <col min="18" max="257" width="9.140625" style="1089"/>
    <col min="258" max="258" width="32.42578125" style="1089" customWidth="1"/>
    <col min="259" max="260" width="37.28515625" style="1089" customWidth="1"/>
    <col min="261" max="264" width="0" style="1089" hidden="1" customWidth="1"/>
    <col min="265" max="273" width="25.42578125" style="1089" customWidth="1"/>
    <col min="274" max="513" width="9.140625" style="1089"/>
    <col min="514" max="514" width="32.42578125" style="1089" customWidth="1"/>
    <col min="515" max="516" width="37.28515625" style="1089" customWidth="1"/>
    <col min="517" max="520" width="0" style="1089" hidden="1" customWidth="1"/>
    <col min="521" max="529" width="25.42578125" style="1089" customWidth="1"/>
    <col min="530" max="769" width="9.140625" style="1089"/>
    <col min="770" max="770" width="32.42578125" style="1089" customWidth="1"/>
    <col min="771" max="772" width="37.28515625" style="1089" customWidth="1"/>
    <col min="773" max="776" width="0" style="1089" hidden="1" customWidth="1"/>
    <col min="777" max="785" width="25.42578125" style="1089" customWidth="1"/>
    <col min="786" max="1025" width="9.140625" style="1089"/>
    <col min="1026" max="1026" width="32.42578125" style="1089" customWidth="1"/>
    <col min="1027" max="1028" width="37.28515625" style="1089" customWidth="1"/>
    <col min="1029" max="1032" width="0" style="1089" hidden="1" customWidth="1"/>
    <col min="1033" max="1041" width="25.42578125" style="1089" customWidth="1"/>
    <col min="1042" max="1281" width="9.140625" style="1089"/>
    <col min="1282" max="1282" width="32.42578125" style="1089" customWidth="1"/>
    <col min="1283" max="1284" width="37.28515625" style="1089" customWidth="1"/>
    <col min="1285" max="1288" width="0" style="1089" hidden="1" customWidth="1"/>
    <col min="1289" max="1297" width="25.42578125" style="1089" customWidth="1"/>
    <col min="1298" max="1537" width="9.140625" style="1089"/>
    <col min="1538" max="1538" width="32.42578125" style="1089" customWidth="1"/>
    <col min="1539" max="1540" width="37.28515625" style="1089" customWidth="1"/>
    <col min="1541" max="1544" width="0" style="1089" hidden="1" customWidth="1"/>
    <col min="1545" max="1553" width="25.42578125" style="1089" customWidth="1"/>
    <col min="1554" max="1793" width="9.140625" style="1089"/>
    <col min="1794" max="1794" width="32.42578125" style="1089" customWidth="1"/>
    <col min="1795" max="1796" width="37.28515625" style="1089" customWidth="1"/>
    <col min="1797" max="1800" width="0" style="1089" hidden="1" customWidth="1"/>
    <col min="1801" max="1809" width="25.42578125" style="1089" customWidth="1"/>
    <col min="1810" max="2049" width="9.140625" style="1089"/>
    <col min="2050" max="2050" width="32.42578125" style="1089" customWidth="1"/>
    <col min="2051" max="2052" width="37.28515625" style="1089" customWidth="1"/>
    <col min="2053" max="2056" width="0" style="1089" hidden="1" customWidth="1"/>
    <col min="2057" max="2065" width="25.42578125" style="1089" customWidth="1"/>
    <col min="2066" max="2305" width="9.140625" style="1089"/>
    <col min="2306" max="2306" width="32.42578125" style="1089" customWidth="1"/>
    <col min="2307" max="2308" width="37.28515625" style="1089" customWidth="1"/>
    <col min="2309" max="2312" width="0" style="1089" hidden="1" customWidth="1"/>
    <col min="2313" max="2321" width="25.42578125" style="1089" customWidth="1"/>
    <col min="2322" max="2561" width="9.140625" style="1089"/>
    <col min="2562" max="2562" width="32.42578125" style="1089" customWidth="1"/>
    <col min="2563" max="2564" width="37.28515625" style="1089" customWidth="1"/>
    <col min="2565" max="2568" width="0" style="1089" hidden="1" customWidth="1"/>
    <col min="2569" max="2577" width="25.42578125" style="1089" customWidth="1"/>
    <col min="2578" max="2817" width="9.140625" style="1089"/>
    <col min="2818" max="2818" width="32.42578125" style="1089" customWidth="1"/>
    <col min="2819" max="2820" width="37.28515625" style="1089" customWidth="1"/>
    <col min="2821" max="2824" width="0" style="1089" hidden="1" customWidth="1"/>
    <col min="2825" max="2833" width="25.42578125" style="1089" customWidth="1"/>
    <col min="2834" max="3073" width="9.140625" style="1089"/>
    <col min="3074" max="3074" width="32.42578125" style="1089" customWidth="1"/>
    <col min="3075" max="3076" width="37.28515625" style="1089" customWidth="1"/>
    <col min="3077" max="3080" width="0" style="1089" hidden="1" customWidth="1"/>
    <col min="3081" max="3089" width="25.42578125" style="1089" customWidth="1"/>
    <col min="3090" max="3329" width="9.140625" style="1089"/>
    <col min="3330" max="3330" width="32.42578125" style="1089" customWidth="1"/>
    <col min="3331" max="3332" width="37.28515625" style="1089" customWidth="1"/>
    <col min="3333" max="3336" width="0" style="1089" hidden="1" customWidth="1"/>
    <col min="3337" max="3345" width="25.42578125" style="1089" customWidth="1"/>
    <col min="3346" max="3585" width="9.140625" style="1089"/>
    <col min="3586" max="3586" width="32.42578125" style="1089" customWidth="1"/>
    <col min="3587" max="3588" width="37.28515625" style="1089" customWidth="1"/>
    <col min="3589" max="3592" width="0" style="1089" hidden="1" customWidth="1"/>
    <col min="3593" max="3601" width="25.42578125" style="1089" customWidth="1"/>
    <col min="3602" max="3841" width="9.140625" style="1089"/>
    <col min="3842" max="3842" width="32.42578125" style="1089" customWidth="1"/>
    <col min="3843" max="3844" width="37.28515625" style="1089" customWidth="1"/>
    <col min="3845" max="3848" width="0" style="1089" hidden="1" customWidth="1"/>
    <col min="3849" max="3857" width="25.42578125" style="1089" customWidth="1"/>
    <col min="3858" max="4097" width="9.140625" style="1089"/>
    <col min="4098" max="4098" width="32.42578125" style="1089" customWidth="1"/>
    <col min="4099" max="4100" width="37.28515625" style="1089" customWidth="1"/>
    <col min="4101" max="4104" width="0" style="1089" hidden="1" customWidth="1"/>
    <col min="4105" max="4113" width="25.42578125" style="1089" customWidth="1"/>
    <col min="4114" max="4353" width="9.140625" style="1089"/>
    <col min="4354" max="4354" width="32.42578125" style="1089" customWidth="1"/>
    <col min="4355" max="4356" width="37.28515625" style="1089" customWidth="1"/>
    <col min="4357" max="4360" width="0" style="1089" hidden="1" customWidth="1"/>
    <col min="4361" max="4369" width="25.42578125" style="1089" customWidth="1"/>
    <col min="4370" max="4609" width="9.140625" style="1089"/>
    <col min="4610" max="4610" width="32.42578125" style="1089" customWidth="1"/>
    <col min="4611" max="4612" width="37.28515625" style="1089" customWidth="1"/>
    <col min="4613" max="4616" width="0" style="1089" hidden="1" customWidth="1"/>
    <col min="4617" max="4625" width="25.42578125" style="1089" customWidth="1"/>
    <col min="4626" max="4865" width="9.140625" style="1089"/>
    <col min="4866" max="4866" width="32.42578125" style="1089" customWidth="1"/>
    <col min="4867" max="4868" width="37.28515625" style="1089" customWidth="1"/>
    <col min="4869" max="4872" width="0" style="1089" hidden="1" customWidth="1"/>
    <col min="4873" max="4881" width="25.42578125" style="1089" customWidth="1"/>
    <col min="4882" max="5121" width="9.140625" style="1089"/>
    <col min="5122" max="5122" width="32.42578125" style="1089" customWidth="1"/>
    <col min="5123" max="5124" width="37.28515625" style="1089" customWidth="1"/>
    <col min="5125" max="5128" width="0" style="1089" hidden="1" customWidth="1"/>
    <col min="5129" max="5137" width="25.42578125" style="1089" customWidth="1"/>
    <col min="5138" max="5377" width="9.140625" style="1089"/>
    <col min="5378" max="5378" width="32.42578125" style="1089" customWidth="1"/>
    <col min="5379" max="5380" width="37.28515625" style="1089" customWidth="1"/>
    <col min="5381" max="5384" width="0" style="1089" hidden="1" customWidth="1"/>
    <col min="5385" max="5393" width="25.42578125" style="1089" customWidth="1"/>
    <col min="5394" max="5633" width="9.140625" style="1089"/>
    <col min="5634" max="5634" width="32.42578125" style="1089" customWidth="1"/>
    <col min="5635" max="5636" width="37.28515625" style="1089" customWidth="1"/>
    <col min="5637" max="5640" width="0" style="1089" hidden="1" customWidth="1"/>
    <col min="5641" max="5649" width="25.42578125" style="1089" customWidth="1"/>
    <col min="5650" max="5889" width="9.140625" style="1089"/>
    <col min="5890" max="5890" width="32.42578125" style="1089" customWidth="1"/>
    <col min="5891" max="5892" width="37.28515625" style="1089" customWidth="1"/>
    <col min="5893" max="5896" width="0" style="1089" hidden="1" customWidth="1"/>
    <col min="5897" max="5905" width="25.42578125" style="1089" customWidth="1"/>
    <col min="5906" max="6145" width="9.140625" style="1089"/>
    <col min="6146" max="6146" width="32.42578125" style="1089" customWidth="1"/>
    <col min="6147" max="6148" width="37.28515625" style="1089" customWidth="1"/>
    <col min="6149" max="6152" width="0" style="1089" hidden="1" customWidth="1"/>
    <col min="6153" max="6161" width="25.42578125" style="1089" customWidth="1"/>
    <col min="6162" max="6401" width="9.140625" style="1089"/>
    <col min="6402" max="6402" width="32.42578125" style="1089" customWidth="1"/>
    <col min="6403" max="6404" width="37.28515625" style="1089" customWidth="1"/>
    <col min="6405" max="6408" width="0" style="1089" hidden="1" customWidth="1"/>
    <col min="6409" max="6417" width="25.42578125" style="1089" customWidth="1"/>
    <col min="6418" max="6657" width="9.140625" style="1089"/>
    <col min="6658" max="6658" width="32.42578125" style="1089" customWidth="1"/>
    <col min="6659" max="6660" width="37.28515625" style="1089" customWidth="1"/>
    <col min="6661" max="6664" width="0" style="1089" hidden="1" customWidth="1"/>
    <col min="6665" max="6673" width="25.42578125" style="1089" customWidth="1"/>
    <col min="6674" max="6913" width="9.140625" style="1089"/>
    <col min="6914" max="6914" width="32.42578125" style="1089" customWidth="1"/>
    <col min="6915" max="6916" width="37.28515625" style="1089" customWidth="1"/>
    <col min="6917" max="6920" width="0" style="1089" hidden="1" customWidth="1"/>
    <col min="6921" max="6929" width="25.42578125" style="1089" customWidth="1"/>
    <col min="6930" max="7169" width="9.140625" style="1089"/>
    <col min="7170" max="7170" width="32.42578125" style="1089" customWidth="1"/>
    <col min="7171" max="7172" width="37.28515625" style="1089" customWidth="1"/>
    <col min="7173" max="7176" width="0" style="1089" hidden="1" customWidth="1"/>
    <col min="7177" max="7185" width="25.42578125" style="1089" customWidth="1"/>
    <col min="7186" max="7425" width="9.140625" style="1089"/>
    <col min="7426" max="7426" width="32.42578125" style="1089" customWidth="1"/>
    <col min="7427" max="7428" width="37.28515625" style="1089" customWidth="1"/>
    <col min="7429" max="7432" width="0" style="1089" hidden="1" customWidth="1"/>
    <col min="7433" max="7441" width="25.42578125" style="1089" customWidth="1"/>
    <col min="7442" max="7681" width="9.140625" style="1089"/>
    <col min="7682" max="7682" width="32.42578125" style="1089" customWidth="1"/>
    <col min="7683" max="7684" width="37.28515625" style="1089" customWidth="1"/>
    <col min="7685" max="7688" width="0" style="1089" hidden="1" customWidth="1"/>
    <col min="7689" max="7697" width="25.42578125" style="1089" customWidth="1"/>
    <col min="7698" max="7937" width="9.140625" style="1089"/>
    <col min="7938" max="7938" width="32.42578125" style="1089" customWidth="1"/>
    <col min="7939" max="7940" width="37.28515625" style="1089" customWidth="1"/>
    <col min="7941" max="7944" width="0" style="1089" hidden="1" customWidth="1"/>
    <col min="7945" max="7953" width="25.42578125" style="1089" customWidth="1"/>
    <col min="7954" max="8193" width="9.140625" style="1089"/>
    <col min="8194" max="8194" width="32.42578125" style="1089" customWidth="1"/>
    <col min="8195" max="8196" width="37.28515625" style="1089" customWidth="1"/>
    <col min="8197" max="8200" width="0" style="1089" hidden="1" customWidth="1"/>
    <col min="8201" max="8209" width="25.42578125" style="1089" customWidth="1"/>
    <col min="8210" max="8449" width="9.140625" style="1089"/>
    <col min="8450" max="8450" width="32.42578125" style="1089" customWidth="1"/>
    <col min="8451" max="8452" width="37.28515625" style="1089" customWidth="1"/>
    <col min="8453" max="8456" width="0" style="1089" hidden="1" customWidth="1"/>
    <col min="8457" max="8465" width="25.42578125" style="1089" customWidth="1"/>
    <col min="8466" max="8705" width="9.140625" style="1089"/>
    <col min="8706" max="8706" width="32.42578125" style="1089" customWidth="1"/>
    <col min="8707" max="8708" width="37.28515625" style="1089" customWidth="1"/>
    <col min="8709" max="8712" width="0" style="1089" hidden="1" customWidth="1"/>
    <col min="8713" max="8721" width="25.42578125" style="1089" customWidth="1"/>
    <col min="8722" max="8961" width="9.140625" style="1089"/>
    <col min="8962" max="8962" width="32.42578125" style="1089" customWidth="1"/>
    <col min="8963" max="8964" width="37.28515625" style="1089" customWidth="1"/>
    <col min="8965" max="8968" width="0" style="1089" hidden="1" customWidth="1"/>
    <col min="8969" max="8977" width="25.42578125" style="1089" customWidth="1"/>
    <col min="8978" max="9217" width="9.140625" style="1089"/>
    <col min="9218" max="9218" width="32.42578125" style="1089" customWidth="1"/>
    <col min="9219" max="9220" width="37.28515625" style="1089" customWidth="1"/>
    <col min="9221" max="9224" width="0" style="1089" hidden="1" customWidth="1"/>
    <col min="9225" max="9233" width="25.42578125" style="1089" customWidth="1"/>
    <col min="9234" max="9473" width="9.140625" style="1089"/>
    <col min="9474" max="9474" width="32.42578125" style="1089" customWidth="1"/>
    <col min="9475" max="9476" width="37.28515625" style="1089" customWidth="1"/>
    <col min="9477" max="9480" width="0" style="1089" hidden="1" customWidth="1"/>
    <col min="9481" max="9489" width="25.42578125" style="1089" customWidth="1"/>
    <col min="9490" max="9729" width="9.140625" style="1089"/>
    <col min="9730" max="9730" width="32.42578125" style="1089" customWidth="1"/>
    <col min="9731" max="9732" width="37.28515625" style="1089" customWidth="1"/>
    <col min="9733" max="9736" width="0" style="1089" hidden="1" customWidth="1"/>
    <col min="9737" max="9745" width="25.42578125" style="1089" customWidth="1"/>
    <col min="9746" max="9985" width="9.140625" style="1089"/>
    <col min="9986" max="9986" width="32.42578125" style="1089" customWidth="1"/>
    <col min="9987" max="9988" width="37.28515625" style="1089" customWidth="1"/>
    <col min="9989" max="9992" width="0" style="1089" hidden="1" customWidth="1"/>
    <col min="9993" max="10001" width="25.42578125" style="1089" customWidth="1"/>
    <col min="10002" max="10241" width="9.140625" style="1089"/>
    <col min="10242" max="10242" width="32.42578125" style="1089" customWidth="1"/>
    <col min="10243" max="10244" width="37.28515625" style="1089" customWidth="1"/>
    <col min="10245" max="10248" width="0" style="1089" hidden="1" customWidth="1"/>
    <col min="10249" max="10257" width="25.42578125" style="1089" customWidth="1"/>
    <col min="10258" max="10497" width="9.140625" style="1089"/>
    <col min="10498" max="10498" width="32.42578125" style="1089" customWidth="1"/>
    <col min="10499" max="10500" width="37.28515625" style="1089" customWidth="1"/>
    <col min="10501" max="10504" width="0" style="1089" hidden="1" customWidth="1"/>
    <col min="10505" max="10513" width="25.42578125" style="1089" customWidth="1"/>
    <col min="10514" max="10753" width="9.140625" style="1089"/>
    <col min="10754" max="10754" width="32.42578125" style="1089" customWidth="1"/>
    <col min="10755" max="10756" width="37.28515625" style="1089" customWidth="1"/>
    <col min="10757" max="10760" width="0" style="1089" hidden="1" customWidth="1"/>
    <col min="10761" max="10769" width="25.42578125" style="1089" customWidth="1"/>
    <col min="10770" max="11009" width="9.140625" style="1089"/>
    <col min="11010" max="11010" width="32.42578125" style="1089" customWidth="1"/>
    <col min="11011" max="11012" width="37.28515625" style="1089" customWidth="1"/>
    <col min="11013" max="11016" width="0" style="1089" hidden="1" customWidth="1"/>
    <col min="11017" max="11025" width="25.42578125" style="1089" customWidth="1"/>
    <col min="11026" max="11265" width="9.140625" style="1089"/>
    <col min="11266" max="11266" width="32.42578125" style="1089" customWidth="1"/>
    <col min="11267" max="11268" width="37.28515625" style="1089" customWidth="1"/>
    <col min="11269" max="11272" width="0" style="1089" hidden="1" customWidth="1"/>
    <col min="11273" max="11281" width="25.42578125" style="1089" customWidth="1"/>
    <col min="11282" max="11521" width="9.140625" style="1089"/>
    <col min="11522" max="11522" width="32.42578125" style="1089" customWidth="1"/>
    <col min="11523" max="11524" width="37.28515625" style="1089" customWidth="1"/>
    <col min="11525" max="11528" width="0" style="1089" hidden="1" customWidth="1"/>
    <col min="11529" max="11537" width="25.42578125" style="1089" customWidth="1"/>
    <col min="11538" max="11777" width="9.140625" style="1089"/>
    <col min="11778" max="11778" width="32.42578125" style="1089" customWidth="1"/>
    <col min="11779" max="11780" width="37.28515625" style="1089" customWidth="1"/>
    <col min="11781" max="11784" width="0" style="1089" hidden="1" customWidth="1"/>
    <col min="11785" max="11793" width="25.42578125" style="1089" customWidth="1"/>
    <col min="11794" max="12033" width="9.140625" style="1089"/>
    <col min="12034" max="12034" width="32.42578125" style="1089" customWidth="1"/>
    <col min="12035" max="12036" width="37.28515625" style="1089" customWidth="1"/>
    <col min="12037" max="12040" width="0" style="1089" hidden="1" customWidth="1"/>
    <col min="12041" max="12049" width="25.42578125" style="1089" customWidth="1"/>
    <col min="12050" max="12289" width="9.140625" style="1089"/>
    <col min="12290" max="12290" width="32.42578125" style="1089" customWidth="1"/>
    <col min="12291" max="12292" width="37.28515625" style="1089" customWidth="1"/>
    <col min="12293" max="12296" width="0" style="1089" hidden="1" customWidth="1"/>
    <col min="12297" max="12305" width="25.42578125" style="1089" customWidth="1"/>
    <col min="12306" max="12545" width="9.140625" style="1089"/>
    <col min="12546" max="12546" width="32.42578125" style="1089" customWidth="1"/>
    <col min="12547" max="12548" width="37.28515625" style="1089" customWidth="1"/>
    <col min="12549" max="12552" width="0" style="1089" hidden="1" customWidth="1"/>
    <col min="12553" max="12561" width="25.42578125" style="1089" customWidth="1"/>
    <col min="12562" max="12801" width="9.140625" style="1089"/>
    <col min="12802" max="12802" width="32.42578125" style="1089" customWidth="1"/>
    <col min="12803" max="12804" width="37.28515625" style="1089" customWidth="1"/>
    <col min="12805" max="12808" width="0" style="1089" hidden="1" customWidth="1"/>
    <col min="12809" max="12817" width="25.42578125" style="1089" customWidth="1"/>
    <col min="12818" max="13057" width="9.140625" style="1089"/>
    <col min="13058" max="13058" width="32.42578125" style="1089" customWidth="1"/>
    <col min="13059" max="13060" width="37.28515625" style="1089" customWidth="1"/>
    <col min="13061" max="13064" width="0" style="1089" hidden="1" customWidth="1"/>
    <col min="13065" max="13073" width="25.42578125" style="1089" customWidth="1"/>
    <col min="13074" max="13313" width="9.140625" style="1089"/>
    <col min="13314" max="13314" width="32.42578125" style="1089" customWidth="1"/>
    <col min="13315" max="13316" width="37.28515625" style="1089" customWidth="1"/>
    <col min="13317" max="13320" width="0" style="1089" hidden="1" customWidth="1"/>
    <col min="13321" max="13329" width="25.42578125" style="1089" customWidth="1"/>
    <col min="13330" max="13569" width="9.140625" style="1089"/>
    <col min="13570" max="13570" width="32.42578125" style="1089" customWidth="1"/>
    <col min="13571" max="13572" width="37.28515625" style="1089" customWidth="1"/>
    <col min="13573" max="13576" width="0" style="1089" hidden="1" customWidth="1"/>
    <col min="13577" max="13585" width="25.42578125" style="1089" customWidth="1"/>
    <col min="13586" max="13825" width="9.140625" style="1089"/>
    <col min="13826" max="13826" width="32.42578125" style="1089" customWidth="1"/>
    <col min="13827" max="13828" width="37.28515625" style="1089" customWidth="1"/>
    <col min="13829" max="13832" width="0" style="1089" hidden="1" customWidth="1"/>
    <col min="13833" max="13841" width="25.42578125" style="1089" customWidth="1"/>
    <col min="13842" max="14081" width="9.140625" style="1089"/>
    <col min="14082" max="14082" width="32.42578125" style="1089" customWidth="1"/>
    <col min="14083" max="14084" width="37.28515625" style="1089" customWidth="1"/>
    <col min="14085" max="14088" width="0" style="1089" hidden="1" customWidth="1"/>
    <col min="14089" max="14097" width="25.42578125" style="1089" customWidth="1"/>
    <col min="14098" max="14337" width="9.140625" style="1089"/>
    <col min="14338" max="14338" width="32.42578125" style="1089" customWidth="1"/>
    <col min="14339" max="14340" width="37.28515625" style="1089" customWidth="1"/>
    <col min="14341" max="14344" width="0" style="1089" hidden="1" customWidth="1"/>
    <col min="14345" max="14353" width="25.42578125" style="1089" customWidth="1"/>
    <col min="14354" max="14593" width="9.140625" style="1089"/>
    <col min="14594" max="14594" width="32.42578125" style="1089" customWidth="1"/>
    <col min="14595" max="14596" width="37.28515625" style="1089" customWidth="1"/>
    <col min="14597" max="14600" width="0" style="1089" hidden="1" customWidth="1"/>
    <col min="14601" max="14609" width="25.42578125" style="1089" customWidth="1"/>
    <col min="14610" max="14849" width="9.140625" style="1089"/>
    <col min="14850" max="14850" width="32.42578125" style="1089" customWidth="1"/>
    <col min="14851" max="14852" width="37.28515625" style="1089" customWidth="1"/>
    <col min="14853" max="14856" width="0" style="1089" hidden="1" customWidth="1"/>
    <col min="14857" max="14865" width="25.42578125" style="1089" customWidth="1"/>
    <col min="14866" max="15105" width="9.140625" style="1089"/>
    <col min="15106" max="15106" width="32.42578125" style="1089" customWidth="1"/>
    <col min="15107" max="15108" width="37.28515625" style="1089" customWidth="1"/>
    <col min="15109" max="15112" width="0" style="1089" hidden="1" customWidth="1"/>
    <col min="15113" max="15121" width="25.42578125" style="1089" customWidth="1"/>
    <col min="15122" max="15361" width="9.140625" style="1089"/>
    <col min="15362" max="15362" width="32.42578125" style="1089" customWidth="1"/>
    <col min="15363" max="15364" width="37.28515625" style="1089" customWidth="1"/>
    <col min="15365" max="15368" width="0" style="1089" hidden="1" customWidth="1"/>
    <col min="15369" max="15377" width="25.42578125" style="1089" customWidth="1"/>
    <col min="15378" max="15617" width="9.140625" style="1089"/>
    <col min="15618" max="15618" width="32.42578125" style="1089" customWidth="1"/>
    <col min="15619" max="15620" width="37.28515625" style="1089" customWidth="1"/>
    <col min="15621" max="15624" width="0" style="1089" hidden="1" customWidth="1"/>
    <col min="15625" max="15633" width="25.42578125" style="1089" customWidth="1"/>
    <col min="15634" max="15873" width="9.140625" style="1089"/>
    <col min="15874" max="15874" width="32.42578125" style="1089" customWidth="1"/>
    <col min="15875" max="15876" width="37.28515625" style="1089" customWidth="1"/>
    <col min="15877" max="15880" width="0" style="1089" hidden="1" customWidth="1"/>
    <col min="15881" max="15889" width="25.42578125" style="1089" customWidth="1"/>
    <col min="15890" max="16129" width="9.140625" style="1089"/>
    <col min="16130" max="16130" width="32.42578125" style="1089" customWidth="1"/>
    <col min="16131" max="16132" width="37.28515625" style="1089" customWidth="1"/>
    <col min="16133" max="16136" width="0" style="1089" hidden="1" customWidth="1"/>
    <col min="16137" max="16145" width="25.42578125" style="1089" customWidth="1"/>
    <col min="16146" max="16384" width="9.140625" style="1089"/>
  </cols>
  <sheetData>
    <row r="2" spans="2:17">
      <c r="B2" s="1088" t="s">
        <v>788</v>
      </c>
    </row>
    <row r="3" spans="2:17" ht="28.5" customHeight="1">
      <c r="B3" s="2648" t="s">
        <v>789</v>
      </c>
      <c r="C3" s="1090" t="s">
        <v>790</v>
      </c>
      <c r="D3" s="1091"/>
      <c r="E3" s="1091"/>
      <c r="F3" s="1092" t="s">
        <v>790</v>
      </c>
      <c r="G3" s="1093"/>
      <c r="H3" s="1093"/>
      <c r="I3" s="1091"/>
      <c r="J3" s="1091"/>
      <c r="K3" s="1091"/>
      <c r="L3" s="1091"/>
      <c r="M3" s="1091"/>
      <c r="N3" s="1091"/>
      <c r="O3" s="1091"/>
      <c r="P3" s="1091"/>
      <c r="Q3" s="1091"/>
    </row>
    <row r="4" spans="2:17">
      <c r="B4" s="2649"/>
      <c r="C4" s="1094" t="e">
        <f>IF(#REF!="","&lt;select climate zone on 'Project Info' tab&gt;","Climate Zone "&amp;#REF!)</f>
        <v>#REF!</v>
      </c>
      <c r="D4" s="1095"/>
      <c r="E4" s="1095"/>
      <c r="F4" s="1096" t="s">
        <v>504</v>
      </c>
      <c r="G4" s="1096" t="s">
        <v>505</v>
      </c>
      <c r="H4" s="1096" t="s">
        <v>506</v>
      </c>
      <c r="I4" s="1091"/>
      <c r="J4" s="1091"/>
      <c r="K4" s="1091"/>
      <c r="L4" s="1091"/>
      <c r="M4" s="1091"/>
      <c r="N4" s="1091"/>
      <c r="O4" s="1091"/>
      <c r="P4" s="1091"/>
      <c r="Q4" s="1091"/>
    </row>
    <row r="5" spans="2:17" ht="22.5">
      <c r="B5" s="1097" t="s">
        <v>791</v>
      </c>
      <c r="C5" s="1098" t="e">
        <f>HLOOKUP($C$4,$F$4:$H$37,2,FALSE)</f>
        <v>#REF!</v>
      </c>
      <c r="D5" s="1095"/>
      <c r="E5" s="1095"/>
      <c r="F5" s="1099" t="s">
        <v>792</v>
      </c>
      <c r="G5" s="1099" t="s">
        <v>792</v>
      </c>
      <c r="H5" s="1099" t="s">
        <v>792</v>
      </c>
      <c r="I5" s="1091"/>
      <c r="J5" s="1091"/>
      <c r="K5" s="1091"/>
      <c r="L5" s="1091"/>
      <c r="M5" s="1091"/>
      <c r="N5" s="1091"/>
      <c r="O5" s="1091"/>
      <c r="P5" s="1091"/>
      <c r="Q5" s="1091"/>
    </row>
    <row r="6" spans="2:17" ht="27.75" customHeight="1">
      <c r="B6" s="1097" t="s">
        <v>793</v>
      </c>
      <c r="C6" s="1100" t="e">
        <f>HLOOKUP($C$4,$F$4:$H$37,3,FALSE)</f>
        <v>#REF!</v>
      </c>
      <c r="D6" s="1091"/>
      <c r="E6" s="1091"/>
      <c r="F6" s="1099" t="s">
        <v>792</v>
      </c>
      <c r="G6" s="1099" t="s">
        <v>792</v>
      </c>
      <c r="H6" s="1099" t="s">
        <v>792</v>
      </c>
      <c r="I6" s="1091"/>
      <c r="J6" s="1091"/>
      <c r="K6" s="1091"/>
      <c r="L6" s="1091"/>
      <c r="M6" s="1091"/>
      <c r="N6" s="1091"/>
      <c r="O6" s="1091"/>
      <c r="P6" s="1091"/>
      <c r="Q6" s="1091"/>
    </row>
    <row r="7" spans="2:17" ht="39" customHeight="1">
      <c r="B7" s="1097" t="s">
        <v>794</v>
      </c>
      <c r="C7" s="1100" t="e">
        <f>HLOOKUP($C$4,$F$4:$H$37,4,FALSE)</f>
        <v>#REF!</v>
      </c>
      <c r="D7" s="1091"/>
      <c r="E7" s="1091"/>
      <c r="F7" s="1099" t="s">
        <v>792</v>
      </c>
      <c r="G7" s="1099" t="s">
        <v>792</v>
      </c>
      <c r="H7" s="1099" t="s">
        <v>792</v>
      </c>
      <c r="I7" s="1091"/>
      <c r="J7" s="1091"/>
      <c r="K7" s="1091"/>
      <c r="L7" s="1091"/>
      <c r="M7" s="1091"/>
      <c r="N7" s="1091"/>
      <c r="O7" s="1091"/>
      <c r="P7" s="1091"/>
      <c r="Q7" s="1091"/>
    </row>
    <row r="8" spans="2:17">
      <c r="B8" s="1097" t="s">
        <v>795</v>
      </c>
      <c r="C8" s="1100" t="e">
        <f>HLOOKUP($C$4,$F$4:$H$37,5,FALSE)</f>
        <v>#REF!</v>
      </c>
      <c r="D8" s="1091"/>
      <c r="E8" s="1091"/>
      <c r="F8" s="1101" t="s">
        <v>305</v>
      </c>
      <c r="G8" s="1101" t="s">
        <v>305</v>
      </c>
      <c r="H8" s="1101" t="s">
        <v>305</v>
      </c>
      <c r="I8" s="1091"/>
      <c r="J8" s="1091"/>
      <c r="K8" s="1091"/>
      <c r="L8" s="1091"/>
      <c r="M8" s="1091"/>
      <c r="N8" s="1091"/>
      <c r="O8" s="1091"/>
      <c r="P8" s="1091"/>
      <c r="Q8" s="1091"/>
    </row>
    <row r="9" spans="2:17">
      <c r="B9" s="1097" t="s">
        <v>796</v>
      </c>
      <c r="C9" s="1100" t="e">
        <f>HLOOKUP($C$4,$F$4:$H$37,6,FALSE)</f>
        <v>#REF!</v>
      </c>
      <c r="D9" s="1091"/>
      <c r="E9" s="1091"/>
      <c r="F9" s="1101" t="s">
        <v>306</v>
      </c>
      <c r="G9" s="1101" t="s">
        <v>306</v>
      </c>
      <c r="H9" s="1101" t="s">
        <v>306</v>
      </c>
      <c r="I9" s="1091"/>
      <c r="J9" s="1091"/>
      <c r="K9" s="1091"/>
      <c r="L9" s="1091"/>
      <c r="M9" s="1091"/>
      <c r="N9" s="1091"/>
      <c r="O9" s="1091"/>
      <c r="P9" s="1091"/>
      <c r="Q9" s="1091"/>
    </row>
    <row r="10" spans="2:17" ht="25.5">
      <c r="B10" s="1097" t="s">
        <v>797</v>
      </c>
      <c r="C10" s="1100" t="e">
        <f>HLOOKUP($C$4,$F$4:$H$37,7,FALSE)</f>
        <v>#REF!</v>
      </c>
      <c r="D10" s="1091"/>
      <c r="E10" s="1091"/>
      <c r="F10" s="1102" t="s">
        <v>798</v>
      </c>
      <c r="G10" s="1102" t="s">
        <v>798</v>
      </c>
      <c r="H10" s="1102" t="s">
        <v>798</v>
      </c>
      <c r="I10" s="1091"/>
      <c r="J10" s="1091"/>
      <c r="K10" s="1091"/>
      <c r="L10" s="1091"/>
      <c r="M10" s="1091"/>
      <c r="N10" s="1091"/>
      <c r="O10" s="1091"/>
      <c r="P10" s="1091"/>
      <c r="Q10" s="1091"/>
    </row>
    <row r="11" spans="2:17" ht="22.5">
      <c r="B11" s="1097" t="s">
        <v>799</v>
      </c>
      <c r="C11" s="1100" t="e">
        <f>HLOOKUP($C$4,$F$4:$H$37,8,FALSE)</f>
        <v>#REF!</v>
      </c>
      <c r="D11" s="1091"/>
      <c r="E11" s="1091"/>
      <c r="F11" s="1099" t="s">
        <v>792</v>
      </c>
      <c r="G11" s="1099" t="s">
        <v>792</v>
      </c>
      <c r="H11" s="1099" t="s">
        <v>792</v>
      </c>
      <c r="I11" s="1091"/>
      <c r="J11" s="1091"/>
      <c r="K11" s="1091"/>
      <c r="L11" s="1091"/>
      <c r="M11" s="1091"/>
      <c r="N11" s="1091"/>
      <c r="O11" s="1091"/>
      <c r="P11" s="1091"/>
      <c r="Q11" s="1091"/>
    </row>
    <row r="12" spans="2:17" ht="25.5">
      <c r="B12" s="1097" t="s">
        <v>800</v>
      </c>
      <c r="C12" s="1100" t="e">
        <f>HLOOKUP($C$4,$F$4:$H$37,9,FALSE)</f>
        <v>#REF!</v>
      </c>
      <c r="D12" s="1091"/>
      <c r="E12" s="1091"/>
      <c r="F12" s="1101" t="s">
        <v>801</v>
      </c>
      <c r="G12" s="1101" t="s">
        <v>801</v>
      </c>
      <c r="H12" s="1101" t="s">
        <v>801</v>
      </c>
      <c r="I12" s="1091"/>
      <c r="J12" s="1091"/>
      <c r="K12" s="1091"/>
      <c r="L12" s="1091"/>
      <c r="M12" s="1091"/>
      <c r="N12" s="1091"/>
      <c r="O12" s="1091"/>
      <c r="P12" s="1091"/>
      <c r="Q12" s="1091"/>
    </row>
    <row r="13" spans="2:17" ht="27.75" customHeight="1">
      <c r="B13" s="1097" t="s">
        <v>802</v>
      </c>
      <c r="C13" s="1100" t="e">
        <f>HLOOKUP($C$4,$F$4:$H$37,10,FALSE)</f>
        <v>#REF!</v>
      </c>
      <c r="D13" s="1091"/>
      <c r="E13" s="1091"/>
      <c r="F13" s="1101" t="s">
        <v>803</v>
      </c>
      <c r="G13" s="1101" t="s">
        <v>803</v>
      </c>
      <c r="H13" s="1101" t="s">
        <v>803</v>
      </c>
      <c r="I13" s="1091"/>
      <c r="J13" s="1091"/>
      <c r="K13" s="1091"/>
      <c r="L13" s="1091"/>
      <c r="M13" s="1091"/>
      <c r="N13" s="1091"/>
      <c r="O13" s="1091"/>
      <c r="P13" s="1091"/>
      <c r="Q13" s="1091"/>
    </row>
    <row r="14" spans="2:17" ht="51">
      <c r="B14" s="1097" t="s">
        <v>804</v>
      </c>
      <c r="C14" s="1100" t="e">
        <f>HLOOKUP($C$4,$F$4:$H$37,11,FALSE)</f>
        <v>#REF!</v>
      </c>
      <c r="D14" s="1091"/>
      <c r="E14" s="1091"/>
      <c r="F14" s="1101" t="s">
        <v>805</v>
      </c>
      <c r="G14" s="1101" t="s">
        <v>805</v>
      </c>
      <c r="H14" s="1101" t="s">
        <v>805</v>
      </c>
      <c r="I14" s="1091"/>
      <c r="J14" s="1091"/>
      <c r="K14" s="1091"/>
      <c r="L14" s="1091"/>
      <c r="M14" s="1091"/>
      <c r="N14" s="1091"/>
      <c r="O14" s="1091"/>
      <c r="P14" s="1091"/>
      <c r="Q14" s="1091"/>
    </row>
    <row r="15" spans="2:17" ht="25.5">
      <c r="B15" s="1097" t="s">
        <v>313</v>
      </c>
      <c r="C15" s="1100" t="e">
        <f>HLOOKUP($C$4,$F$4:$H$37,12,FALSE)</f>
        <v>#REF!</v>
      </c>
      <c r="D15" s="1091"/>
      <c r="E15" s="1091"/>
      <c r="F15" s="1101" t="s">
        <v>806</v>
      </c>
      <c r="G15" s="1101" t="s">
        <v>807</v>
      </c>
      <c r="H15" s="1101" t="s">
        <v>808</v>
      </c>
      <c r="I15" s="1091"/>
      <c r="J15" s="1091"/>
      <c r="K15" s="1091"/>
      <c r="L15" s="1091"/>
      <c r="M15" s="1091"/>
      <c r="N15" s="1091"/>
      <c r="O15" s="1091"/>
      <c r="P15" s="1091"/>
      <c r="Q15" s="1091"/>
    </row>
    <row r="16" spans="2:17" ht="25.5" customHeight="1">
      <c r="B16" s="1097" t="s">
        <v>809</v>
      </c>
      <c r="C16" s="1100" t="e">
        <f>HLOOKUP($C$4,$F$4:$H$37,13,FALSE)</f>
        <v>#REF!</v>
      </c>
      <c r="D16" s="1091"/>
      <c r="E16" s="1091"/>
      <c r="F16" s="1101" t="s">
        <v>810</v>
      </c>
      <c r="G16" s="1101" t="s">
        <v>810</v>
      </c>
      <c r="H16" s="1101" t="s">
        <v>810</v>
      </c>
      <c r="I16" s="1091"/>
      <c r="J16" s="1091"/>
      <c r="K16" s="1091"/>
      <c r="L16" s="1091"/>
      <c r="M16" s="1091"/>
      <c r="N16" s="1091"/>
      <c r="O16" s="1091"/>
      <c r="P16" s="1091"/>
      <c r="Q16" s="1091"/>
    </row>
    <row r="17" spans="2:17" ht="38.25">
      <c r="B17" s="1097" t="s">
        <v>314</v>
      </c>
      <c r="C17" s="1100" t="e">
        <f>HLOOKUP($C$4,$F$4:$H$37,14,FALSE)</f>
        <v>#REF!</v>
      </c>
      <c r="D17" s="1091"/>
      <c r="E17" s="1091"/>
      <c r="F17" s="1101" t="s">
        <v>811</v>
      </c>
      <c r="G17" s="1101" t="s">
        <v>811</v>
      </c>
      <c r="H17" s="1101" t="s">
        <v>811</v>
      </c>
      <c r="I17" s="1091"/>
      <c r="J17" s="1091"/>
      <c r="K17" s="1091"/>
      <c r="L17" s="1091"/>
      <c r="M17" s="1091"/>
      <c r="N17" s="1091"/>
      <c r="O17" s="1091"/>
      <c r="P17" s="1091"/>
      <c r="Q17" s="1091"/>
    </row>
    <row r="18" spans="2:17" ht="38.25">
      <c r="B18" s="1097" t="s">
        <v>812</v>
      </c>
      <c r="C18" s="1100" t="e">
        <f>HLOOKUP($C$4,$F$4:$H$37,15,FALSE)</f>
        <v>#REF!</v>
      </c>
      <c r="D18" s="1091"/>
      <c r="E18" s="1091"/>
      <c r="F18" s="1102" t="s">
        <v>813</v>
      </c>
      <c r="G18" s="1102" t="s">
        <v>813</v>
      </c>
      <c r="H18" s="1102" t="s">
        <v>813</v>
      </c>
      <c r="I18" s="1091"/>
      <c r="J18" s="1091"/>
      <c r="K18" s="1091"/>
      <c r="L18" s="1091"/>
      <c r="M18" s="1091"/>
      <c r="N18" s="1091"/>
      <c r="O18" s="1091"/>
      <c r="P18" s="1091"/>
      <c r="Q18" s="1091"/>
    </row>
    <row r="19" spans="2:17">
      <c r="B19" s="1097" t="s">
        <v>319</v>
      </c>
      <c r="C19" s="1100" t="e">
        <f>HLOOKUP($C$4,$F$4:$H$37,16,FALSE)</f>
        <v>#REF!</v>
      </c>
      <c r="D19" s="1091"/>
      <c r="E19" s="1091"/>
      <c r="F19" s="1099" t="s">
        <v>792</v>
      </c>
      <c r="G19" s="1099" t="s">
        <v>792</v>
      </c>
      <c r="H19" s="1101" t="s">
        <v>814</v>
      </c>
      <c r="I19" s="1091"/>
      <c r="J19" s="1091"/>
      <c r="K19" s="1091"/>
      <c r="L19" s="1091"/>
      <c r="M19" s="1091"/>
      <c r="N19" s="1091"/>
      <c r="O19" s="1091"/>
      <c r="P19" s="1091"/>
      <c r="Q19" s="1091"/>
    </row>
    <row r="20" spans="2:17" ht="25.5">
      <c r="B20" s="1097" t="s">
        <v>815</v>
      </c>
      <c r="C20" s="1100" t="e">
        <f>HLOOKUP($C$4,$F$4:$H$37,17,FALSE)</f>
        <v>#REF!</v>
      </c>
      <c r="D20" s="1091"/>
      <c r="E20" s="1091"/>
      <c r="F20" s="1101" t="s">
        <v>816</v>
      </c>
      <c r="G20" s="1101" t="s">
        <v>816</v>
      </c>
      <c r="H20" s="1101" t="s">
        <v>816</v>
      </c>
      <c r="I20" s="1091"/>
      <c r="J20" s="1091"/>
      <c r="K20" s="1091"/>
      <c r="L20" s="1091"/>
      <c r="M20" s="1091"/>
      <c r="N20" s="1091"/>
      <c r="O20" s="1091"/>
      <c r="P20" s="1091"/>
      <c r="Q20" s="1091"/>
    </row>
    <row r="21" spans="2:17" ht="25.5">
      <c r="B21" s="1097" t="s">
        <v>321</v>
      </c>
      <c r="C21" s="1100" t="e">
        <f>HLOOKUP($C$4,$F$4:$H$37,18,FALSE)</f>
        <v>#REF!</v>
      </c>
      <c r="D21" s="1091"/>
      <c r="E21" s="1091"/>
      <c r="F21" s="1101" t="s">
        <v>817</v>
      </c>
      <c r="G21" s="1101" t="s">
        <v>817</v>
      </c>
      <c r="H21" s="1101" t="s">
        <v>817</v>
      </c>
      <c r="I21" s="1091"/>
      <c r="J21" s="1091"/>
      <c r="K21" s="1091"/>
      <c r="L21" s="1091"/>
      <c r="M21" s="1091"/>
      <c r="N21" s="1091"/>
      <c r="O21" s="1091"/>
      <c r="P21" s="1091"/>
      <c r="Q21" s="1091"/>
    </row>
    <row r="22" spans="2:17" ht="22.5">
      <c r="B22" s="1097" t="s">
        <v>818</v>
      </c>
      <c r="C22" s="1100" t="e">
        <f>HLOOKUP($C$4,$F$4:$H$37,19,FALSE)</f>
        <v>#REF!</v>
      </c>
      <c r="D22" s="1091"/>
      <c r="E22" s="1091"/>
      <c r="F22" s="1102" t="s">
        <v>819</v>
      </c>
      <c r="G22" s="1102" t="s">
        <v>819</v>
      </c>
      <c r="H22" s="1102" t="s">
        <v>819</v>
      </c>
      <c r="I22" s="1091"/>
      <c r="J22" s="1091"/>
      <c r="K22" s="1091"/>
      <c r="L22" s="1091"/>
      <c r="M22" s="1091"/>
      <c r="N22" s="1091"/>
      <c r="O22" s="1091"/>
      <c r="P22" s="1091"/>
      <c r="Q22" s="1091"/>
    </row>
    <row r="23" spans="2:17" ht="25.5">
      <c r="B23" s="1097" t="s">
        <v>820</v>
      </c>
      <c r="C23" s="1100" t="e">
        <f>HLOOKUP($C$4,$F$4:$H$37,20,FALSE)</f>
        <v>#REF!</v>
      </c>
      <c r="D23" s="1091"/>
      <c r="E23" s="1091"/>
      <c r="F23" s="1101" t="s">
        <v>821</v>
      </c>
      <c r="G23" s="1101" t="s">
        <v>821</v>
      </c>
      <c r="H23" s="1101" t="s">
        <v>821</v>
      </c>
      <c r="I23" s="1091"/>
      <c r="J23" s="1091"/>
      <c r="K23" s="1091"/>
      <c r="L23" s="1091"/>
      <c r="M23" s="1091"/>
      <c r="N23" s="1091"/>
      <c r="O23" s="1091"/>
      <c r="P23" s="1091"/>
      <c r="Q23" s="1091"/>
    </row>
    <row r="24" spans="2:17" ht="25.5">
      <c r="B24" s="1097" t="s">
        <v>822</v>
      </c>
      <c r="C24" s="1100" t="e">
        <f>HLOOKUP($C$4,$F$4:$H$37,21,FALSE)</f>
        <v>#REF!</v>
      </c>
      <c r="D24" s="1091"/>
      <c r="E24" s="1091"/>
      <c r="F24" s="1101" t="s">
        <v>823</v>
      </c>
      <c r="G24" s="1101" t="s">
        <v>823</v>
      </c>
      <c r="H24" s="1101" t="s">
        <v>823</v>
      </c>
      <c r="I24" s="1091"/>
      <c r="J24" s="1091"/>
      <c r="K24" s="1091"/>
      <c r="L24" s="1091"/>
      <c r="M24" s="1091"/>
      <c r="N24" s="1091"/>
      <c r="O24" s="1091"/>
      <c r="P24" s="1091"/>
      <c r="Q24" s="1091"/>
    </row>
    <row r="25" spans="2:17" ht="25.5">
      <c r="B25" s="1097" t="s">
        <v>824</v>
      </c>
      <c r="C25" s="1100" t="e">
        <f>HLOOKUP($C$4,$F$4:$H$37,22,FALSE)</f>
        <v>#REF!</v>
      </c>
      <c r="D25" s="1091"/>
      <c r="E25" s="1091"/>
      <c r="F25" s="1102" t="s">
        <v>825</v>
      </c>
      <c r="G25" s="1102" t="s">
        <v>825</v>
      </c>
      <c r="H25" s="1102" t="s">
        <v>825</v>
      </c>
      <c r="I25" s="1091"/>
      <c r="J25" s="1091"/>
      <c r="K25" s="1091"/>
      <c r="L25" s="1091"/>
      <c r="M25" s="1091"/>
      <c r="N25" s="1091"/>
      <c r="O25" s="1091"/>
      <c r="P25" s="1091"/>
      <c r="Q25" s="1091"/>
    </row>
    <row r="26" spans="2:17" ht="25.5">
      <c r="B26" s="1103" t="s">
        <v>826</v>
      </c>
      <c r="C26" s="1100" t="e">
        <f>HLOOKUP($C$4,$F$4:$H$37,23,FALSE)</f>
        <v>#REF!</v>
      </c>
      <c r="D26" s="1091"/>
      <c r="E26" s="1091"/>
      <c r="F26" s="1102" t="s">
        <v>827</v>
      </c>
      <c r="G26" s="1102" t="s">
        <v>827</v>
      </c>
      <c r="H26" s="1102" t="s">
        <v>827</v>
      </c>
      <c r="I26" s="1091"/>
      <c r="J26" s="1091"/>
      <c r="K26" s="1091"/>
      <c r="L26" s="1091"/>
      <c r="M26" s="1091"/>
      <c r="N26" s="1091"/>
      <c r="O26" s="1091"/>
      <c r="P26" s="1091"/>
      <c r="Q26" s="1091"/>
    </row>
    <row r="27" spans="2:17" ht="25.5">
      <c r="B27" s="1104" t="s">
        <v>828</v>
      </c>
      <c r="C27" s="1100" t="e">
        <f>HLOOKUP($C$4,$F$4:$H$37,24,FALSE)</f>
        <v>#REF!</v>
      </c>
      <c r="D27" s="1091"/>
      <c r="E27" s="1091"/>
      <c r="F27" s="1101" t="s">
        <v>829</v>
      </c>
      <c r="G27" s="1101" t="s">
        <v>829</v>
      </c>
      <c r="H27" s="1101" t="s">
        <v>829</v>
      </c>
      <c r="I27" s="1091"/>
      <c r="J27" s="1091"/>
      <c r="K27" s="1091"/>
      <c r="L27" s="1091"/>
      <c r="M27" s="1091"/>
      <c r="N27" s="1091"/>
      <c r="O27" s="1091"/>
      <c r="P27" s="1091"/>
      <c r="Q27" s="1091"/>
    </row>
    <row r="28" spans="2:17" ht="25.5">
      <c r="B28" s="1104" t="s">
        <v>830</v>
      </c>
      <c r="C28" s="1100" t="e">
        <f>HLOOKUP($C$4,$F$4:$H$37,25,FALSE)</f>
        <v>#REF!</v>
      </c>
      <c r="D28" s="1091"/>
      <c r="E28" s="1091"/>
      <c r="F28" s="1101" t="s">
        <v>831</v>
      </c>
      <c r="G28" s="1101" t="s">
        <v>831</v>
      </c>
      <c r="H28" s="1101" t="s">
        <v>831</v>
      </c>
      <c r="I28" s="1091"/>
      <c r="J28" s="1091"/>
      <c r="K28" s="1091"/>
      <c r="L28" s="1091"/>
      <c r="M28" s="1091"/>
      <c r="N28" s="1091"/>
      <c r="O28" s="1091"/>
      <c r="P28" s="1091"/>
      <c r="Q28" s="1091"/>
    </row>
    <row r="29" spans="2:17" ht="25.5">
      <c r="B29" s="1104" t="s">
        <v>832</v>
      </c>
      <c r="C29" s="1100" t="e">
        <f>HLOOKUP($C$4,$F$4:$H$37,26,FALSE)</f>
        <v>#REF!</v>
      </c>
      <c r="D29" s="1091"/>
      <c r="E29" s="1091"/>
      <c r="F29" s="1101" t="s">
        <v>833</v>
      </c>
      <c r="G29" s="1101" t="s">
        <v>833</v>
      </c>
      <c r="H29" s="1101" t="s">
        <v>833</v>
      </c>
      <c r="I29" s="1091"/>
      <c r="J29" s="1091"/>
      <c r="K29" s="1091"/>
      <c r="L29" s="1091"/>
      <c r="M29" s="1091"/>
      <c r="N29" s="1091"/>
      <c r="O29" s="1091"/>
      <c r="P29" s="1091"/>
      <c r="Q29" s="1091"/>
    </row>
    <row r="30" spans="2:17" ht="22.5">
      <c r="B30" s="1104" t="s">
        <v>834</v>
      </c>
      <c r="C30" s="1100" t="e">
        <f>HLOOKUP($C$4,$F$4:$H$37,27,FALSE)</f>
        <v>#REF!</v>
      </c>
      <c r="D30" s="1091"/>
      <c r="E30" s="1091"/>
      <c r="F30" s="1101" t="s">
        <v>835</v>
      </c>
      <c r="G30" s="1101" t="s">
        <v>835</v>
      </c>
      <c r="H30" s="1101" t="s">
        <v>835</v>
      </c>
      <c r="I30" s="1091"/>
      <c r="J30" s="1091"/>
      <c r="K30" s="1091"/>
      <c r="L30" s="1091"/>
      <c r="M30" s="1091"/>
      <c r="N30" s="1091"/>
      <c r="O30" s="1091"/>
      <c r="P30" s="1091"/>
      <c r="Q30" s="1091"/>
    </row>
    <row r="31" spans="2:17" ht="22.5">
      <c r="B31" s="1104" t="s">
        <v>836</v>
      </c>
      <c r="C31" s="1100" t="e">
        <f>HLOOKUP($C$4,$F$4:$H$37,28,FALSE)</f>
        <v>#REF!</v>
      </c>
      <c r="D31" s="1091"/>
      <c r="E31" s="1091"/>
      <c r="F31" s="1101" t="s">
        <v>21</v>
      </c>
      <c r="G31" s="1101" t="s">
        <v>21</v>
      </c>
      <c r="H31" s="1101" t="s">
        <v>21</v>
      </c>
      <c r="I31" s="1091"/>
      <c r="J31" s="1091"/>
      <c r="K31" s="1091"/>
      <c r="L31" s="1091"/>
      <c r="M31" s="1091"/>
      <c r="N31" s="1091"/>
      <c r="O31" s="1091"/>
      <c r="P31" s="1091"/>
      <c r="Q31" s="1091"/>
    </row>
    <row r="32" spans="2:17" ht="22.5">
      <c r="B32" s="1104" t="s">
        <v>837</v>
      </c>
      <c r="C32" s="1100" t="e">
        <f>HLOOKUP($C$4,$F$4:$H$37,29,FALSE)</f>
        <v>#REF!</v>
      </c>
      <c r="D32" s="1091"/>
      <c r="E32" s="1091"/>
      <c r="F32" s="1101" t="s">
        <v>19</v>
      </c>
      <c r="G32" s="1101" t="s">
        <v>19</v>
      </c>
      <c r="H32" s="1101" t="s">
        <v>19</v>
      </c>
      <c r="I32" s="1091"/>
      <c r="J32" s="1091"/>
      <c r="K32" s="1091"/>
      <c r="L32" s="1091"/>
      <c r="M32" s="1091"/>
      <c r="N32" s="1091"/>
      <c r="O32" s="1091"/>
      <c r="P32" s="1091"/>
      <c r="Q32" s="1091"/>
    </row>
    <row r="33" spans="2:17" ht="22.5">
      <c r="B33" s="1104" t="s">
        <v>838</v>
      </c>
      <c r="C33" s="1100" t="e">
        <f>HLOOKUP($C$4,$F$4:$H$37,30,FALSE)</f>
        <v>#REF!</v>
      </c>
      <c r="D33" s="1091"/>
      <c r="E33" s="1091"/>
      <c r="F33" s="1101" t="s">
        <v>20</v>
      </c>
      <c r="G33" s="1101" t="s">
        <v>20</v>
      </c>
      <c r="H33" s="1101" t="s">
        <v>20</v>
      </c>
      <c r="I33" s="1091"/>
      <c r="J33" s="1091"/>
      <c r="K33" s="1091"/>
      <c r="L33" s="1091"/>
      <c r="M33" s="1091"/>
      <c r="N33" s="1091"/>
      <c r="O33" s="1091"/>
      <c r="P33" s="1091"/>
      <c r="Q33" s="1091"/>
    </row>
    <row r="34" spans="2:17" ht="38.25">
      <c r="B34" s="1104" t="s">
        <v>839</v>
      </c>
      <c r="C34" s="1100" t="e">
        <f>HLOOKUP($C$4,$F$4:$H$37,31,FALSE)</f>
        <v>#REF!</v>
      </c>
      <c r="D34" s="1091"/>
      <c r="E34" s="1091"/>
      <c r="F34" s="1101" t="s">
        <v>840</v>
      </c>
      <c r="G34" s="1101" t="s">
        <v>840</v>
      </c>
      <c r="H34" s="1101" t="s">
        <v>840</v>
      </c>
      <c r="I34" s="1091"/>
      <c r="J34" s="1091"/>
      <c r="K34" s="1091"/>
      <c r="L34" s="1091"/>
      <c r="M34" s="1091"/>
      <c r="N34" s="1091"/>
      <c r="O34" s="1091"/>
      <c r="P34" s="1091"/>
      <c r="Q34" s="1091"/>
    </row>
    <row r="35" spans="2:17" ht="38.25">
      <c r="B35" s="1104" t="s">
        <v>841</v>
      </c>
      <c r="C35" s="1100" t="e">
        <f>HLOOKUP($C$4,$F$4:$H$37,32,FALSE)</f>
        <v>#REF!</v>
      </c>
      <c r="D35" s="1091"/>
      <c r="E35" s="1091"/>
      <c r="F35" s="1101" t="s">
        <v>353</v>
      </c>
      <c r="G35" s="1101" t="s">
        <v>353</v>
      </c>
      <c r="H35" s="1101" t="s">
        <v>353</v>
      </c>
      <c r="I35" s="1091"/>
      <c r="J35" s="1091"/>
      <c r="K35" s="1091"/>
      <c r="L35" s="1091"/>
      <c r="M35" s="1091"/>
      <c r="N35" s="1091"/>
      <c r="O35" s="1091"/>
      <c r="P35" s="1091"/>
      <c r="Q35" s="1091"/>
    </row>
    <row r="36" spans="2:17" ht="49.5" customHeight="1">
      <c r="B36" s="1104" t="s">
        <v>842</v>
      </c>
      <c r="C36" s="1100" t="e">
        <f>HLOOKUP($C$4,$F$4:$H$37,33,FALSE)</f>
        <v>#REF!</v>
      </c>
      <c r="D36" s="1091"/>
      <c r="E36" s="1091"/>
      <c r="F36" s="1101" t="s">
        <v>354</v>
      </c>
      <c r="G36" s="1101" t="s">
        <v>354</v>
      </c>
      <c r="H36" s="1101" t="s">
        <v>354</v>
      </c>
      <c r="I36" s="1091"/>
      <c r="J36" s="1091"/>
      <c r="K36" s="1091"/>
      <c r="L36" s="1091"/>
      <c r="M36" s="1091"/>
      <c r="N36" s="1091"/>
      <c r="O36" s="1091"/>
      <c r="P36" s="1091"/>
      <c r="Q36" s="1091"/>
    </row>
    <row r="37" spans="2:17" ht="38.25">
      <c r="B37" s="1104" t="s">
        <v>843</v>
      </c>
      <c r="C37" s="1100" t="e">
        <f>HLOOKUP($C$4,$F$4:$H$37,34,FALSE)</f>
        <v>#REF!</v>
      </c>
      <c r="D37" s="1091"/>
      <c r="E37" s="1091"/>
      <c r="F37" s="1101" t="s">
        <v>355</v>
      </c>
      <c r="G37" s="1101" t="s">
        <v>355</v>
      </c>
      <c r="H37" s="1101" t="s">
        <v>355</v>
      </c>
      <c r="I37" s="1091"/>
      <c r="J37" s="1091"/>
      <c r="K37" s="1091"/>
      <c r="L37" s="1091"/>
      <c r="M37" s="1091"/>
      <c r="N37" s="1091"/>
      <c r="O37" s="1091"/>
      <c r="P37" s="1091"/>
      <c r="Q37" s="1091"/>
    </row>
    <row r="38" spans="2:17">
      <c r="B38" s="1069" t="s">
        <v>844</v>
      </c>
      <c r="C38" s="1105"/>
      <c r="D38" s="1091"/>
      <c r="E38" s="1091"/>
      <c r="F38" s="1106"/>
      <c r="G38" s="1106"/>
      <c r="H38" s="1106"/>
      <c r="I38" s="1091"/>
      <c r="J38" s="1091"/>
      <c r="K38" s="1091"/>
      <c r="L38" s="1091"/>
      <c r="M38" s="1091"/>
      <c r="N38" s="1091"/>
      <c r="O38" s="1091"/>
      <c r="P38" s="1091"/>
      <c r="Q38" s="1091"/>
    </row>
    <row r="39" spans="2:17">
      <c r="B39" s="1069" t="s">
        <v>845</v>
      </c>
      <c r="C39" s="1091"/>
      <c r="D39" s="1091"/>
      <c r="E39" s="1091"/>
      <c r="F39" s="1091"/>
      <c r="G39" s="1091"/>
      <c r="H39" s="1091"/>
      <c r="I39" s="1091"/>
      <c r="J39" s="1091"/>
      <c r="K39" s="1091"/>
      <c r="L39" s="1091"/>
      <c r="M39" s="1091"/>
      <c r="N39" s="1091"/>
      <c r="O39" s="1091"/>
      <c r="P39" s="1091"/>
      <c r="Q39" s="1091"/>
    </row>
    <row r="40" spans="2:17" ht="16.5" customHeight="1">
      <c r="B40" s="1069" t="s">
        <v>846</v>
      </c>
      <c r="C40" s="1091"/>
      <c r="D40" s="1091"/>
      <c r="E40" s="1091"/>
      <c r="F40" s="1091"/>
      <c r="G40" s="1091"/>
      <c r="H40" s="1091"/>
      <c r="I40" s="1091"/>
      <c r="J40" s="1091"/>
      <c r="K40" s="1091"/>
      <c r="L40" s="1091"/>
      <c r="M40" s="1091"/>
      <c r="N40" s="1091"/>
      <c r="O40" s="1091"/>
      <c r="P40" s="1091"/>
      <c r="Q40" s="1091"/>
    </row>
    <row r="41" spans="2:17">
      <c r="B41" s="1091"/>
      <c r="C41" s="1091"/>
      <c r="D41" s="1091"/>
      <c r="E41" s="1091"/>
      <c r="F41" s="1091"/>
      <c r="G41" s="1091"/>
      <c r="H41" s="1091"/>
      <c r="I41" s="1091"/>
      <c r="J41" s="1091"/>
      <c r="K41" s="1091"/>
      <c r="L41" s="1091"/>
      <c r="M41" s="1091"/>
      <c r="N41" s="1091"/>
      <c r="O41" s="1091"/>
      <c r="P41" s="1091"/>
      <c r="Q41" s="1091"/>
    </row>
    <row r="42" spans="2:17">
      <c r="B42" s="1088" t="s">
        <v>847</v>
      </c>
      <c r="C42" s="1091"/>
      <c r="D42" s="1091"/>
      <c r="E42" s="1091"/>
      <c r="F42" s="1091"/>
      <c r="G42" s="1091"/>
      <c r="H42" s="1091"/>
      <c r="I42" s="1091"/>
      <c r="J42" s="1091"/>
      <c r="K42" s="1091"/>
      <c r="L42" s="1091"/>
      <c r="M42" s="1091"/>
      <c r="N42" s="1091"/>
      <c r="O42" s="1091"/>
      <c r="P42" s="1091"/>
      <c r="Q42" s="1091"/>
    </row>
    <row r="43" spans="2:17">
      <c r="B43" s="2655" t="s">
        <v>848</v>
      </c>
      <c r="C43" s="1107" t="s">
        <v>849</v>
      </c>
      <c r="D43" s="1107" t="s">
        <v>850</v>
      </c>
      <c r="E43" s="1108"/>
      <c r="F43" s="2652"/>
      <c r="G43" s="2652"/>
      <c r="H43" s="2652"/>
      <c r="I43" s="1091"/>
      <c r="J43" s="2651" t="s">
        <v>850</v>
      </c>
      <c r="K43" s="2652"/>
      <c r="L43" s="2652"/>
      <c r="M43" s="2652"/>
      <c r="N43" s="2652"/>
      <c r="O43" s="2652"/>
      <c r="P43" s="2652"/>
      <c r="Q43" s="2653"/>
    </row>
    <row r="44" spans="2:17">
      <c r="B44" s="2655"/>
      <c r="C44" s="1109" t="s">
        <v>504</v>
      </c>
      <c r="D44" s="1109" t="s">
        <v>504</v>
      </c>
      <c r="E44" s="1108"/>
      <c r="F44" s="1096" t="s">
        <v>504</v>
      </c>
      <c r="G44" s="1096" t="s">
        <v>505</v>
      </c>
      <c r="H44" s="1096" t="s">
        <v>506</v>
      </c>
      <c r="I44" s="1108"/>
      <c r="J44" s="1110" t="s">
        <v>851</v>
      </c>
      <c r="K44" s="1110" t="s">
        <v>852</v>
      </c>
      <c r="L44" s="1110" t="s">
        <v>853</v>
      </c>
      <c r="M44" s="1110" t="s">
        <v>504</v>
      </c>
      <c r="N44" s="1110" t="s">
        <v>505</v>
      </c>
      <c r="O44" s="1110" t="s">
        <v>506</v>
      </c>
      <c r="P44" s="1110" t="s">
        <v>854</v>
      </c>
      <c r="Q44" s="1110" t="s">
        <v>855</v>
      </c>
    </row>
    <row r="45" spans="2:17">
      <c r="B45" s="2650" t="s">
        <v>29</v>
      </c>
      <c r="C45" s="2650"/>
      <c r="D45" s="2650"/>
      <c r="E45" s="1108"/>
      <c r="F45" s="1111"/>
      <c r="G45" s="1111"/>
      <c r="H45" s="1111"/>
      <c r="I45" s="1108"/>
      <c r="J45" s="1112"/>
      <c r="K45" s="1111"/>
      <c r="L45" s="1111"/>
      <c r="M45" s="1111"/>
      <c r="N45" s="1111"/>
      <c r="O45" s="1111"/>
      <c r="P45" s="1111"/>
      <c r="Q45" s="1113"/>
    </row>
    <row r="46" spans="2:17">
      <c r="B46" s="1110" t="s">
        <v>856</v>
      </c>
      <c r="C46" s="1109" t="str">
        <f>HLOOKUP($C$44,$F$44:$H$71,3,FALSE)</f>
        <v>R-25.0 continuous</v>
      </c>
      <c r="D46" s="1109" t="str">
        <f>HLOOKUP($D$44,$J$44:$Q$71,3,FALSE)</f>
        <v>U-0.039</v>
      </c>
      <c r="E46" s="1108"/>
      <c r="F46" s="1114" t="s">
        <v>857</v>
      </c>
      <c r="G46" s="1114" t="s">
        <v>857</v>
      </c>
      <c r="H46" s="1114" t="s">
        <v>858</v>
      </c>
      <c r="I46" s="1108"/>
      <c r="J46" s="1110" t="s">
        <v>859</v>
      </c>
      <c r="K46" s="1110" t="s">
        <v>859</v>
      </c>
      <c r="L46" s="1110" t="s">
        <v>859</v>
      </c>
      <c r="M46" s="1110" t="s">
        <v>859</v>
      </c>
      <c r="N46" s="1110" t="s">
        <v>859</v>
      </c>
      <c r="O46" s="1110" t="s">
        <v>860</v>
      </c>
      <c r="P46" s="1110" t="s">
        <v>861</v>
      </c>
      <c r="Q46" s="1110" t="s">
        <v>861</v>
      </c>
    </row>
    <row r="47" spans="2:17">
      <c r="B47" s="1110" t="s">
        <v>51</v>
      </c>
      <c r="C47" s="1109" t="str">
        <f>HLOOKUP($C$44,$F$44:$H$71,4,FALSE)</f>
        <v>R-19.0 +    R-11.0 Ls</v>
      </c>
      <c r="D47" s="1109" t="str">
        <f>HLOOKUP($D$44,$J$44:$Q$71,4,FALSE)</f>
        <v>U-0.035</v>
      </c>
      <c r="E47" s="1108"/>
      <c r="F47" s="1110" t="s">
        <v>862</v>
      </c>
      <c r="G47" s="1110" t="s">
        <v>862</v>
      </c>
      <c r="H47" s="1110" t="s">
        <v>863</v>
      </c>
      <c r="I47" s="1108"/>
      <c r="J47" s="1110" t="s">
        <v>864</v>
      </c>
      <c r="K47" s="1110" t="s">
        <v>864</v>
      </c>
      <c r="L47" s="1110" t="s">
        <v>864</v>
      </c>
      <c r="M47" s="1110" t="s">
        <v>864</v>
      </c>
      <c r="N47" s="1110" t="s">
        <v>864</v>
      </c>
      <c r="O47" s="1110" t="s">
        <v>865</v>
      </c>
      <c r="P47" s="1110" t="s">
        <v>866</v>
      </c>
      <c r="Q47" s="1110" t="s">
        <v>866</v>
      </c>
    </row>
    <row r="48" spans="2:17">
      <c r="B48" s="1110" t="s">
        <v>53</v>
      </c>
      <c r="C48" s="1109" t="str">
        <f>HLOOKUP($C$44,$F$44:$H$71,5,FALSE)</f>
        <v>R-49.0</v>
      </c>
      <c r="D48" s="1109" t="str">
        <f>HLOOKUP($D$44,$J$44:$Q$71,5,FALSE)</f>
        <v>U-0.021</v>
      </c>
      <c r="E48" s="1108"/>
      <c r="F48" s="1110" t="s">
        <v>54</v>
      </c>
      <c r="G48" s="1110" t="s">
        <v>54</v>
      </c>
      <c r="H48" s="1110" t="s">
        <v>54</v>
      </c>
      <c r="I48" s="1108"/>
      <c r="J48" s="1110" t="s">
        <v>867</v>
      </c>
      <c r="K48" s="1110" t="s">
        <v>867</v>
      </c>
      <c r="L48" s="1110" t="s">
        <v>867</v>
      </c>
      <c r="M48" s="1110" t="s">
        <v>867</v>
      </c>
      <c r="N48" s="1110" t="s">
        <v>867</v>
      </c>
      <c r="O48" s="1110" t="s">
        <v>867</v>
      </c>
      <c r="P48" s="1110" t="s">
        <v>868</v>
      </c>
      <c r="Q48" s="1110" t="s">
        <v>868</v>
      </c>
    </row>
    <row r="49" spans="2:17">
      <c r="B49" s="2650" t="s">
        <v>63</v>
      </c>
      <c r="C49" s="2650"/>
      <c r="D49" s="2650"/>
      <c r="E49" s="1108"/>
      <c r="F49" s="1111"/>
      <c r="G49" s="1111"/>
      <c r="H49" s="1111"/>
      <c r="I49" s="1108"/>
      <c r="J49" s="1115"/>
      <c r="K49" s="1116"/>
      <c r="L49" s="1116"/>
      <c r="M49" s="1116"/>
      <c r="N49" s="1116"/>
      <c r="O49" s="1116"/>
      <c r="P49" s="1116"/>
      <c r="Q49" s="1117"/>
    </row>
    <row r="50" spans="2:17">
      <c r="B50" s="1110" t="s">
        <v>869</v>
      </c>
      <c r="C50" s="1109" t="str">
        <f>HLOOKUP($C$44,$F$44:$H$71,7,FALSE)</f>
        <v>R-13.3 continuous</v>
      </c>
      <c r="D50" s="1109" t="str">
        <f>HLOOKUP($D$44,$J$44:$Q$71,7,FALSE)</f>
        <v>U-0.080</v>
      </c>
      <c r="E50" s="1108"/>
      <c r="F50" s="1110" t="s">
        <v>870</v>
      </c>
      <c r="G50" s="1110" t="s">
        <v>871</v>
      </c>
      <c r="H50" s="1110" t="s">
        <v>872</v>
      </c>
      <c r="I50" s="1108"/>
      <c r="J50" s="1118" t="s">
        <v>873</v>
      </c>
      <c r="K50" s="1119" t="s">
        <v>874</v>
      </c>
      <c r="L50" s="1119" t="s">
        <v>875</v>
      </c>
      <c r="M50" s="1119" t="s">
        <v>876</v>
      </c>
      <c r="N50" s="1119" t="s">
        <v>877</v>
      </c>
      <c r="O50" s="1119" t="s">
        <v>878</v>
      </c>
      <c r="P50" s="1119" t="s">
        <v>878</v>
      </c>
      <c r="Q50" s="1118" t="s">
        <v>879</v>
      </c>
    </row>
    <row r="51" spans="2:17">
      <c r="B51" s="1110" t="s">
        <v>51</v>
      </c>
      <c r="C51" s="1109" t="str">
        <f>HLOOKUP($C$44,$F$44:$H$71,8,FALSE)</f>
        <v>R-13.0 +  R-13.0 ci</v>
      </c>
      <c r="D51" s="1109" t="str">
        <f>HLOOKUP($D$44,$J$44:$Q$71,8,FALSE)</f>
        <v>U-0.052</v>
      </c>
      <c r="E51" s="1108"/>
      <c r="F51" s="1110" t="s">
        <v>880</v>
      </c>
      <c r="G51" s="1110" t="s">
        <v>880</v>
      </c>
      <c r="H51" s="1110" t="s">
        <v>880</v>
      </c>
      <c r="I51" s="1108"/>
      <c r="J51" s="1118" t="s">
        <v>881</v>
      </c>
      <c r="K51" s="1119" t="s">
        <v>882</v>
      </c>
      <c r="L51" s="1119" t="s">
        <v>882</v>
      </c>
      <c r="M51" s="1119" t="s">
        <v>882</v>
      </c>
      <c r="N51" s="1119" t="s">
        <v>882</v>
      </c>
      <c r="O51" s="1119" t="s">
        <v>882</v>
      </c>
      <c r="P51" s="1119" t="s">
        <v>859</v>
      </c>
      <c r="Q51" s="1118" t="s">
        <v>865</v>
      </c>
    </row>
    <row r="52" spans="2:17">
      <c r="B52" s="1110" t="s">
        <v>883</v>
      </c>
      <c r="C52" s="1109" t="str">
        <f>HLOOKUP($C$44,$F$44:$H$71,9,FALSE)</f>
        <v>R-13.0 + R-10.0 c.i.</v>
      </c>
      <c r="D52" s="1109" t="str">
        <f>HLOOKUP($D$44,$J$44:$Q$71,9,FALSE)</f>
        <v>U-0.055</v>
      </c>
      <c r="E52" s="1108"/>
      <c r="F52" s="1110" t="s">
        <v>884</v>
      </c>
      <c r="G52" s="1110" t="s">
        <v>884</v>
      </c>
      <c r="H52" s="1110" t="s">
        <v>884</v>
      </c>
      <c r="I52" s="1108"/>
      <c r="J52" s="1118" t="s">
        <v>885</v>
      </c>
      <c r="K52" s="1119" t="s">
        <v>886</v>
      </c>
      <c r="L52" s="1119" t="s">
        <v>886</v>
      </c>
      <c r="M52" s="1119" t="s">
        <v>886</v>
      </c>
      <c r="N52" s="1119" t="s">
        <v>886</v>
      </c>
      <c r="O52" s="1119" t="s">
        <v>886</v>
      </c>
      <c r="P52" s="1119" t="s">
        <v>887</v>
      </c>
      <c r="Q52" s="1118" t="s">
        <v>888</v>
      </c>
    </row>
    <row r="53" spans="2:17">
      <c r="B53" s="1110" t="s">
        <v>79</v>
      </c>
      <c r="C53" s="1109" t="str">
        <f>HLOOKUP($C$44,$F$44:$H$71,10,FALSE)</f>
        <v>R-13.0 +  R-7.5 ci</v>
      </c>
      <c r="D53" s="1109" t="str">
        <f>HLOOKUP($D$44,$J$44:$Q$71,10,FALSE)</f>
        <v>U-0.051</v>
      </c>
      <c r="E53" s="1108"/>
      <c r="F53" s="1110" t="s">
        <v>889</v>
      </c>
      <c r="G53" s="1110" t="s">
        <v>884</v>
      </c>
      <c r="H53" s="1110" t="s">
        <v>884</v>
      </c>
      <c r="I53" s="1108"/>
      <c r="J53" s="1118" t="s">
        <v>890</v>
      </c>
      <c r="K53" s="1119" t="s">
        <v>890</v>
      </c>
      <c r="L53" s="1119" t="s">
        <v>890</v>
      </c>
      <c r="M53" s="1119" t="s">
        <v>891</v>
      </c>
      <c r="N53" s="1119" t="s">
        <v>892</v>
      </c>
      <c r="O53" s="1119" t="s">
        <v>892</v>
      </c>
      <c r="P53" s="1119" t="s">
        <v>892</v>
      </c>
      <c r="Q53" s="1118" t="s">
        <v>860</v>
      </c>
    </row>
    <row r="54" spans="2:17">
      <c r="B54" s="2650" t="s">
        <v>64</v>
      </c>
      <c r="C54" s="2650"/>
      <c r="D54" s="2650"/>
      <c r="E54" s="1108"/>
      <c r="F54" s="1111"/>
      <c r="G54" s="1111"/>
      <c r="H54" s="1111"/>
      <c r="I54" s="1108"/>
      <c r="J54" s="1120"/>
      <c r="K54" s="1121"/>
      <c r="L54" s="1121"/>
      <c r="M54" s="1121"/>
      <c r="N54" s="1121"/>
      <c r="O54" s="1121"/>
      <c r="P54" s="1121"/>
      <c r="Q54" s="1122"/>
    </row>
    <row r="55" spans="2:17" ht="22.5">
      <c r="B55" s="1110" t="s">
        <v>893</v>
      </c>
      <c r="C55" s="1109" t="str">
        <f>HLOOKUP($C$44,$F$44:$H$71,12,FALSE)</f>
        <v>R-10.0 continuous</v>
      </c>
      <c r="D55" s="1109" t="str">
        <f>HLOOKUP($D$44,$J$44:$Q$71,12,FALSE)</f>
        <v>U-0.092</v>
      </c>
      <c r="E55" s="1108"/>
      <c r="F55" s="1110" t="s">
        <v>894</v>
      </c>
      <c r="G55" s="1110" t="s">
        <v>895</v>
      </c>
      <c r="H55" s="1110" t="s">
        <v>895</v>
      </c>
      <c r="I55" s="1108"/>
      <c r="J55" s="1110" t="s">
        <v>896</v>
      </c>
      <c r="K55" s="1110" t="s">
        <v>896</v>
      </c>
      <c r="L55" s="1110" t="s">
        <v>896</v>
      </c>
      <c r="M55" s="1110" t="s">
        <v>897</v>
      </c>
      <c r="N55" s="1110" t="s">
        <v>897</v>
      </c>
      <c r="O55" s="1110" t="s">
        <v>897</v>
      </c>
      <c r="P55" s="1110" t="s">
        <v>898</v>
      </c>
      <c r="Q55" s="1110" t="s">
        <v>899</v>
      </c>
    </row>
    <row r="56" spans="2:17">
      <c r="B56" s="1110" t="s">
        <v>6</v>
      </c>
      <c r="C56" s="1109" t="str">
        <f>HLOOKUP($C$44,$F$44:$H$71,13,FALSE)</f>
        <v>NR</v>
      </c>
      <c r="D56" s="1109" t="str">
        <f>HLOOKUP($D$44,$J$44:$Q$71,13,FALSE)</f>
        <v>NR</v>
      </c>
      <c r="E56" s="1108"/>
      <c r="F56" s="1110" t="s">
        <v>896</v>
      </c>
      <c r="G56" s="1110" t="s">
        <v>896</v>
      </c>
      <c r="H56" s="1110" t="s">
        <v>896</v>
      </c>
      <c r="I56" s="1108"/>
      <c r="J56" s="1110" t="s">
        <v>896</v>
      </c>
      <c r="K56" s="1110" t="s">
        <v>896</v>
      </c>
      <c r="L56" s="1110" t="s">
        <v>896</v>
      </c>
      <c r="M56" s="1110" t="s">
        <v>896</v>
      </c>
      <c r="N56" s="1110" t="s">
        <v>896</v>
      </c>
      <c r="O56" s="1110" t="s">
        <v>896</v>
      </c>
      <c r="P56" s="1110" t="s">
        <v>896</v>
      </c>
      <c r="Q56" s="1110" t="s">
        <v>896</v>
      </c>
    </row>
    <row r="57" spans="2:17">
      <c r="B57" s="2650" t="s">
        <v>65</v>
      </c>
      <c r="C57" s="2650"/>
      <c r="D57" s="2650"/>
      <c r="E57" s="1108"/>
      <c r="F57" s="1116"/>
      <c r="G57" s="1116"/>
      <c r="H57" s="1116"/>
      <c r="I57" s="1108"/>
      <c r="J57" s="1115"/>
      <c r="K57" s="1116"/>
      <c r="L57" s="1116"/>
      <c r="M57" s="1116"/>
      <c r="N57" s="1116"/>
      <c r="O57" s="1116"/>
      <c r="P57" s="1116"/>
      <c r="Q57" s="1117"/>
    </row>
    <row r="58" spans="2:17">
      <c r="B58" s="1110" t="s">
        <v>869</v>
      </c>
      <c r="C58" s="1109" t="str">
        <f>HLOOKUP($C$44,$F$44:$H$71,15,FALSE)</f>
        <v>R-12.5 ci</v>
      </c>
      <c r="D58" s="1109" t="str">
        <f>HLOOKUP($D$44,$J$44:$Q$71,15,FALSE)</f>
        <v>U-0.064</v>
      </c>
      <c r="E58" s="1108"/>
      <c r="F58" s="1119" t="s">
        <v>290</v>
      </c>
      <c r="G58" s="1119" t="s">
        <v>292</v>
      </c>
      <c r="H58" s="1119" t="s">
        <v>445</v>
      </c>
      <c r="I58" s="1108"/>
      <c r="J58" s="1119" t="s">
        <v>900</v>
      </c>
      <c r="K58" s="1119" t="s">
        <v>901</v>
      </c>
      <c r="L58" s="1119" t="s">
        <v>901</v>
      </c>
      <c r="M58" s="1119" t="s">
        <v>890</v>
      </c>
      <c r="N58" s="1119" t="s">
        <v>902</v>
      </c>
      <c r="O58" s="1119" t="s">
        <v>891</v>
      </c>
      <c r="P58" s="1119" t="s">
        <v>879</v>
      </c>
      <c r="Q58" s="1118" t="s">
        <v>879</v>
      </c>
    </row>
    <row r="59" spans="2:17">
      <c r="B59" s="1110" t="s">
        <v>68</v>
      </c>
      <c r="C59" s="1109" t="str">
        <f>HLOOKUP($C$44,$F$44:$H$71,16,FALSE)</f>
        <v>R-38.0</v>
      </c>
      <c r="D59" s="1109" t="str">
        <f>HLOOKUP($D$44,$J$44:$Q$71,16,FALSE)</f>
        <v>U-0.032</v>
      </c>
      <c r="E59" s="1108"/>
      <c r="F59" s="1119" t="s">
        <v>52</v>
      </c>
      <c r="G59" s="1119" t="s">
        <v>52</v>
      </c>
      <c r="H59" s="1119" t="s">
        <v>903</v>
      </c>
      <c r="I59" s="1108"/>
      <c r="J59" s="1119" t="s">
        <v>882</v>
      </c>
      <c r="K59" s="1119" t="s">
        <v>904</v>
      </c>
      <c r="L59" s="1119" t="s">
        <v>904</v>
      </c>
      <c r="M59" s="1119" t="s">
        <v>860</v>
      </c>
      <c r="N59" s="1119" t="s">
        <v>860</v>
      </c>
      <c r="O59" s="1119" t="s">
        <v>905</v>
      </c>
      <c r="P59" s="1119" t="s">
        <v>905</v>
      </c>
      <c r="Q59" s="1118" t="s">
        <v>905</v>
      </c>
    </row>
    <row r="60" spans="2:17">
      <c r="B60" s="1110" t="s">
        <v>79</v>
      </c>
      <c r="C60" s="1109" t="str">
        <f>HLOOKUP($C$44,$F$44:$H$71,17,FALSE)</f>
        <v>R-30.0 +  R-7.5 ci</v>
      </c>
      <c r="D60" s="1109" t="str">
        <f>HLOOKUP($D$44,$J$44:$Q$71,17,FALSE)</f>
        <v>U-0.026</v>
      </c>
      <c r="E60" s="1108"/>
      <c r="F60" s="1119" t="s">
        <v>906</v>
      </c>
      <c r="G60" s="1119" t="s">
        <v>906</v>
      </c>
      <c r="H60" s="1119" t="s">
        <v>906</v>
      </c>
      <c r="I60" s="1108"/>
      <c r="J60" s="1119" t="s">
        <v>891</v>
      </c>
      <c r="K60" s="1119" t="s">
        <v>907</v>
      </c>
      <c r="L60" s="1119" t="s">
        <v>907</v>
      </c>
      <c r="M60" s="1119" t="s">
        <v>907</v>
      </c>
      <c r="N60" s="1119" t="s">
        <v>907</v>
      </c>
      <c r="O60" s="1119" t="s">
        <v>907</v>
      </c>
      <c r="P60" s="1119" t="s">
        <v>907</v>
      </c>
      <c r="Q60" s="1118" t="s">
        <v>907</v>
      </c>
    </row>
    <row r="61" spans="2:17">
      <c r="B61" s="2650" t="s">
        <v>66</v>
      </c>
      <c r="C61" s="2650"/>
      <c r="D61" s="2650"/>
      <c r="E61" s="1108"/>
      <c r="F61" s="1121"/>
      <c r="G61" s="1121"/>
      <c r="H61" s="1121"/>
      <c r="I61" s="1108"/>
      <c r="J61" s="1120"/>
      <c r="K61" s="1121"/>
      <c r="L61" s="1121"/>
      <c r="M61" s="1121"/>
      <c r="N61" s="1121"/>
      <c r="O61" s="1121"/>
      <c r="P61" s="1121"/>
      <c r="Q61" s="1122"/>
    </row>
    <row r="62" spans="2:17" ht="22.5">
      <c r="B62" s="1110" t="s">
        <v>33</v>
      </c>
      <c r="C62" s="1109" t="str">
        <f>HLOOKUP($C$44,$F$44:$H$71,19,FALSE)</f>
        <v>R-15.0 for 24 in.</v>
      </c>
      <c r="D62" s="1109" t="str">
        <f>HLOOKUP($D$44,$J$44:$Q$71,19,FALSE)</f>
        <v>R-15.0 for 24 in.</v>
      </c>
      <c r="E62" s="1108"/>
      <c r="F62" s="1110" t="s">
        <v>295</v>
      </c>
      <c r="G62" s="1110" t="s">
        <v>25</v>
      </c>
      <c r="H62" s="1110" t="s">
        <v>57</v>
      </c>
      <c r="I62" s="1108"/>
      <c r="J62" s="1110" t="s">
        <v>896</v>
      </c>
      <c r="K62" s="1110" t="s">
        <v>896</v>
      </c>
      <c r="L62" s="1110" t="s">
        <v>896</v>
      </c>
      <c r="M62" s="1110" t="s">
        <v>295</v>
      </c>
      <c r="N62" s="1110" t="s">
        <v>295</v>
      </c>
      <c r="O62" s="1110" t="s">
        <v>296</v>
      </c>
      <c r="P62" s="1110" t="s">
        <v>908</v>
      </c>
      <c r="Q62" s="1110" t="s">
        <v>908</v>
      </c>
    </row>
    <row r="63" spans="2:17">
      <c r="B63" s="1110" t="s">
        <v>27</v>
      </c>
      <c r="C63" s="1109" t="str">
        <f>HLOOKUP($C$44,$F$44:$H$71,20,FALSE)</f>
        <v>R-10.0 for 24 in. + R-5 ci  below</v>
      </c>
      <c r="D63" s="1109" t="str">
        <f>HLOOKUP($D$44,$J$44:$Q$71,20,FALSE)</f>
        <v>R-10.0 for 24 in. + R-5 ci below</v>
      </c>
      <c r="E63" s="1108"/>
      <c r="F63" s="1110" t="s">
        <v>909</v>
      </c>
      <c r="G63" s="1110" t="s">
        <v>297</v>
      </c>
      <c r="H63" s="1110" t="s">
        <v>297</v>
      </c>
      <c r="I63" s="1108"/>
      <c r="J63" s="1110" t="s">
        <v>910</v>
      </c>
      <c r="K63" s="1110" t="s">
        <v>910</v>
      </c>
      <c r="L63" s="1110" t="s">
        <v>910</v>
      </c>
      <c r="M63" s="1110" t="s">
        <v>444</v>
      </c>
      <c r="N63" s="1110" t="s">
        <v>297</v>
      </c>
      <c r="O63" s="1110" t="s">
        <v>297</v>
      </c>
      <c r="P63" s="1110" t="s">
        <v>911</v>
      </c>
      <c r="Q63" s="1110" t="s">
        <v>911</v>
      </c>
    </row>
    <row r="64" spans="2:17">
      <c r="B64" s="2650" t="s">
        <v>664</v>
      </c>
      <c r="C64" s="2650"/>
      <c r="D64" s="2650"/>
      <c r="E64" s="1108"/>
      <c r="F64" s="1111"/>
      <c r="G64" s="1111"/>
      <c r="H64" s="1111"/>
      <c r="I64" s="1108"/>
      <c r="J64" s="1112"/>
      <c r="K64" s="1111"/>
      <c r="L64" s="1111"/>
      <c r="M64" s="1111"/>
      <c r="N64" s="1111"/>
      <c r="O64" s="1111"/>
      <c r="P64" s="1111"/>
      <c r="Q64" s="1113"/>
    </row>
    <row r="65" spans="2:17">
      <c r="B65" s="1110" t="s">
        <v>912</v>
      </c>
      <c r="C65" s="1109" t="str">
        <f>HLOOKUP($C$44,$F$44:$H$71,22,FALSE)</f>
        <v>-</v>
      </c>
      <c r="D65" s="1109" t="str">
        <f>HLOOKUP($D$44,$J$44:$Q$71,22,FALSE)</f>
        <v>U-0.6</v>
      </c>
      <c r="E65" s="1108"/>
      <c r="F65" s="1110" t="s">
        <v>703</v>
      </c>
      <c r="G65" s="1110" t="s">
        <v>703</v>
      </c>
      <c r="H65" s="1110" t="s">
        <v>703</v>
      </c>
      <c r="I65" s="1108"/>
      <c r="J65" s="1110" t="s">
        <v>913</v>
      </c>
      <c r="K65" s="1110" t="s">
        <v>913</v>
      </c>
      <c r="L65" s="1110" t="s">
        <v>913</v>
      </c>
      <c r="M65" s="1110" t="s">
        <v>913</v>
      </c>
      <c r="N65" s="1110" t="s">
        <v>914</v>
      </c>
      <c r="O65" s="1110" t="s">
        <v>914</v>
      </c>
      <c r="P65" s="1110" t="s">
        <v>914</v>
      </c>
      <c r="Q65" s="1110" t="s">
        <v>914</v>
      </c>
    </row>
    <row r="66" spans="2:17">
      <c r="B66" s="2650" t="s">
        <v>915</v>
      </c>
      <c r="C66" s="2650"/>
      <c r="D66" s="2650"/>
      <c r="E66" s="1108"/>
      <c r="F66" s="1111"/>
      <c r="G66" s="1111"/>
      <c r="H66" s="1111"/>
      <c r="I66" s="1108"/>
      <c r="J66" s="1112"/>
      <c r="K66" s="1111"/>
      <c r="L66" s="1111"/>
      <c r="M66" s="1111"/>
      <c r="N66" s="1111"/>
      <c r="O66" s="1111"/>
      <c r="P66" s="1111"/>
      <c r="Q66" s="1113"/>
    </row>
    <row r="67" spans="2:17">
      <c r="B67" s="1110" t="s">
        <v>10</v>
      </c>
      <c r="C67" s="1109" t="str">
        <f>HLOOKUP($C$44,$F$44:$H$71,24,FALSE)</f>
        <v>ENERGY STAR</v>
      </c>
      <c r="D67" s="1109" t="str">
        <f>HLOOKUP($D$44,$J$44:$Q$71,24,FALSE)</f>
        <v>ENERGY STAR</v>
      </c>
      <c r="E67" s="1108"/>
      <c r="F67" s="1110" t="s">
        <v>4</v>
      </c>
      <c r="G67" s="1110" t="s">
        <v>4</v>
      </c>
      <c r="H67" s="1110" t="s">
        <v>4</v>
      </c>
      <c r="I67" s="1108"/>
      <c r="J67" s="1110" t="s">
        <v>4</v>
      </c>
      <c r="K67" s="1110" t="s">
        <v>4</v>
      </c>
      <c r="L67" s="1110" t="s">
        <v>4</v>
      </c>
      <c r="M67" s="1110" t="s">
        <v>4</v>
      </c>
      <c r="N67" s="1110" t="s">
        <v>4</v>
      </c>
      <c r="O67" s="1110" t="s">
        <v>4</v>
      </c>
      <c r="P67" s="1110" t="s">
        <v>4</v>
      </c>
      <c r="Q67" s="1110" t="s">
        <v>4</v>
      </c>
    </row>
    <row r="68" spans="2:17">
      <c r="B68" s="1123"/>
      <c r="C68" s="1124" t="s">
        <v>916</v>
      </c>
      <c r="D68" s="1124" t="s">
        <v>917</v>
      </c>
      <c r="E68" s="1108"/>
      <c r="F68" s="1116"/>
      <c r="G68" s="1116"/>
      <c r="H68" s="1116"/>
      <c r="I68" s="1108"/>
      <c r="J68" s="1112"/>
      <c r="K68" s="1111"/>
      <c r="L68" s="1111"/>
      <c r="M68" s="1111"/>
      <c r="N68" s="1111"/>
      <c r="O68" s="1111"/>
      <c r="P68" s="1111"/>
      <c r="Q68" s="1113"/>
    </row>
    <row r="69" spans="2:17">
      <c r="B69" s="1110" t="s">
        <v>918</v>
      </c>
      <c r="C69" s="1109" t="str">
        <f>HLOOKUP($C$44,$F$44:$H$71,26,FALSE)</f>
        <v>U-0.40</v>
      </c>
      <c r="D69" s="1109" t="str">
        <f>HLOOKUP($D$44,$J$44:$Q$71,26,FALSE)</f>
        <v>SHGC-0.40</v>
      </c>
      <c r="E69" s="1108"/>
      <c r="F69" s="1119" t="s">
        <v>919</v>
      </c>
      <c r="G69" s="1119" t="s">
        <v>920</v>
      </c>
      <c r="H69" s="1119" t="s">
        <v>920</v>
      </c>
      <c r="I69" s="1125"/>
      <c r="J69" s="1110" t="s">
        <v>921</v>
      </c>
      <c r="K69" s="1110" t="s">
        <v>921</v>
      </c>
      <c r="L69" s="1110" t="s">
        <v>921</v>
      </c>
      <c r="M69" s="1110" t="s">
        <v>922</v>
      </c>
      <c r="N69" s="1110" t="s">
        <v>922</v>
      </c>
      <c r="O69" s="1110" t="s">
        <v>922</v>
      </c>
      <c r="P69" s="1110" t="s">
        <v>923</v>
      </c>
      <c r="Q69" s="1110" t="s">
        <v>923</v>
      </c>
    </row>
    <row r="70" spans="2:17">
      <c r="B70" s="1110" t="s">
        <v>11</v>
      </c>
      <c r="C70" s="1109" t="str">
        <f>HLOOKUP($C$44,$F$44:$H$71,27,FALSE)</f>
        <v>U-0.75</v>
      </c>
      <c r="D70" s="1109" t="str">
        <f>HLOOKUP($D$44,$J$44:$Q$71,27,FALSE)</f>
        <v>SHGC-0.40</v>
      </c>
      <c r="E70" s="1108"/>
      <c r="F70" s="1119" t="s">
        <v>924</v>
      </c>
      <c r="G70" s="1119" t="s">
        <v>925</v>
      </c>
      <c r="H70" s="1119" t="s">
        <v>925</v>
      </c>
      <c r="I70" s="1108"/>
      <c r="J70" s="1110" t="s">
        <v>921</v>
      </c>
      <c r="K70" s="1110" t="s">
        <v>921</v>
      </c>
      <c r="L70" s="1110" t="s">
        <v>921</v>
      </c>
      <c r="M70" s="1110" t="s">
        <v>922</v>
      </c>
      <c r="N70" s="1110" t="s">
        <v>922</v>
      </c>
      <c r="O70" s="1110" t="s">
        <v>922</v>
      </c>
      <c r="P70" s="1110" t="s">
        <v>923</v>
      </c>
      <c r="Q70" s="1110" t="s">
        <v>923</v>
      </c>
    </row>
    <row r="71" spans="2:17">
      <c r="B71" s="1110" t="s">
        <v>12</v>
      </c>
      <c r="C71" s="1109" t="str">
        <f>HLOOKUP($C$44,$F$44:$H$71,28,FALSE)</f>
        <v>U-0.45</v>
      </c>
      <c r="D71" s="1109" t="str">
        <f>HLOOKUP($D$44,$J$44:$Q$71,28,FALSE)</f>
        <v>SHGC-0.40</v>
      </c>
      <c r="E71" s="1108"/>
      <c r="F71" s="1119" t="s">
        <v>926</v>
      </c>
      <c r="G71" s="1119" t="s">
        <v>926</v>
      </c>
      <c r="H71" s="1119" t="s">
        <v>926</v>
      </c>
      <c r="I71" s="1108"/>
      <c r="J71" s="1110" t="s">
        <v>921</v>
      </c>
      <c r="K71" s="1110" t="s">
        <v>921</v>
      </c>
      <c r="L71" s="1110" t="s">
        <v>921</v>
      </c>
      <c r="M71" s="1110" t="s">
        <v>922</v>
      </c>
      <c r="N71" s="1110" t="s">
        <v>922</v>
      </c>
      <c r="O71" s="1110" t="s">
        <v>922</v>
      </c>
      <c r="P71" s="1110" t="s">
        <v>923</v>
      </c>
      <c r="Q71" s="1110" t="s">
        <v>923</v>
      </c>
    </row>
    <row r="84" ht="35.25" customHeight="1"/>
    <row r="100" ht="98.25" customHeight="1"/>
    <row r="115" ht="25.5" customHeight="1"/>
    <row r="116" ht="27" customHeight="1"/>
    <row r="129" ht="15" customHeight="1"/>
  </sheetData>
  <sheetProtection sheet="1" objects="1" scenarios="1" formatCells="0" formatColumns="0" formatRows="0"/>
  <mergeCells count="11">
    <mergeCell ref="B54:D54"/>
    <mergeCell ref="B57:D57"/>
    <mergeCell ref="B61:D61"/>
    <mergeCell ref="B64:D64"/>
    <mergeCell ref="B66:D66"/>
    <mergeCell ref="B49:D49"/>
    <mergeCell ref="B3:B4"/>
    <mergeCell ref="B43:B44"/>
    <mergeCell ref="F43:H43"/>
    <mergeCell ref="J43:Q43"/>
    <mergeCell ref="B45:D45"/>
  </mergeCells>
  <pageMargins left="0.7" right="0.7" top="0.75" bottom="0.75" header="0.3" footer="0.3"/>
  <pageSetup orientation="landscap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theme="0" tint="-0.14999847407452621"/>
  </sheetPr>
  <dimension ref="A1:V100"/>
  <sheetViews>
    <sheetView showGridLines="0" topLeftCell="H1" zoomScale="75" zoomScaleNormal="75" workbookViewId="0">
      <selection activeCell="Q10" sqref="Q10"/>
    </sheetView>
  </sheetViews>
  <sheetFormatPr defaultRowHeight="15"/>
  <cols>
    <col min="1" max="1" width="17" style="10" customWidth="1"/>
    <col min="2" max="3" width="52.85546875" style="404" customWidth="1"/>
    <col min="4" max="6" width="18.140625" style="11" customWidth="1"/>
    <col min="7" max="7" width="44.85546875" style="11" bestFit="1" customWidth="1"/>
    <col min="8" max="10" width="18.140625" style="11" customWidth="1"/>
    <col min="11" max="11" width="42.42578125" style="11" bestFit="1" customWidth="1"/>
    <col min="12" max="14" width="18.140625" style="11" customWidth="1"/>
    <col min="15" max="15" width="42.42578125" style="11" bestFit="1" customWidth="1"/>
    <col min="16" max="16" width="14.5703125" style="11" customWidth="1"/>
    <col min="17" max="17" width="12.5703125" style="267" bestFit="1" customWidth="1"/>
    <col min="18" max="20" width="9.140625" style="12"/>
    <col min="21" max="16384" width="9.140625" style="11"/>
  </cols>
  <sheetData>
    <row r="1" spans="1:20" ht="54" customHeight="1" thickBot="1">
      <c r="A1" s="2440" t="s">
        <v>477</v>
      </c>
      <c r="B1" s="2441"/>
      <c r="C1" s="2049" t="s">
        <v>2469</v>
      </c>
      <c r="D1" s="2439" t="s">
        <v>478</v>
      </c>
      <c r="E1" s="2440"/>
      <c r="F1" s="2440"/>
      <c r="G1" s="2441"/>
      <c r="H1" s="2439" t="s">
        <v>479</v>
      </c>
      <c r="I1" s="2440"/>
      <c r="J1" s="2440"/>
      <c r="K1" s="2441"/>
      <c r="L1" s="2439" t="s">
        <v>480</v>
      </c>
      <c r="M1" s="2440"/>
      <c r="N1" s="2440"/>
      <c r="O1" s="2440"/>
      <c r="P1" s="430" t="s">
        <v>471</v>
      </c>
      <c r="Q1" s="432" t="s">
        <v>476</v>
      </c>
      <c r="R1" s="433" t="s">
        <v>472</v>
      </c>
      <c r="S1" s="431" t="s">
        <v>473</v>
      </c>
      <c r="T1" s="432" t="s">
        <v>474</v>
      </c>
    </row>
    <row r="2" spans="1:20">
      <c r="A2" s="2434" t="s">
        <v>470</v>
      </c>
      <c r="B2" s="450" t="s">
        <v>61</v>
      </c>
      <c r="C2" s="340" t="s">
        <v>2470</v>
      </c>
      <c r="D2" s="406"/>
      <c r="E2" s="407"/>
      <c r="F2" s="407"/>
      <c r="G2" s="408"/>
      <c r="H2" s="407"/>
      <c r="I2" s="407"/>
      <c r="J2" s="407"/>
      <c r="K2" s="408"/>
      <c r="L2" s="406"/>
      <c r="M2" s="407"/>
      <c r="N2" s="407"/>
      <c r="O2" s="407"/>
      <c r="P2" s="527"/>
      <c r="Q2" s="528">
        <v>1150</v>
      </c>
      <c r="R2" s="434"/>
      <c r="S2" s="422"/>
      <c r="T2" s="423"/>
    </row>
    <row r="3" spans="1:20">
      <c r="A3" s="2435"/>
      <c r="B3" s="451" t="s">
        <v>62</v>
      </c>
      <c r="C3" s="2053" t="s">
        <v>2470</v>
      </c>
      <c r="D3" s="409"/>
      <c r="E3" s="410"/>
      <c r="F3" s="1004"/>
      <c r="G3" s="411"/>
      <c r="H3" s="410"/>
      <c r="I3" s="410"/>
      <c r="J3" s="1004"/>
      <c r="K3" s="411"/>
      <c r="L3" s="409"/>
      <c r="M3" s="410"/>
      <c r="N3" s="1004"/>
      <c r="O3" s="410"/>
      <c r="P3" s="529"/>
      <c r="Q3" s="417">
        <v>385.4</v>
      </c>
      <c r="R3" s="428"/>
      <c r="S3" s="424"/>
      <c r="T3" s="425"/>
    </row>
    <row r="4" spans="1:20">
      <c r="A4" s="2435"/>
      <c r="B4" s="451" t="s">
        <v>203</v>
      </c>
      <c r="C4" s="2053" t="s">
        <v>2470</v>
      </c>
      <c r="D4" s="409"/>
      <c r="E4" s="410"/>
      <c r="F4" s="1004"/>
      <c r="G4" s="411"/>
      <c r="H4" s="410"/>
      <c r="I4" s="410"/>
      <c r="J4" s="1004"/>
      <c r="K4" s="411"/>
      <c r="L4" s="409"/>
      <c r="M4" s="410"/>
      <c r="N4" s="1004"/>
      <c r="O4" s="410"/>
      <c r="P4" s="529"/>
      <c r="Q4" s="417">
        <v>675</v>
      </c>
      <c r="R4" s="428"/>
      <c r="S4" s="424"/>
      <c r="T4" s="425"/>
    </row>
    <row r="5" spans="1:20">
      <c r="A5" s="2435"/>
      <c r="B5" s="451" t="s">
        <v>204</v>
      </c>
      <c r="C5" s="2053" t="s">
        <v>2470</v>
      </c>
      <c r="D5" s="409"/>
      <c r="E5" s="410"/>
      <c r="F5" s="1004"/>
      <c r="G5" s="411"/>
      <c r="H5" s="410"/>
      <c r="I5" s="410"/>
      <c r="J5" s="1004"/>
      <c r="K5" s="411"/>
      <c r="L5" s="409"/>
      <c r="M5" s="410"/>
      <c r="N5" s="1004"/>
      <c r="O5" s="410"/>
      <c r="P5" s="529"/>
      <c r="Q5" s="417">
        <v>492</v>
      </c>
      <c r="R5" s="428"/>
      <c r="S5" s="424"/>
      <c r="T5" s="425"/>
    </row>
    <row r="6" spans="1:20" ht="15.75" thickBot="1">
      <c r="A6" s="2435"/>
      <c r="B6" s="452" t="s">
        <v>461</v>
      </c>
      <c r="C6" s="2054" t="s">
        <v>2470</v>
      </c>
      <c r="D6" s="414"/>
      <c r="E6" s="415"/>
      <c r="F6" s="415"/>
      <c r="G6" s="416"/>
      <c r="H6" s="415"/>
      <c r="I6" s="415"/>
      <c r="J6" s="415"/>
      <c r="K6" s="416"/>
      <c r="L6" s="414"/>
      <c r="M6" s="415"/>
      <c r="N6" s="415"/>
      <c r="O6" s="415"/>
      <c r="P6" s="530"/>
      <c r="Q6" s="531">
        <v>190</v>
      </c>
      <c r="R6" s="435"/>
      <c r="S6" s="426"/>
      <c r="T6" s="427"/>
    </row>
    <row r="7" spans="1:20" ht="60.75" thickBot="1">
      <c r="A7" s="2442" t="s">
        <v>40</v>
      </c>
      <c r="B7" s="453"/>
      <c r="C7" s="2055"/>
      <c r="D7" s="2423" t="s">
        <v>490</v>
      </c>
      <c r="E7" s="2424"/>
      <c r="F7" s="2424"/>
      <c r="G7" s="2425"/>
      <c r="H7" s="2423" t="s">
        <v>490</v>
      </c>
      <c r="I7" s="2424"/>
      <c r="J7" s="2424"/>
      <c r="K7" s="2425"/>
      <c r="L7" s="2423" t="s">
        <v>490</v>
      </c>
      <c r="M7" s="2424"/>
      <c r="N7" s="2424"/>
      <c r="O7" s="2424"/>
      <c r="P7" s="430" t="s">
        <v>471</v>
      </c>
      <c r="Q7" s="432" t="s">
        <v>476</v>
      </c>
      <c r="R7" s="433" t="s">
        <v>472</v>
      </c>
      <c r="S7" s="431" t="s">
        <v>473</v>
      </c>
      <c r="T7" s="432" t="s">
        <v>474</v>
      </c>
    </row>
    <row r="8" spans="1:20">
      <c r="A8" s="2443"/>
      <c r="B8" s="454" t="s">
        <v>70</v>
      </c>
      <c r="C8" s="2056" t="s">
        <v>2471</v>
      </c>
      <c r="D8" s="2445">
        <f>0.67-0.0019*'Prescriptive Path'!$H$35</f>
        <v>0.67</v>
      </c>
      <c r="E8" s="2446"/>
      <c r="F8" s="2447"/>
      <c r="G8" s="2448"/>
      <c r="H8" s="2445">
        <f>0.67-0.0019*'Prescriptive Path'!$H$35</f>
        <v>0.67</v>
      </c>
      <c r="I8" s="2446"/>
      <c r="J8" s="2447"/>
      <c r="K8" s="2448"/>
      <c r="L8" s="2445">
        <f>0.67-0.0019*'Prescriptive Path'!$H$35</f>
        <v>0.67</v>
      </c>
      <c r="M8" s="2446"/>
      <c r="N8" s="2447"/>
      <c r="O8" s="2446"/>
      <c r="P8" s="419">
        <f>IF('Prescriptive Path'!$K$1=4,Baseline!D8,IF('Prescriptive Path'!$K$1=5,Baseline!H8,Baseline!L8))</f>
        <v>0.67</v>
      </c>
      <c r="Q8" s="417">
        <f>(15.05*'Prescriptive Path'!H35+697.5)</f>
        <v>697.5</v>
      </c>
      <c r="R8" s="428"/>
      <c r="S8" s="424"/>
      <c r="T8" s="425"/>
    </row>
    <row r="9" spans="1:20">
      <c r="A9" s="2443"/>
      <c r="B9" s="455" t="s">
        <v>71</v>
      </c>
      <c r="C9" s="2057" t="s">
        <v>2471</v>
      </c>
      <c r="D9" s="2436">
        <f>0.97-0.00132*'Prescriptive Path'!$H$38</f>
        <v>0.97</v>
      </c>
      <c r="E9" s="2437"/>
      <c r="F9" s="2437"/>
      <c r="G9" s="2438"/>
      <c r="H9" s="2436">
        <f>0.97-0.00132*'Prescriptive Path'!$H$38</f>
        <v>0.97</v>
      </c>
      <c r="I9" s="2437"/>
      <c r="J9" s="2437"/>
      <c r="K9" s="2438"/>
      <c r="L9" s="2436">
        <f>0.97-0.00132*'Prescriptive Path'!$H$38</f>
        <v>0.97</v>
      </c>
      <c r="M9" s="2437"/>
      <c r="N9" s="2437"/>
      <c r="O9" s="2437"/>
      <c r="P9" s="419">
        <f>IF('Prescriptive Path'!$K$1=4,Baseline!D9,IF('Prescriptive Path'!$K$1=5,Baseline!H9,Baseline!L9))</f>
        <v>0.97</v>
      </c>
      <c r="Q9" s="417">
        <f>(42*'Prescriptive Path'!H38-435)</f>
        <v>-435</v>
      </c>
      <c r="R9" s="428"/>
      <c r="S9" s="424"/>
      <c r="T9" s="425"/>
    </row>
    <row r="10" spans="1:20">
      <c r="A10" s="2443"/>
      <c r="B10" s="455" t="s">
        <v>72</v>
      </c>
      <c r="C10" s="2058" t="s">
        <v>2486</v>
      </c>
      <c r="D10" s="2420">
        <v>0.8</v>
      </c>
      <c r="E10" s="2421"/>
      <c r="F10" s="2421"/>
      <c r="G10" s="2422"/>
      <c r="H10" s="2420">
        <v>0.8</v>
      </c>
      <c r="I10" s="2421"/>
      <c r="J10" s="2421"/>
      <c r="K10" s="2422"/>
      <c r="L10" s="2420">
        <v>0.8</v>
      </c>
      <c r="M10" s="2421"/>
      <c r="N10" s="2421"/>
      <c r="O10" s="2421"/>
      <c r="P10" s="419">
        <f>IF('Prescriptive Path'!$K$1=4,Baseline!D10,IF('Prescriptive Path'!$K$1=5,Baseline!H10,Baseline!L10))</f>
        <v>0.8</v>
      </c>
      <c r="Q10" s="417">
        <v>34434.78</v>
      </c>
      <c r="R10" s="428"/>
      <c r="S10" s="424"/>
      <c r="T10" s="425"/>
    </row>
    <row r="11" spans="1:20">
      <c r="A11" s="2443"/>
      <c r="B11" s="555" t="s">
        <v>488</v>
      </c>
      <c r="C11" s="2058" t="s">
        <v>2473</v>
      </c>
      <c r="D11" s="2420">
        <v>2.5</v>
      </c>
      <c r="E11" s="2421"/>
      <c r="F11" s="2421"/>
      <c r="G11" s="2422"/>
      <c r="H11" s="2420">
        <v>2.5</v>
      </c>
      <c r="I11" s="2421"/>
      <c r="J11" s="2421"/>
      <c r="K11" s="2422"/>
      <c r="L11" s="2420">
        <v>2.5</v>
      </c>
      <c r="M11" s="2421"/>
      <c r="N11" s="2421"/>
      <c r="O11" s="2421"/>
      <c r="P11" s="559">
        <v>2.5</v>
      </c>
      <c r="Q11" s="417">
        <v>129.69999999999999</v>
      </c>
      <c r="R11" s="428"/>
      <c r="S11" s="424"/>
      <c r="T11" s="425"/>
    </row>
    <row r="12" spans="1:20" ht="15.75" thickBot="1">
      <c r="A12" s="2444"/>
      <c r="B12" s="554" t="s">
        <v>489</v>
      </c>
      <c r="C12" s="2058" t="s">
        <v>2473</v>
      </c>
      <c r="D12" s="2420">
        <v>2.5</v>
      </c>
      <c r="E12" s="2421"/>
      <c r="F12" s="2421"/>
      <c r="G12" s="2422"/>
      <c r="H12" s="2420">
        <v>2.5</v>
      </c>
      <c r="I12" s="2421"/>
      <c r="J12" s="2421"/>
      <c r="K12" s="2422"/>
      <c r="L12" s="2420">
        <v>2.5</v>
      </c>
      <c r="M12" s="2421"/>
      <c r="N12" s="2421"/>
      <c r="O12" s="2421"/>
      <c r="P12" s="532">
        <v>2.5</v>
      </c>
      <c r="Q12" s="537">
        <v>129.69999999999999</v>
      </c>
      <c r="R12" s="556"/>
      <c r="S12" s="557"/>
      <c r="T12" s="558"/>
    </row>
    <row r="13" spans="1:20" ht="60.75" thickBot="1">
      <c r="A13" s="465" t="s">
        <v>45</v>
      </c>
      <c r="B13" s="453"/>
      <c r="C13" s="453"/>
      <c r="D13" s="445" t="s">
        <v>73</v>
      </c>
      <c r="E13" s="445" t="s">
        <v>74</v>
      </c>
      <c r="F13" s="2091"/>
      <c r="G13" s="445" t="s">
        <v>75</v>
      </c>
      <c r="H13" s="445" t="s">
        <v>73</v>
      </c>
      <c r="I13" s="445" t="s">
        <v>74</v>
      </c>
      <c r="J13" s="2091"/>
      <c r="K13" s="445" t="s">
        <v>75</v>
      </c>
      <c r="L13" s="445" t="s">
        <v>73</v>
      </c>
      <c r="M13" s="445" t="s">
        <v>74</v>
      </c>
      <c r="N13" s="2085"/>
      <c r="O13" s="449" t="s">
        <v>75</v>
      </c>
      <c r="P13" s="430" t="s">
        <v>471</v>
      </c>
      <c r="Q13" s="432" t="s">
        <v>476</v>
      </c>
      <c r="R13" s="433" t="s">
        <v>472</v>
      </c>
      <c r="S13" s="431" t="s">
        <v>473</v>
      </c>
      <c r="T13" s="432" t="s">
        <v>474</v>
      </c>
    </row>
    <row r="14" spans="1:20">
      <c r="A14" s="2411" t="s">
        <v>29</v>
      </c>
      <c r="B14" s="454" t="s">
        <v>101</v>
      </c>
      <c r="C14" s="2059" t="s">
        <v>2485</v>
      </c>
      <c r="D14" s="420" t="s">
        <v>178</v>
      </c>
      <c r="E14" s="420">
        <v>4.8000000000000001E-2</v>
      </c>
      <c r="F14" s="429"/>
      <c r="G14" s="420" t="str">
        <f t="shared" ref="G14:G20" si="0">"U-"&amp;$E14</f>
        <v>U-0.048</v>
      </c>
      <c r="H14" s="420" t="s">
        <v>178</v>
      </c>
      <c r="I14" s="420">
        <v>4.8000000000000001E-2</v>
      </c>
      <c r="J14" s="420"/>
      <c r="K14" s="420" t="str">
        <f>"U-"&amp;$I14</f>
        <v>U-0.048</v>
      </c>
      <c r="L14" s="420" t="s">
        <v>178</v>
      </c>
      <c r="M14" s="420">
        <v>4.8000000000000001E-2</v>
      </c>
      <c r="N14" s="2109"/>
      <c r="O14" s="405" t="str">
        <f>"U-"&amp;$M14</f>
        <v>U-0.048</v>
      </c>
      <c r="P14" s="419">
        <f>IF('Prescriptive Path'!$K$1=4,Baseline!E14,IF('Prescriptive Path'!$K$1=5,Baseline!I14,Baseline!M14))</f>
        <v>4.8000000000000001E-2</v>
      </c>
      <c r="Q14" s="417">
        <v>1.98</v>
      </c>
      <c r="R14" s="428"/>
      <c r="S14" s="424"/>
      <c r="T14" s="425"/>
    </row>
    <row r="15" spans="1:20">
      <c r="A15" s="2411"/>
      <c r="B15" s="403" t="s">
        <v>51</v>
      </c>
      <c r="C15" s="2059" t="s">
        <v>2485</v>
      </c>
      <c r="D15" s="2115" t="s">
        <v>2522</v>
      </c>
      <c r="E15" s="2115">
        <v>5.5E-2</v>
      </c>
      <c r="F15" s="429"/>
      <c r="G15" s="237" t="str">
        <f t="shared" si="0"/>
        <v>U-0.055</v>
      </c>
      <c r="H15" s="2115" t="s">
        <v>2522</v>
      </c>
      <c r="I15" s="2115">
        <v>5.5E-2</v>
      </c>
      <c r="J15" s="2115"/>
      <c r="K15" s="237" t="str">
        <f t="shared" ref="K15:K25" si="1">"U-"&amp;$I15</f>
        <v>U-0.055</v>
      </c>
      <c r="L15" s="2115" t="s">
        <v>2523</v>
      </c>
      <c r="M15" s="2115">
        <v>4.9000000000000002E-2</v>
      </c>
      <c r="N15" s="2116"/>
      <c r="O15" s="401" t="str">
        <f t="shared" ref="O15:O25" si="2">"U-"&amp;$M15</f>
        <v>U-0.049</v>
      </c>
      <c r="P15" s="419">
        <f>IF('Prescriptive Path'!$K$1=4,Baseline!E15,IF('Prescriptive Path'!$K$1=5,Baseline!I15,Baseline!M15))</f>
        <v>5.5E-2</v>
      </c>
      <c r="Q15" s="417">
        <v>0</v>
      </c>
      <c r="R15" s="428"/>
      <c r="S15" s="424"/>
      <c r="T15" s="425"/>
    </row>
    <row r="16" spans="1:20">
      <c r="A16" s="2411"/>
      <c r="B16" s="403" t="s">
        <v>53</v>
      </c>
      <c r="C16" s="2059" t="s">
        <v>2485</v>
      </c>
      <c r="D16" s="237" t="s">
        <v>52</v>
      </c>
      <c r="E16" s="237">
        <v>2.7E-2</v>
      </c>
      <c r="F16" s="429"/>
      <c r="G16" s="237" t="str">
        <f t="shared" si="0"/>
        <v>U-0.027</v>
      </c>
      <c r="H16" s="237" t="s">
        <v>52</v>
      </c>
      <c r="I16" s="237">
        <v>2.7E-2</v>
      </c>
      <c r="J16" s="2086"/>
      <c r="K16" s="237" t="str">
        <f t="shared" si="1"/>
        <v>U-0.027</v>
      </c>
      <c r="L16" s="237" t="s">
        <v>52</v>
      </c>
      <c r="M16" s="237">
        <v>2.7E-2</v>
      </c>
      <c r="N16" s="2083"/>
      <c r="O16" s="401" t="str">
        <f t="shared" si="2"/>
        <v>U-0.027</v>
      </c>
      <c r="P16" s="419">
        <f>IF('Prescriptive Path'!$K$1=4,Baseline!E16,IF('Prescriptive Path'!$K$1=5,Baseline!I16,Baseline!M16))</f>
        <v>2.7E-2</v>
      </c>
      <c r="Q16" s="417">
        <v>1.62</v>
      </c>
      <c r="R16" s="428"/>
      <c r="S16" s="424"/>
      <c r="T16" s="425"/>
    </row>
    <row r="17" spans="1:20">
      <c r="A17" s="2411" t="s">
        <v>76</v>
      </c>
      <c r="B17" s="403" t="s">
        <v>99</v>
      </c>
      <c r="C17" s="2059" t="s">
        <v>2485</v>
      </c>
      <c r="D17" s="237" t="s">
        <v>180</v>
      </c>
      <c r="E17" s="237">
        <v>0.09</v>
      </c>
      <c r="F17" s="429"/>
      <c r="G17" s="237" t="str">
        <f t="shared" si="0"/>
        <v>U-0.09</v>
      </c>
      <c r="H17" s="237" t="s">
        <v>189</v>
      </c>
      <c r="I17" s="237">
        <v>0.08</v>
      </c>
      <c r="J17" s="2086"/>
      <c r="K17" s="237" t="str">
        <f t="shared" si="1"/>
        <v>U-0.08</v>
      </c>
      <c r="L17" s="237" t="s">
        <v>190</v>
      </c>
      <c r="M17" s="398">
        <v>7.0999999999999994E-2</v>
      </c>
      <c r="N17" s="2110"/>
      <c r="O17" s="401" t="str">
        <f t="shared" si="2"/>
        <v>U-0.071</v>
      </c>
      <c r="P17" s="419">
        <f>IF('Prescriptive Path'!$K$1=4,Baseline!E17,IF('Prescriptive Path'!$K$1=5,Baseline!I17,Baseline!M17))</f>
        <v>0.08</v>
      </c>
      <c r="Q17" s="417">
        <f>IF('Prescriptive Path'!$K$1=4,R17,IF('Prescriptive Path'!$K$1=5,S17,T17))</f>
        <v>2.08</v>
      </c>
      <c r="R17" s="421">
        <v>1.84</v>
      </c>
      <c r="S17" s="237">
        <f>1.84+(2.32-1.84)/2</f>
        <v>2.08</v>
      </c>
      <c r="T17" s="66">
        <v>1.6</v>
      </c>
    </row>
    <row r="18" spans="1:20">
      <c r="A18" s="2411"/>
      <c r="B18" s="403" t="s">
        <v>102</v>
      </c>
      <c r="C18" s="2059" t="s">
        <v>2485</v>
      </c>
      <c r="D18" s="237" t="s">
        <v>181</v>
      </c>
      <c r="E18" s="237">
        <v>6.4000000000000001E-2</v>
      </c>
      <c r="F18" s="429"/>
      <c r="G18" s="237" t="str">
        <f t="shared" si="0"/>
        <v>U-0.064</v>
      </c>
      <c r="H18" s="237" t="s">
        <v>181</v>
      </c>
      <c r="I18" s="398">
        <v>6.4000000000000001E-2</v>
      </c>
      <c r="J18" s="398"/>
      <c r="K18" s="237" t="str">
        <f t="shared" si="1"/>
        <v>U-0.064</v>
      </c>
      <c r="L18" s="237" t="s">
        <v>181</v>
      </c>
      <c r="M18" s="398">
        <v>6.4000000000000001E-2</v>
      </c>
      <c r="N18" s="2110"/>
      <c r="O18" s="401" t="str">
        <f t="shared" si="2"/>
        <v>U-0.064</v>
      </c>
      <c r="P18" s="419">
        <f>IF('Prescriptive Path'!$K$1=4,Baseline!E18,IF('Prescriptive Path'!$K$1=5,Baseline!I18,Baseline!M18))</f>
        <v>6.4000000000000001E-2</v>
      </c>
      <c r="Q18" s="417">
        <v>1.24</v>
      </c>
      <c r="R18" s="428"/>
      <c r="S18" s="424"/>
      <c r="T18" s="425"/>
    </row>
    <row r="19" spans="1:20">
      <c r="A19" s="2411"/>
      <c r="B19" s="403" t="s">
        <v>252</v>
      </c>
      <c r="C19" s="2059" t="s">
        <v>2485</v>
      </c>
      <c r="D19" s="237" t="s">
        <v>179</v>
      </c>
      <c r="E19" s="237">
        <v>8.4000000000000005E-2</v>
      </c>
      <c r="F19" s="429"/>
      <c r="G19" s="237" t="str">
        <f t="shared" si="0"/>
        <v>U-0.084</v>
      </c>
      <c r="H19" s="237" t="s">
        <v>400</v>
      </c>
      <c r="I19" s="398">
        <v>6.9000000000000006E-2</v>
      </c>
      <c r="J19" s="398"/>
      <c r="K19" s="237" t="str">
        <f t="shared" si="1"/>
        <v>U-0.069</v>
      </c>
      <c r="L19" s="237" t="str">
        <f>H19</f>
        <v>R-13.0 + R-5.6 c.i.</v>
      </c>
      <c r="M19" s="398">
        <f>I19</f>
        <v>6.9000000000000006E-2</v>
      </c>
      <c r="N19" s="2110"/>
      <c r="O19" s="401" t="str">
        <f t="shared" si="2"/>
        <v>U-0.069</v>
      </c>
      <c r="P19" s="419">
        <f>IF('Prescriptive Path'!$K$1=4,Baseline!E19,IF('Prescriptive Path'!$K$1=5,Baseline!I19,Baseline!M19))</f>
        <v>6.9000000000000006E-2</v>
      </c>
      <c r="Q19" s="417">
        <v>1</v>
      </c>
      <c r="R19" s="428"/>
      <c r="S19" s="424"/>
      <c r="T19" s="425"/>
    </row>
    <row r="20" spans="1:20">
      <c r="A20" s="2411"/>
      <c r="B20" s="403" t="s">
        <v>277</v>
      </c>
      <c r="C20" s="2059" t="s">
        <v>2485</v>
      </c>
      <c r="D20" s="237" t="s">
        <v>182</v>
      </c>
      <c r="E20" s="237">
        <v>6.4000000000000001E-2</v>
      </c>
      <c r="F20" s="429"/>
      <c r="G20" s="237" t="str">
        <f t="shared" si="0"/>
        <v>U-0.064</v>
      </c>
      <c r="H20" s="237" t="s">
        <v>181</v>
      </c>
      <c r="I20" s="398">
        <v>5.0999999999999997E-2</v>
      </c>
      <c r="J20" s="398"/>
      <c r="K20" s="237" t="str">
        <f t="shared" si="1"/>
        <v>U-0.051</v>
      </c>
      <c r="L20" s="237" t="s">
        <v>181</v>
      </c>
      <c r="M20" s="398">
        <v>5.0999999999999997E-2</v>
      </c>
      <c r="N20" s="2110"/>
      <c r="O20" s="401" t="str">
        <f t="shared" si="2"/>
        <v>U-0.051</v>
      </c>
      <c r="P20" s="419">
        <f>IF('Prescriptive Path'!$K$1=4,Baseline!E20,IF('Prescriptive Path'!$K$1=5,Baseline!I20,Baseline!M20))</f>
        <v>5.0999999999999997E-2</v>
      </c>
      <c r="Q20" s="417">
        <f>IF('Prescriptive Path'!$K$1=4,R20,IF('Prescriptive Path'!$K$1=5,S20,T20))</f>
        <v>1.36</v>
      </c>
      <c r="R20" s="421">
        <v>0.99</v>
      </c>
      <c r="S20" s="237">
        <v>1.36</v>
      </c>
      <c r="T20" s="66">
        <v>1.36</v>
      </c>
    </row>
    <row r="21" spans="1:20">
      <c r="A21" s="2411" t="s">
        <v>77</v>
      </c>
      <c r="B21" s="403" t="s">
        <v>5</v>
      </c>
      <c r="C21" s="2059" t="s">
        <v>2485</v>
      </c>
      <c r="D21" s="399" t="s">
        <v>183</v>
      </c>
      <c r="E21" s="398">
        <v>0.11899999999999999</v>
      </c>
      <c r="F21" s="429"/>
      <c r="G21" s="237" t="str">
        <f>"C-"&amp;$E21</f>
        <v>C-0.119</v>
      </c>
      <c r="H21" s="399" t="s">
        <v>183</v>
      </c>
      <c r="I21" s="398">
        <v>0.11899999999999999</v>
      </c>
      <c r="J21" s="398"/>
      <c r="K21" s="237" t="str">
        <f>"C-"&amp;$I21</f>
        <v>C-0.119</v>
      </c>
      <c r="L21" s="399" t="s">
        <v>183</v>
      </c>
      <c r="M21" s="398">
        <v>0.11899999999999999</v>
      </c>
      <c r="N21" s="2110"/>
      <c r="O21" s="401" t="str">
        <f>"C-"&amp;$M21</f>
        <v>C-0.119</v>
      </c>
      <c r="P21" s="419">
        <f>IF('Prescriptive Path'!$K$1=4,Baseline!E21,IF('Prescriptive Path'!$K$1=5,Baseline!I21,Baseline!M21))</f>
        <v>0.11899999999999999</v>
      </c>
      <c r="Q21" s="417">
        <v>1.36</v>
      </c>
      <c r="R21" s="428"/>
      <c r="S21" s="424"/>
      <c r="T21" s="425"/>
    </row>
    <row r="22" spans="1:20">
      <c r="A22" s="2411"/>
      <c r="B22" s="403" t="s">
        <v>78</v>
      </c>
      <c r="C22" s="2059" t="s">
        <v>2485</v>
      </c>
      <c r="D22" s="2430" t="s">
        <v>7</v>
      </c>
      <c r="E22" s="2430"/>
      <c r="F22" s="2430"/>
      <c r="G22" s="2430"/>
      <c r="H22" s="2430" t="s">
        <v>7</v>
      </c>
      <c r="I22" s="2430"/>
      <c r="J22" s="2430"/>
      <c r="K22" s="2430"/>
      <c r="L22" s="2430" t="s">
        <v>7</v>
      </c>
      <c r="M22" s="2430"/>
      <c r="N22" s="2431"/>
      <c r="O22" s="2431"/>
      <c r="P22" s="529"/>
      <c r="Q22" s="512"/>
      <c r="R22" s="428"/>
      <c r="S22" s="424"/>
      <c r="T22" s="425"/>
    </row>
    <row r="23" spans="1:20">
      <c r="A23" s="2411" t="s">
        <v>65</v>
      </c>
      <c r="B23" s="403" t="s">
        <v>100</v>
      </c>
      <c r="C23" s="2059" t="s">
        <v>2485</v>
      </c>
      <c r="D23" s="237" t="s">
        <v>184</v>
      </c>
      <c r="E23" s="237">
        <v>7.3999999999999996E-2</v>
      </c>
      <c r="F23" s="429"/>
      <c r="G23" s="237" t="str">
        <f>"U-"&amp;$E23</f>
        <v>U-0.074</v>
      </c>
      <c r="H23" s="237" t="s">
        <v>187</v>
      </c>
      <c r="I23" s="237">
        <v>6.4000000000000001E-2</v>
      </c>
      <c r="J23" s="2086"/>
      <c r="K23" s="237" t="str">
        <f t="shared" si="1"/>
        <v>U-0.064</v>
      </c>
      <c r="L23" s="237" t="s">
        <v>191</v>
      </c>
      <c r="M23" s="237">
        <v>5.7000000000000002E-2</v>
      </c>
      <c r="N23" s="2083"/>
      <c r="O23" s="401" t="str">
        <f t="shared" si="2"/>
        <v>U-0.057</v>
      </c>
      <c r="P23" s="419">
        <f>IF('Prescriptive Path'!$K$1=4,Baseline!E23,IF('Prescriptive Path'!$K$1=5,Baseline!I23,Baseline!M23))</f>
        <v>6.4000000000000001E-2</v>
      </c>
      <c r="Q23" s="417">
        <f>IF('Prescriptive Path'!$K$1=4,R23,IF('Prescriptive Path'!$K$1=5,S23,T23))</f>
        <v>1.44</v>
      </c>
      <c r="R23" s="421">
        <v>1.24</v>
      </c>
      <c r="S23" s="237">
        <v>1.44</v>
      </c>
      <c r="T23" s="66">
        <f>1.44+(1.6-1.44)/2</f>
        <v>1.52</v>
      </c>
    </row>
    <row r="24" spans="1:20">
      <c r="A24" s="2411"/>
      <c r="B24" s="403" t="s">
        <v>68</v>
      </c>
      <c r="C24" s="2059" t="s">
        <v>2485</v>
      </c>
      <c r="D24" s="237" t="s">
        <v>55</v>
      </c>
      <c r="E24" s="237">
        <v>3.7999999999999999E-2</v>
      </c>
      <c r="F24" s="429"/>
      <c r="G24" s="237" t="str">
        <f>"U-"&amp;$E24</f>
        <v>U-0.038</v>
      </c>
      <c r="H24" s="237" t="s">
        <v>55</v>
      </c>
      <c r="I24" s="237">
        <v>3.7999999999999999E-2</v>
      </c>
      <c r="J24" s="2086"/>
      <c r="K24" s="237" t="str">
        <f t="shared" si="1"/>
        <v>U-0.038</v>
      </c>
      <c r="L24" s="237" t="s">
        <v>52</v>
      </c>
      <c r="M24" s="237">
        <v>3.2000000000000001E-2</v>
      </c>
      <c r="N24" s="2083"/>
      <c r="O24" s="401" t="str">
        <f t="shared" si="2"/>
        <v>U-0.032</v>
      </c>
      <c r="P24" s="419">
        <f>IF('Prescriptive Path'!$K$1=4,Baseline!E24,IF('Prescriptive Path'!$K$1=5,Baseline!I24,Baseline!M24))</f>
        <v>3.7999999999999999E-2</v>
      </c>
      <c r="Q24" s="417">
        <f>IF('Prescriptive Path'!$K$1=4,R24,IF('Prescriptive Path'!$K$1=5,S24,T24))</f>
        <v>1.89</v>
      </c>
      <c r="R24" s="421">
        <v>1.89</v>
      </c>
      <c r="S24" s="237">
        <v>1.89</v>
      </c>
      <c r="T24" s="66">
        <v>2.06</v>
      </c>
    </row>
    <row r="25" spans="1:20">
      <c r="A25" s="2411"/>
      <c r="B25" s="403" t="s">
        <v>79</v>
      </c>
      <c r="C25" s="2059" t="s">
        <v>2485</v>
      </c>
      <c r="D25" s="237" t="s">
        <v>55</v>
      </c>
      <c r="E25" s="237">
        <v>3.3000000000000002E-2</v>
      </c>
      <c r="F25" s="429"/>
      <c r="G25" s="237" t="str">
        <f>"U-"&amp;$E25</f>
        <v>U-0.033</v>
      </c>
      <c r="H25" s="237" t="s">
        <v>55</v>
      </c>
      <c r="I25" s="237">
        <v>3.3000000000000002E-2</v>
      </c>
      <c r="J25" s="2086"/>
      <c r="K25" s="237" t="str">
        <f t="shared" si="1"/>
        <v>U-0.033</v>
      </c>
      <c r="L25" s="237" t="s">
        <v>55</v>
      </c>
      <c r="M25" s="237">
        <v>3.3000000000000002E-2</v>
      </c>
      <c r="N25" s="2083"/>
      <c r="O25" s="401" t="str">
        <f t="shared" si="2"/>
        <v>U-0.033</v>
      </c>
      <c r="P25" s="419">
        <f>IF('Prescriptive Path'!$K$1=4,Baseline!E25,IF('Prescriptive Path'!$K$1=5,Baseline!I25,Baseline!M25))</f>
        <v>3.3000000000000002E-2</v>
      </c>
      <c r="Q25" s="417">
        <v>0</v>
      </c>
      <c r="R25" s="428"/>
      <c r="S25" s="424"/>
      <c r="T25" s="425"/>
    </row>
    <row r="26" spans="1:20">
      <c r="A26" s="2411" t="s">
        <v>66</v>
      </c>
      <c r="B26" s="456" t="s">
        <v>33</v>
      </c>
      <c r="C26" s="2059" t="s">
        <v>2485</v>
      </c>
      <c r="D26" s="2431" t="s">
        <v>25</v>
      </c>
      <c r="E26" s="2432"/>
      <c r="F26" s="2432"/>
      <c r="G26" s="2433"/>
      <c r="H26" s="2431" t="s">
        <v>25</v>
      </c>
      <c r="I26" s="2432"/>
      <c r="J26" s="2432"/>
      <c r="K26" s="2433"/>
      <c r="L26" s="2430" t="s">
        <v>57</v>
      </c>
      <c r="M26" s="2430"/>
      <c r="N26" s="2431"/>
      <c r="O26" s="2431"/>
      <c r="P26" s="529"/>
      <c r="Q26" s="533"/>
      <c r="R26" s="428"/>
      <c r="S26" s="424"/>
      <c r="T26" s="425"/>
    </row>
    <row r="27" spans="1:20">
      <c r="A27" s="2411"/>
      <c r="B27" s="403" t="s">
        <v>27</v>
      </c>
      <c r="C27" s="2059" t="s">
        <v>2485</v>
      </c>
      <c r="D27" s="2430" t="s">
        <v>58</v>
      </c>
      <c r="E27" s="2430"/>
      <c r="F27" s="2430"/>
      <c r="G27" s="2430"/>
      <c r="H27" s="2430" t="s">
        <v>57</v>
      </c>
      <c r="I27" s="2430"/>
      <c r="J27" s="2430"/>
      <c r="K27" s="2430"/>
      <c r="L27" s="2430" t="s">
        <v>59</v>
      </c>
      <c r="M27" s="2430"/>
      <c r="N27" s="2431"/>
      <c r="O27" s="2431"/>
      <c r="P27" s="529"/>
      <c r="Q27" s="512"/>
      <c r="R27" s="428"/>
      <c r="S27" s="424"/>
      <c r="T27" s="425"/>
    </row>
    <row r="28" spans="1:20">
      <c r="A28" s="466" t="s">
        <v>13</v>
      </c>
      <c r="B28" s="403" t="s">
        <v>8</v>
      </c>
      <c r="C28" s="2059" t="s">
        <v>2485</v>
      </c>
      <c r="D28" s="237" t="s">
        <v>360</v>
      </c>
      <c r="E28" s="237">
        <v>0.7</v>
      </c>
      <c r="F28" s="429"/>
      <c r="G28" s="237" t="str">
        <f>"U-"&amp;$E28</f>
        <v>U-0.7</v>
      </c>
      <c r="H28" s="237" t="s">
        <v>56</v>
      </c>
      <c r="I28" s="237">
        <v>0.5</v>
      </c>
      <c r="J28" s="2086"/>
      <c r="K28" s="237" t="str">
        <f>"U-"&amp;$I28</f>
        <v>U-0.5</v>
      </c>
      <c r="L28" s="237" t="s">
        <v>56</v>
      </c>
      <c r="M28" s="237">
        <v>0.5</v>
      </c>
      <c r="N28" s="2083"/>
      <c r="O28" s="401" t="str">
        <f>"U-"&amp;$M28</f>
        <v>U-0.5</v>
      </c>
      <c r="P28" s="419">
        <f>IF('Prescriptive Path'!$K$1=4,Baseline!E28,IF('Prescriptive Path'!$K$1=5,Baseline!I28,Baseline!M28))</f>
        <v>0.5</v>
      </c>
      <c r="Q28" s="436">
        <v>0</v>
      </c>
      <c r="R28" s="428"/>
      <c r="S28" s="424"/>
      <c r="T28" s="425"/>
    </row>
    <row r="29" spans="1:20" ht="15" customHeight="1" thickBot="1">
      <c r="A29" s="620" t="s">
        <v>80</v>
      </c>
      <c r="B29" s="403" t="s">
        <v>9</v>
      </c>
      <c r="C29" s="697" t="s">
        <v>2474</v>
      </c>
      <c r="D29" s="424"/>
      <c r="E29" s="424"/>
      <c r="F29" s="424"/>
      <c r="G29" s="237" t="s">
        <v>475</v>
      </c>
      <c r="H29" s="424"/>
      <c r="I29" s="424"/>
      <c r="J29" s="424"/>
      <c r="K29" s="237" t="s">
        <v>475</v>
      </c>
      <c r="L29" s="424"/>
      <c r="M29" s="424"/>
      <c r="N29" s="2082"/>
      <c r="O29" s="401" t="s">
        <v>475</v>
      </c>
      <c r="P29" s="529"/>
      <c r="Q29" s="512"/>
      <c r="R29" s="428"/>
      <c r="S29" s="424"/>
      <c r="T29" s="425"/>
    </row>
    <row r="30" spans="1:20" ht="60.75" thickBot="1">
      <c r="A30" s="621"/>
      <c r="B30" s="458"/>
      <c r="C30" s="458"/>
      <c r="D30" s="445" t="s">
        <v>82</v>
      </c>
      <c r="E30" s="445" t="s">
        <v>74</v>
      </c>
      <c r="F30" s="2091"/>
      <c r="G30" s="445" t="s">
        <v>75</v>
      </c>
      <c r="H30" s="445" t="s">
        <v>82</v>
      </c>
      <c r="I30" s="445" t="s">
        <v>74</v>
      </c>
      <c r="J30" s="2091"/>
      <c r="K30" s="445" t="s">
        <v>75</v>
      </c>
      <c r="L30" s="445" t="s">
        <v>82</v>
      </c>
      <c r="M30" s="445" t="s">
        <v>74</v>
      </c>
      <c r="N30" s="2085"/>
      <c r="O30" s="449" t="s">
        <v>75</v>
      </c>
      <c r="P30" s="430" t="s">
        <v>471</v>
      </c>
      <c r="Q30" s="432" t="s">
        <v>476</v>
      </c>
      <c r="R30" s="433" t="s">
        <v>472</v>
      </c>
      <c r="S30" s="431" t="s">
        <v>473</v>
      </c>
      <c r="T30" s="432" t="s">
        <v>474</v>
      </c>
    </row>
    <row r="31" spans="1:20">
      <c r="A31" s="621"/>
      <c r="B31" s="457" t="s">
        <v>10</v>
      </c>
      <c r="C31" s="2059" t="s">
        <v>2485</v>
      </c>
      <c r="D31" s="446">
        <v>0.4</v>
      </c>
      <c r="E31" s="446">
        <v>0.4</v>
      </c>
      <c r="F31" s="429"/>
      <c r="G31" s="446" t="s">
        <v>81</v>
      </c>
      <c r="H31" s="446">
        <v>0.4</v>
      </c>
      <c r="I31" s="446">
        <v>0.35</v>
      </c>
      <c r="J31" s="446"/>
      <c r="K31" s="446" t="s">
        <v>81</v>
      </c>
      <c r="L31" s="446">
        <v>0.4</v>
      </c>
      <c r="M31" s="446">
        <v>0.35</v>
      </c>
      <c r="N31" s="2084"/>
      <c r="O31" s="447" t="s">
        <v>81</v>
      </c>
      <c r="P31" s="419">
        <f>IF('Prescriptive Path'!$K$1=4,Baseline!E31,IF('Prescriptive Path'!$K$1=5,Baseline!I31,Baseline!M31))</f>
        <v>0.35</v>
      </c>
      <c r="Q31" s="417">
        <v>39.25</v>
      </c>
      <c r="R31" s="428"/>
      <c r="S31" s="424"/>
      <c r="T31" s="425"/>
    </row>
    <row r="32" spans="1:20">
      <c r="A32" s="621"/>
      <c r="B32" s="2092" t="s">
        <v>41</v>
      </c>
      <c r="C32" s="2059" t="s">
        <v>2485</v>
      </c>
      <c r="D32" s="2052">
        <v>0.4</v>
      </c>
      <c r="E32" s="2052">
        <v>0.5</v>
      </c>
      <c r="F32" s="429"/>
      <c r="G32" s="2052" t="s">
        <v>185</v>
      </c>
      <c r="H32" s="2052">
        <v>0.4</v>
      </c>
      <c r="I32" s="2052">
        <v>0.45</v>
      </c>
      <c r="J32" s="2086"/>
      <c r="K32" s="2052" t="s">
        <v>188</v>
      </c>
      <c r="L32" s="2052">
        <v>0.4</v>
      </c>
      <c r="M32" s="2052">
        <v>0.45</v>
      </c>
      <c r="N32" s="2083"/>
      <c r="O32" s="66" t="s">
        <v>188</v>
      </c>
      <c r="P32" s="534">
        <f>IF('Prescriptive Path'!$K$1=4,Baseline!E32,IF('Prescriptive Path'!$K$1=5,Baseline!I32,Baseline!M32))</f>
        <v>0.45</v>
      </c>
      <c r="Q32" s="535">
        <v>19.21</v>
      </c>
      <c r="R32" s="428"/>
      <c r="S32" s="424"/>
      <c r="T32" s="425"/>
    </row>
    <row r="33" spans="1:20">
      <c r="A33" s="621"/>
      <c r="B33" s="403" t="s">
        <v>11</v>
      </c>
      <c r="C33" s="2059" t="s">
        <v>2485</v>
      </c>
      <c r="D33" s="237">
        <v>0.4</v>
      </c>
      <c r="E33" s="237">
        <v>0.85</v>
      </c>
      <c r="F33" s="429"/>
      <c r="G33" s="237" t="s">
        <v>83</v>
      </c>
      <c r="H33" s="237">
        <v>0.4</v>
      </c>
      <c r="I33" s="237">
        <v>0.8</v>
      </c>
      <c r="J33" s="2086"/>
      <c r="K33" s="237" t="s">
        <v>84</v>
      </c>
      <c r="L33" s="237">
        <v>0.4</v>
      </c>
      <c r="M33" s="237">
        <v>0.8</v>
      </c>
      <c r="N33" s="2083"/>
      <c r="O33" s="401" t="s">
        <v>84</v>
      </c>
      <c r="P33" s="419">
        <f>IF('Prescriptive Path'!$K$1=4,Baseline!E33,IF('Prescriptive Path'!$K$1=5,Baseline!I33,Baseline!M33))</f>
        <v>0.8</v>
      </c>
      <c r="Q33" s="425"/>
      <c r="R33" s="428"/>
      <c r="S33" s="424"/>
      <c r="T33" s="425"/>
    </row>
    <row r="34" spans="1:20" ht="15.75" thickBot="1">
      <c r="A34" s="622"/>
      <c r="B34" s="460" t="s">
        <v>12</v>
      </c>
      <c r="C34" s="2059" t="s">
        <v>2485</v>
      </c>
      <c r="D34" s="418">
        <v>0.4</v>
      </c>
      <c r="E34" s="418">
        <v>0.55000000000000004</v>
      </c>
      <c r="F34" s="429"/>
      <c r="G34" s="418" t="s">
        <v>186</v>
      </c>
      <c r="H34" s="418">
        <v>0.4</v>
      </c>
      <c r="I34" s="418">
        <v>0.55000000000000004</v>
      </c>
      <c r="J34" s="418"/>
      <c r="K34" s="418" t="s">
        <v>186</v>
      </c>
      <c r="L34" s="418">
        <v>0.4</v>
      </c>
      <c r="M34" s="418">
        <v>0.55000000000000004</v>
      </c>
      <c r="N34" s="524"/>
      <c r="O34" s="524" t="s">
        <v>186</v>
      </c>
      <c r="P34" s="536">
        <f>IF('Prescriptive Path'!$K$1=4,Baseline!E34,IF('Prescriptive Path'!$K$1=5,Baseline!I34,Baseline!M34))</f>
        <v>0.55000000000000004</v>
      </c>
      <c r="Q34" s="537">
        <v>19.21</v>
      </c>
      <c r="R34" s="428"/>
      <c r="S34" s="424"/>
      <c r="T34" s="425"/>
    </row>
    <row r="35" spans="1:20" ht="15.75" thickBot="1">
      <c r="A35" s="567" t="s">
        <v>503</v>
      </c>
      <c r="B35" s="562" t="s">
        <v>498</v>
      </c>
      <c r="C35" s="562"/>
      <c r="D35" s="557"/>
      <c r="E35" s="557"/>
      <c r="F35" s="557"/>
      <c r="G35" s="557"/>
      <c r="H35" s="557"/>
      <c r="I35" s="557"/>
      <c r="J35" s="557"/>
      <c r="K35" s="557"/>
      <c r="L35" s="557"/>
      <c r="M35" s="557"/>
      <c r="N35" s="566"/>
      <c r="O35" s="566"/>
      <c r="P35" s="568"/>
      <c r="Q35" s="537">
        <v>0</v>
      </c>
      <c r="R35" s="563"/>
      <c r="S35" s="564"/>
      <c r="T35" s="565"/>
    </row>
    <row r="36" spans="1:20" ht="60.75" thickBot="1">
      <c r="A36" s="2426" t="s">
        <v>69</v>
      </c>
      <c r="B36" s="458"/>
      <c r="C36" s="458"/>
      <c r="D36" s="445" t="s">
        <v>491</v>
      </c>
      <c r="E36" s="445" t="s">
        <v>85</v>
      </c>
      <c r="F36" s="2091"/>
      <c r="G36" s="445" t="s">
        <v>75</v>
      </c>
      <c r="H36" s="448" t="s">
        <v>491</v>
      </c>
      <c r="I36" s="445" t="s">
        <v>85</v>
      </c>
      <c r="J36" s="2091"/>
      <c r="K36" s="445" t="s">
        <v>75</v>
      </c>
      <c r="L36" s="448" t="s">
        <v>491</v>
      </c>
      <c r="M36" s="445" t="s">
        <v>85</v>
      </c>
      <c r="N36" s="2085"/>
      <c r="O36" s="449" t="s">
        <v>75</v>
      </c>
      <c r="P36" s="430" t="s">
        <v>471</v>
      </c>
      <c r="Q36" s="432" t="s">
        <v>476</v>
      </c>
      <c r="R36" s="433" t="s">
        <v>472</v>
      </c>
      <c r="S36" s="431" t="s">
        <v>473</v>
      </c>
      <c r="T36" s="432" t="s">
        <v>474</v>
      </c>
    </row>
    <row r="37" spans="1:20" ht="30.75" customHeight="1">
      <c r="A37" s="2427"/>
      <c r="B37" s="461" t="s">
        <v>2519</v>
      </c>
      <c r="C37" s="2060" t="s">
        <v>2526</v>
      </c>
      <c r="D37" s="442"/>
      <c r="E37" s="443">
        <f>IF('Prescriptive Path'!H44*12000&lt;8000,9.7,IF('Prescriptive Path'!H44*12000&lt;14000,9.8,IF('Prescriptive Path'!H44*12000&lt;20000,9.7,8.5)))</f>
        <v>9.6999999999999993</v>
      </c>
      <c r="F37" s="429"/>
      <c r="G37" s="420" t="s">
        <v>253</v>
      </c>
      <c r="H37" s="442"/>
      <c r="I37" s="443">
        <f>E37</f>
        <v>9.6999999999999993</v>
      </c>
      <c r="J37" s="443"/>
      <c r="K37" s="420" t="s">
        <v>253</v>
      </c>
      <c r="L37" s="442"/>
      <c r="M37" s="443">
        <f>I37</f>
        <v>9.6999999999999993</v>
      </c>
      <c r="N37" s="2111"/>
      <c r="O37" s="444" t="s">
        <v>253</v>
      </c>
      <c r="P37" s="419">
        <f>IF('Prescriptive Path'!$K$1=4,Baseline!E37,IF('Prescriptive Path'!$K$1=5,Baseline!I37,Baseline!M37))</f>
        <v>9.6999999999999993</v>
      </c>
      <c r="Q37" s="538">
        <v>759.93</v>
      </c>
      <c r="R37" s="428"/>
      <c r="S37" s="424"/>
      <c r="T37" s="425"/>
    </row>
    <row r="38" spans="1:20" ht="30.75" customHeight="1">
      <c r="A38" s="2427"/>
      <c r="B38" s="2138" t="s">
        <v>2520</v>
      </c>
      <c r="C38" s="2060" t="s">
        <v>2526</v>
      </c>
      <c r="D38" s="442"/>
      <c r="E38" s="660">
        <f>IF('Prescriptive Path'!H46*12000&lt;8000,9,8.5)</f>
        <v>9</v>
      </c>
      <c r="F38" s="429"/>
      <c r="G38" s="420" t="str">
        <f>G37</f>
        <v>ENERGY STAR Qualified</v>
      </c>
      <c r="H38" s="442"/>
      <c r="I38" s="660">
        <f>E38</f>
        <v>9</v>
      </c>
      <c r="J38" s="443"/>
      <c r="K38" s="420" t="str">
        <f>K37</f>
        <v>ENERGY STAR Qualified</v>
      </c>
      <c r="L38" s="442"/>
      <c r="M38" s="660">
        <f>I38</f>
        <v>9</v>
      </c>
      <c r="N38" s="2111"/>
      <c r="O38" s="2111" t="str">
        <f>O37</f>
        <v>ENERGY STAR Qualified</v>
      </c>
      <c r="P38" s="2140">
        <f>M38</f>
        <v>9</v>
      </c>
      <c r="Q38" s="538">
        <v>759.93</v>
      </c>
      <c r="R38" s="2132"/>
      <c r="S38" s="424"/>
      <c r="T38" s="425"/>
    </row>
    <row r="39" spans="1:20" ht="30.75" customHeight="1">
      <c r="A39" s="2427"/>
      <c r="B39" s="462" t="s">
        <v>322</v>
      </c>
      <c r="C39" s="2060" t="s">
        <v>2487</v>
      </c>
      <c r="D39" s="424"/>
      <c r="E39" s="238">
        <f>13*0.875</f>
        <v>11.375</v>
      </c>
      <c r="F39" s="429"/>
      <c r="G39" s="237" t="s">
        <v>253</v>
      </c>
      <c r="H39" s="424"/>
      <c r="I39" s="238">
        <v>11.375</v>
      </c>
      <c r="J39" s="2088"/>
      <c r="K39" s="237" t="s">
        <v>253</v>
      </c>
      <c r="L39" s="424"/>
      <c r="M39" s="238">
        <v>11.375</v>
      </c>
      <c r="N39" s="2089"/>
      <c r="O39" s="240" t="s">
        <v>253</v>
      </c>
      <c r="P39" s="419">
        <f>IF('Prescriptive Path'!$K$1=4,Baseline!E39,IF('Prescriptive Path'!$K$1=5,Baseline!I39,Baseline!M39))</f>
        <v>11.375</v>
      </c>
      <c r="Q39" s="538">
        <v>1353.99</v>
      </c>
      <c r="R39" s="428"/>
      <c r="S39" s="424"/>
      <c r="T39" s="425"/>
    </row>
    <row r="40" spans="1:20" ht="30.75" customHeight="1">
      <c r="A40" s="2427"/>
      <c r="B40" s="463" t="s">
        <v>323</v>
      </c>
      <c r="C40" s="2060" t="s">
        <v>2487</v>
      </c>
      <c r="D40" s="424"/>
      <c r="E40" s="238">
        <f>13*0.875</f>
        <v>11.375</v>
      </c>
      <c r="F40" s="429"/>
      <c r="G40" s="237" t="s">
        <v>253</v>
      </c>
      <c r="H40" s="424"/>
      <c r="I40" s="238">
        <v>11.375</v>
      </c>
      <c r="J40" s="2088"/>
      <c r="K40" s="237" t="s">
        <v>253</v>
      </c>
      <c r="L40" s="424"/>
      <c r="M40" s="238">
        <v>11.375</v>
      </c>
      <c r="N40" s="2089"/>
      <c r="O40" s="240" t="s">
        <v>253</v>
      </c>
      <c r="P40" s="419">
        <f>IF('Prescriptive Path'!$K$1=4,Baseline!E40,IF('Prescriptive Path'!$K$1=5,Baseline!I40,Baseline!M40))</f>
        <v>11.375</v>
      </c>
      <c r="Q40" s="538">
        <v>1353.99</v>
      </c>
      <c r="R40" s="428"/>
      <c r="S40" s="424"/>
      <c r="T40" s="425"/>
    </row>
    <row r="41" spans="1:20" ht="30.75" customHeight="1">
      <c r="A41" s="2427"/>
      <c r="B41" s="451" t="s">
        <v>324</v>
      </c>
      <c r="C41" s="2060" t="s">
        <v>2487</v>
      </c>
      <c r="D41" s="424"/>
      <c r="E41" s="237">
        <v>11</v>
      </c>
      <c r="F41" s="429"/>
      <c r="G41" s="237" t="s">
        <v>192</v>
      </c>
      <c r="H41" s="424"/>
      <c r="I41" s="400">
        <v>11</v>
      </c>
      <c r="J41" s="2086"/>
      <c r="K41" s="237" t="s">
        <v>192</v>
      </c>
      <c r="L41" s="424"/>
      <c r="M41" s="400">
        <v>11</v>
      </c>
      <c r="N41" s="2083"/>
      <c r="O41" s="240" t="s">
        <v>192</v>
      </c>
      <c r="P41" s="419">
        <f>IF('Prescriptive Path'!$K$1=4,Baseline!E41,IF('Prescriptive Path'!$K$1=5,Baseline!I41,Baseline!M41))</f>
        <v>11</v>
      </c>
      <c r="Q41" s="538">
        <v>1353.99</v>
      </c>
      <c r="R41" s="428"/>
      <c r="S41" s="424"/>
      <c r="T41" s="425"/>
    </row>
    <row r="42" spans="1:20" ht="30.75" customHeight="1">
      <c r="A42" s="2427"/>
      <c r="B42" s="451" t="s">
        <v>325</v>
      </c>
      <c r="C42" s="2060" t="s">
        <v>2487</v>
      </c>
      <c r="D42" s="424"/>
      <c r="E42" s="237">
        <v>10.8</v>
      </c>
      <c r="F42" s="429"/>
      <c r="G42" s="237" t="s">
        <v>423</v>
      </c>
      <c r="H42" s="424"/>
      <c r="I42" s="400">
        <v>10.8</v>
      </c>
      <c r="J42" s="2086"/>
      <c r="K42" s="237" t="s">
        <v>423</v>
      </c>
      <c r="L42" s="424"/>
      <c r="M42" s="400">
        <v>10.8</v>
      </c>
      <c r="N42" s="2083"/>
      <c r="O42" s="240" t="s">
        <v>423</v>
      </c>
      <c r="P42" s="419">
        <f>IF('Prescriptive Path'!$K$1=4,Baseline!E42,IF('Prescriptive Path'!$K$1=5,Baseline!I42,Baseline!M42))</f>
        <v>10.8</v>
      </c>
      <c r="Q42" s="538">
        <v>1353.99</v>
      </c>
      <c r="R42" s="428"/>
      <c r="S42" s="424"/>
      <c r="T42" s="425"/>
    </row>
    <row r="43" spans="1:20" ht="30.75" customHeight="1">
      <c r="A43" s="2427"/>
      <c r="B43" s="451" t="s">
        <v>326</v>
      </c>
      <c r="C43" s="2060" t="s">
        <v>2487</v>
      </c>
      <c r="D43" s="424"/>
      <c r="E43" s="237">
        <v>9.8000000000000007</v>
      </c>
      <c r="F43" s="429"/>
      <c r="G43" s="237" t="s">
        <v>424</v>
      </c>
      <c r="H43" s="424"/>
      <c r="I43" s="400">
        <v>9.8000000000000007</v>
      </c>
      <c r="J43" s="2086"/>
      <c r="K43" s="237" t="s">
        <v>424</v>
      </c>
      <c r="L43" s="424"/>
      <c r="M43" s="400">
        <v>9.8000000000000007</v>
      </c>
      <c r="N43" s="2083"/>
      <c r="O43" s="240" t="s">
        <v>424</v>
      </c>
      <c r="P43" s="419">
        <f>IF('Prescriptive Path'!$K$1=4,Baseline!E43,IF('Prescriptive Path'!$K$1=5,Baseline!I43,Baseline!M43))</f>
        <v>9.8000000000000007</v>
      </c>
      <c r="Q43" s="538">
        <v>1353.99</v>
      </c>
      <c r="R43" s="428"/>
      <c r="S43" s="424"/>
      <c r="T43" s="425"/>
    </row>
    <row r="44" spans="1:20" ht="30.75" customHeight="1">
      <c r="A44" s="2427"/>
      <c r="B44" s="560" t="s">
        <v>34</v>
      </c>
      <c r="C44" s="560"/>
      <c r="D44" s="424"/>
      <c r="E44" s="424"/>
      <c r="F44" s="429"/>
      <c r="G44" s="399" t="s">
        <v>492</v>
      </c>
      <c r="H44" s="424"/>
      <c r="I44" s="424"/>
      <c r="J44" s="424"/>
      <c r="K44" s="399" t="s">
        <v>492</v>
      </c>
      <c r="L44" s="424"/>
      <c r="M44" s="424"/>
      <c r="N44" s="424"/>
      <c r="O44" s="399" t="s">
        <v>492</v>
      </c>
      <c r="P44" s="419">
        <f>IF('Prescriptive Path'!$K$1=4,Baseline!E44,IF('Prescriptive Path'!$K$1=5,Baseline!I44,Baseline!M44))</f>
        <v>0</v>
      </c>
      <c r="Q44" s="538">
        <v>0</v>
      </c>
      <c r="R44" s="428"/>
      <c r="S44" s="424"/>
      <c r="T44" s="425"/>
    </row>
    <row r="45" spans="1:20" ht="30.75" customHeight="1">
      <c r="A45" s="2427"/>
      <c r="B45" s="451" t="s">
        <v>307</v>
      </c>
      <c r="C45" s="451" t="s">
        <v>2488</v>
      </c>
      <c r="D45" s="424"/>
      <c r="E45" s="237">
        <v>0.78</v>
      </c>
      <c r="F45" s="429"/>
      <c r="G45" s="237" t="s">
        <v>4</v>
      </c>
      <c r="H45" s="424"/>
      <c r="I45" s="400">
        <v>0.78</v>
      </c>
      <c r="J45" s="2086"/>
      <c r="K45" s="237" t="s">
        <v>4</v>
      </c>
      <c r="L45" s="424"/>
      <c r="M45" s="400">
        <v>0.78</v>
      </c>
      <c r="N45" s="2083"/>
      <c r="O45" s="239" t="s">
        <v>4</v>
      </c>
      <c r="P45" s="419">
        <f>IF('Prescriptive Path'!$K$1=4,Baseline!E45,IF('Prescriptive Path'!$K$1=5,Baseline!I45,Baseline!M45))</f>
        <v>0.78</v>
      </c>
      <c r="Q45" s="538">
        <v>24596.080000000002</v>
      </c>
      <c r="R45" s="428"/>
      <c r="S45" s="424"/>
      <c r="T45" s="425"/>
    </row>
    <row r="46" spans="1:20" ht="30.75" customHeight="1">
      <c r="A46" s="2427"/>
      <c r="B46" s="451" t="s">
        <v>308</v>
      </c>
      <c r="C46" s="451" t="s">
        <v>2488</v>
      </c>
      <c r="D46" s="424"/>
      <c r="E46" s="237">
        <v>0.78</v>
      </c>
      <c r="F46" s="429"/>
      <c r="G46" s="237" t="s">
        <v>4</v>
      </c>
      <c r="H46" s="424"/>
      <c r="I46" s="400">
        <v>0.78</v>
      </c>
      <c r="J46" s="2086"/>
      <c r="K46" s="237" t="s">
        <v>4</v>
      </c>
      <c r="L46" s="424"/>
      <c r="M46" s="400">
        <v>0.78</v>
      </c>
      <c r="N46" s="2083"/>
      <c r="O46" s="239" t="s">
        <v>4</v>
      </c>
      <c r="P46" s="419">
        <f>IF('Prescriptive Path'!$K$1=4,Baseline!E46,IF('Prescriptive Path'!$K$1=5,Baseline!I46,Baseline!M46))</f>
        <v>0.78</v>
      </c>
      <c r="Q46" s="538">
        <v>40879.870000000003</v>
      </c>
      <c r="R46" s="428"/>
      <c r="S46" s="424"/>
      <c r="T46" s="425"/>
    </row>
    <row r="47" spans="1:20" ht="30.75" customHeight="1">
      <c r="A47" s="2427"/>
      <c r="B47" s="451" t="s">
        <v>309</v>
      </c>
      <c r="C47" s="451" t="s">
        <v>2488</v>
      </c>
      <c r="D47" s="424"/>
      <c r="E47" s="237">
        <v>0.8</v>
      </c>
      <c r="F47" s="429"/>
      <c r="G47" s="2115" t="s">
        <v>26</v>
      </c>
      <c r="H47" s="424"/>
      <c r="I47" s="2115">
        <v>0.8</v>
      </c>
      <c r="J47" s="2115"/>
      <c r="K47" s="2115" t="s">
        <v>26</v>
      </c>
      <c r="L47" s="424"/>
      <c r="M47" s="2115">
        <v>0.8</v>
      </c>
      <c r="N47" s="2116"/>
      <c r="O47" s="2116" t="s">
        <v>26</v>
      </c>
      <c r="P47" s="419">
        <f>IF('Prescriptive Path'!$K$1=4,Baseline!E47,IF('Prescriptive Path'!$K$1=5,Baseline!I47,Baseline!M47))</f>
        <v>0.8</v>
      </c>
      <c r="Q47" s="538">
        <v>33668.199999999997</v>
      </c>
      <c r="R47" s="428"/>
      <c r="S47" s="424"/>
      <c r="T47" s="425"/>
    </row>
    <row r="48" spans="1:20" ht="35.25" customHeight="1">
      <c r="A48" s="2427"/>
      <c r="B48" s="561" t="s">
        <v>312</v>
      </c>
      <c r="C48" s="451" t="s">
        <v>2476</v>
      </c>
      <c r="D48" s="424"/>
      <c r="E48" s="2117">
        <f>ROUND(IF('Prescriptive Path'!H55*12000&lt;7000,13.8-(0.3*(7000/1000)),IF('Prescriptive Path'!H55*12000&gt;15000,13.8-(0.3*(15000/1000)),13.8-(0.3*('Prescriptive Path'!H55*12000/1000)))),1)</f>
        <v>11.7</v>
      </c>
      <c r="F48" s="429"/>
      <c r="G48" s="585" t="s">
        <v>2489</v>
      </c>
      <c r="H48" s="424"/>
      <c r="I48" s="2117">
        <f>ROUND(IF('Prescriptive Path'!H55*12000&lt;7000,13.8-(0.3*(7000/1000)),IF('Prescriptive Path'!H55*12000&gt;15000,13.8-(0.3*(15000/1000)),13.8-(0.3*('Prescriptive Path'!H55*12000/1000)))),1)</f>
        <v>11.7</v>
      </c>
      <c r="J48" s="2117"/>
      <c r="K48" s="585" t="s">
        <v>425</v>
      </c>
      <c r="L48" s="424"/>
      <c r="M48" s="2117">
        <f>ROUND(IF('Prescriptive Path'!H55*12000&lt;7000,13.8-(0.3*(7000/1000)),IF('Prescriptive Path'!H55*12000&gt;15000,13.8-(0.3*(15000/1000)),13.8-(0.3*('Prescriptive Path'!H55*12000/1000)))),1)</f>
        <v>11.7</v>
      </c>
      <c r="N48" s="2118"/>
      <c r="O48" s="2119" t="s">
        <v>425</v>
      </c>
      <c r="P48" s="439"/>
      <c r="Q48" s="538">
        <v>1079.1600000000001</v>
      </c>
      <c r="R48" s="428"/>
      <c r="S48" s="424"/>
      <c r="T48" s="425"/>
    </row>
    <row r="49" spans="1:22" ht="30.75" customHeight="1">
      <c r="A49" s="2427"/>
      <c r="B49" s="451" t="s">
        <v>313</v>
      </c>
      <c r="C49" s="451" t="s">
        <v>2479</v>
      </c>
      <c r="D49" s="1010">
        <f>7.7/3.412</f>
        <v>2.2567409144196953</v>
      </c>
      <c r="E49" s="1010">
        <f>13*0.875</f>
        <v>11.375</v>
      </c>
      <c r="F49" s="429"/>
      <c r="G49" s="399" t="s">
        <v>194</v>
      </c>
      <c r="H49" s="43">
        <f>7.7/3.412</f>
        <v>2.2567409144196953</v>
      </c>
      <c r="I49" s="1010">
        <v>11.375</v>
      </c>
      <c r="J49" s="1010"/>
      <c r="K49" s="399" t="s">
        <v>194</v>
      </c>
      <c r="L49" s="43">
        <f>7.7/3.412</f>
        <v>2.2567409144196953</v>
      </c>
      <c r="M49" s="1010">
        <v>11.375</v>
      </c>
      <c r="N49" s="2112"/>
      <c r="O49" s="437" t="s">
        <v>194</v>
      </c>
      <c r="P49" s="440"/>
      <c r="Q49" s="538">
        <v>1078.75</v>
      </c>
      <c r="R49" s="428"/>
      <c r="S49" s="424"/>
      <c r="T49" s="425"/>
    </row>
    <row r="50" spans="1:22" ht="30.75" customHeight="1">
      <c r="A50" s="2427"/>
      <c r="B50" s="451" t="s">
        <v>328</v>
      </c>
      <c r="C50" s="451" t="s">
        <v>2479</v>
      </c>
      <c r="D50" s="237">
        <v>3.3</v>
      </c>
      <c r="E50" s="237">
        <v>10.8</v>
      </c>
      <c r="F50" s="429"/>
      <c r="G50" s="399" t="s">
        <v>426</v>
      </c>
      <c r="H50" s="400">
        <v>3.3</v>
      </c>
      <c r="I50" s="400">
        <v>10.8</v>
      </c>
      <c r="J50" s="2086"/>
      <c r="K50" s="399" t="s">
        <v>426</v>
      </c>
      <c r="L50" s="400">
        <v>3.3</v>
      </c>
      <c r="M50" s="400">
        <v>10.8</v>
      </c>
      <c r="N50" s="2083"/>
      <c r="O50" s="437" t="s">
        <v>426</v>
      </c>
      <c r="P50" s="440"/>
      <c r="Q50" s="538">
        <v>1078.75</v>
      </c>
      <c r="R50" s="428"/>
      <c r="S50" s="424"/>
      <c r="T50" s="425"/>
    </row>
    <row r="51" spans="1:22" ht="30.75" customHeight="1">
      <c r="A51" s="2427"/>
      <c r="B51" s="451" t="s">
        <v>329</v>
      </c>
      <c r="C51" s="451" t="s">
        <v>2479</v>
      </c>
      <c r="D51" s="237">
        <v>3.2</v>
      </c>
      <c r="E51" s="237">
        <v>10.4</v>
      </c>
      <c r="F51" s="429"/>
      <c r="G51" s="399" t="s">
        <v>427</v>
      </c>
      <c r="H51" s="400">
        <v>3.2</v>
      </c>
      <c r="I51" s="400">
        <v>10.4</v>
      </c>
      <c r="J51" s="2086"/>
      <c r="K51" s="399" t="s">
        <v>427</v>
      </c>
      <c r="L51" s="400">
        <v>3.2</v>
      </c>
      <c r="M51" s="400">
        <v>10.4</v>
      </c>
      <c r="N51" s="2083"/>
      <c r="O51" s="437" t="s">
        <v>427</v>
      </c>
      <c r="P51" s="440"/>
      <c r="Q51" s="538">
        <v>1078.75</v>
      </c>
      <c r="R51" s="428"/>
      <c r="S51" s="424"/>
      <c r="T51" s="425"/>
    </row>
    <row r="52" spans="1:22" ht="30.75" customHeight="1">
      <c r="A52" s="2427"/>
      <c r="B52" s="451" t="s">
        <v>314</v>
      </c>
      <c r="C52" s="451" t="s">
        <v>2479</v>
      </c>
      <c r="D52" s="237">
        <v>3.2</v>
      </c>
      <c r="E52" s="238">
        <v>9.3000000000000007</v>
      </c>
      <c r="F52" s="429"/>
      <c r="G52" s="399" t="s">
        <v>428</v>
      </c>
      <c r="H52" s="400">
        <v>3.2</v>
      </c>
      <c r="I52" s="238">
        <v>9.3000000000000007</v>
      </c>
      <c r="J52" s="2088"/>
      <c r="K52" s="399" t="s">
        <v>428</v>
      </c>
      <c r="L52" s="400">
        <v>3.2</v>
      </c>
      <c r="M52" s="238">
        <v>9.3000000000000007</v>
      </c>
      <c r="N52" s="2089"/>
      <c r="O52" s="437" t="s">
        <v>428</v>
      </c>
      <c r="P52" s="440"/>
      <c r="Q52" s="538">
        <v>1078.75</v>
      </c>
      <c r="R52" s="428"/>
      <c r="S52" s="424"/>
      <c r="T52" s="425"/>
    </row>
    <row r="53" spans="1:22" ht="30.75" customHeight="1">
      <c r="A53" s="2427"/>
      <c r="B53" s="451" t="s">
        <v>317</v>
      </c>
      <c r="C53" s="451" t="s">
        <v>2479</v>
      </c>
      <c r="D53" s="237">
        <v>4.2</v>
      </c>
      <c r="E53" s="237">
        <v>12</v>
      </c>
      <c r="F53" s="429"/>
      <c r="G53" s="399" t="s">
        <v>195</v>
      </c>
      <c r="H53" s="400">
        <v>4.2</v>
      </c>
      <c r="I53" s="400">
        <v>12</v>
      </c>
      <c r="J53" s="2086"/>
      <c r="K53" s="399" t="s">
        <v>195</v>
      </c>
      <c r="L53" s="400">
        <v>4.2</v>
      </c>
      <c r="M53" s="400">
        <v>12</v>
      </c>
      <c r="N53" s="2083"/>
      <c r="O53" s="437" t="s">
        <v>195</v>
      </c>
      <c r="P53" s="440"/>
      <c r="Q53" s="538">
        <v>1365.06</v>
      </c>
      <c r="R53" s="428"/>
      <c r="S53" s="424"/>
      <c r="T53" s="425"/>
    </row>
    <row r="54" spans="1:22" ht="30.75" customHeight="1">
      <c r="A54" s="2427"/>
      <c r="B54" s="451" t="s">
        <v>319</v>
      </c>
      <c r="C54" s="451" t="s">
        <v>2490</v>
      </c>
      <c r="D54" s="429"/>
      <c r="E54" s="238">
        <v>0.8</v>
      </c>
      <c r="F54" s="429"/>
      <c r="G54" s="234" t="s">
        <v>359</v>
      </c>
      <c r="H54" s="429"/>
      <c r="I54" s="238">
        <v>0.8</v>
      </c>
      <c r="J54" s="2088"/>
      <c r="K54" s="234" t="s">
        <v>359</v>
      </c>
      <c r="L54" s="429"/>
      <c r="M54" s="238">
        <v>0.8</v>
      </c>
      <c r="N54" s="2089"/>
      <c r="O54" s="438" t="s">
        <v>359</v>
      </c>
      <c r="P54" s="419">
        <f>IF('Prescriptive Path'!$K$1=4,Baseline!E54,IF('Prescriptive Path'!$K$1=5,Baseline!I54,Baseline!M54))</f>
        <v>0.8</v>
      </c>
      <c r="Q54" s="539">
        <v>42817.5</v>
      </c>
      <c r="R54" s="428"/>
      <c r="S54" s="424"/>
      <c r="T54" s="425"/>
    </row>
    <row r="55" spans="1:22" ht="30.75" customHeight="1">
      <c r="A55" s="2427"/>
      <c r="B55" s="451" t="s">
        <v>320</v>
      </c>
      <c r="C55" s="452" t="s">
        <v>2490</v>
      </c>
      <c r="D55" s="2099"/>
      <c r="E55" s="2100">
        <v>0.8</v>
      </c>
      <c r="F55" s="429"/>
      <c r="G55" s="234" t="s">
        <v>26</v>
      </c>
      <c r="H55" s="429"/>
      <c r="I55" s="238">
        <v>0.8</v>
      </c>
      <c r="J55" s="2088"/>
      <c r="K55" s="234" t="s">
        <v>26</v>
      </c>
      <c r="L55" s="429"/>
      <c r="M55" s="238">
        <v>0.8</v>
      </c>
      <c r="N55" s="2089"/>
      <c r="O55" s="438" t="s">
        <v>26</v>
      </c>
      <c r="P55" s="419">
        <f>IF('Prescriptive Path'!$K$1=4,Baseline!E55,IF('Prescriptive Path'!$K$1=5,Baseline!I55,Baseline!M55))</f>
        <v>0.8</v>
      </c>
      <c r="Q55" s="539">
        <v>21078</v>
      </c>
      <c r="R55" s="428"/>
      <c r="S55" s="424"/>
      <c r="T55" s="425"/>
      <c r="U55" s="11" t="s">
        <v>2512</v>
      </c>
      <c r="V55" s="11" t="s">
        <v>2514</v>
      </c>
    </row>
    <row r="56" spans="1:22" ht="30.75" customHeight="1" thickBot="1">
      <c r="A56" s="2427"/>
      <c r="B56" s="173" t="s">
        <v>321</v>
      </c>
      <c r="C56" s="2105" t="s">
        <v>2515</v>
      </c>
      <c r="D56" s="2120">
        <v>2.92</v>
      </c>
      <c r="E56" s="2121">
        <f>14-(0.3*(MIN(15000,'Prescriptive Path'!H65)/1000))</f>
        <v>9.5</v>
      </c>
      <c r="F56" s="2087"/>
      <c r="G56" s="2108" t="s">
        <v>2501</v>
      </c>
      <c r="H56" s="2120">
        <f>D56</f>
        <v>2.92</v>
      </c>
      <c r="I56" s="2121">
        <f>14-(0.3*(MIN(15000,'Prescriptive Path'!H65)/1000))</f>
        <v>9.5</v>
      </c>
      <c r="J56" s="2121"/>
      <c r="K56" s="2108" t="s">
        <v>2501</v>
      </c>
      <c r="L56" s="2120">
        <f>D56</f>
        <v>2.92</v>
      </c>
      <c r="M56" s="2121">
        <f>14-(0.3*(MIN(15000,'Prescriptive Path'!H65)/1000))</f>
        <v>9.5</v>
      </c>
      <c r="N56" s="2121"/>
      <c r="O56" s="2108" t="s">
        <v>2501</v>
      </c>
      <c r="P56" s="515"/>
      <c r="Q56" s="570"/>
      <c r="R56" s="428"/>
      <c r="S56" s="424"/>
      <c r="T56" s="425"/>
      <c r="U56" s="11">
        <f>VLOOKUP('Prescriptive Path'!$D$4,ClimateZoneLookup!$A$1:$AW$65,48)</f>
        <v>0.06</v>
      </c>
      <c r="V56" s="11">
        <f>VLOOKUP('Prescriptive Path'!$D$4,ClimateZoneLookup!$A$1:$AW$65,49)</f>
        <v>0.94</v>
      </c>
    </row>
    <row r="57" spans="1:22" ht="60.75" thickBot="1">
      <c r="A57" s="2427"/>
      <c r="B57" s="485"/>
      <c r="C57" s="2103"/>
      <c r="D57" s="2104" t="s">
        <v>206</v>
      </c>
      <c r="E57" s="2104" t="s">
        <v>429</v>
      </c>
      <c r="F57" s="2091" t="s">
        <v>430</v>
      </c>
      <c r="G57" s="2104"/>
      <c r="H57" s="2104" t="s">
        <v>206</v>
      </c>
      <c r="I57" s="2104" t="s">
        <v>429</v>
      </c>
      <c r="J57" s="2104" t="s">
        <v>430</v>
      </c>
      <c r="K57" s="2104"/>
      <c r="L57" s="2104" t="s">
        <v>206</v>
      </c>
      <c r="M57" s="2104" t="s">
        <v>429</v>
      </c>
      <c r="N57" s="2104" t="s">
        <v>430</v>
      </c>
      <c r="O57" s="2106"/>
      <c r="P57" s="2107" t="s">
        <v>471</v>
      </c>
      <c r="Q57" s="432" t="s">
        <v>476</v>
      </c>
      <c r="R57" s="433" t="s">
        <v>472</v>
      </c>
      <c r="S57" s="431" t="s">
        <v>473</v>
      </c>
      <c r="T57" s="432" t="s">
        <v>474</v>
      </c>
    </row>
    <row r="58" spans="1:22">
      <c r="A58" s="2427"/>
      <c r="B58" s="2094" t="s">
        <v>2</v>
      </c>
      <c r="C58" s="2102" t="s">
        <v>2491</v>
      </c>
      <c r="D58" s="2122">
        <v>9.5619999999999994</v>
      </c>
      <c r="E58" s="650">
        <f>9.562/3.412</f>
        <v>2.8024618991793666</v>
      </c>
      <c r="F58" s="650">
        <f>12.5/3.412</f>
        <v>3.6635404454865181</v>
      </c>
      <c r="G58" s="443" t="s">
        <v>2505</v>
      </c>
      <c r="H58" s="650">
        <v>9.5619999999999994</v>
      </c>
      <c r="I58" s="650">
        <f>9.562/3.412</f>
        <v>2.8024618991793666</v>
      </c>
      <c r="J58" s="650">
        <f>12.5/3.412</f>
        <v>3.6635404454865181</v>
      </c>
      <c r="K58" s="443" t="s">
        <v>2505</v>
      </c>
      <c r="L58" s="650">
        <v>9.5619999999999994</v>
      </c>
      <c r="M58" s="650">
        <f>9.562/3.412</f>
        <v>2.8024618991793666</v>
      </c>
      <c r="N58" s="2123">
        <f>12.5/3.412</f>
        <v>3.6635404454865181</v>
      </c>
      <c r="O58" s="420" t="s">
        <v>2505</v>
      </c>
      <c r="P58" s="516"/>
      <c r="Q58" s="571"/>
      <c r="R58" s="428"/>
      <c r="S58" s="424"/>
      <c r="T58" s="425"/>
    </row>
    <row r="59" spans="1:22">
      <c r="A59" s="2427"/>
      <c r="B59" s="2095" t="s">
        <v>3</v>
      </c>
      <c r="C59" s="2101" t="s">
        <v>2491</v>
      </c>
      <c r="D59" s="2114">
        <v>9.5619999999999994</v>
      </c>
      <c r="E59" s="587">
        <f>9.562/3.412</f>
        <v>2.8024618991793666</v>
      </c>
      <c r="F59" s="587">
        <f>12.5/3.412</f>
        <v>3.6635404454865181</v>
      </c>
      <c r="G59" s="443" t="s">
        <v>2505</v>
      </c>
      <c r="H59" s="587">
        <v>9.5619999999999994</v>
      </c>
      <c r="I59" s="587">
        <f>9.562/3.412</f>
        <v>2.8024618991793666</v>
      </c>
      <c r="J59" s="587">
        <f>12.5/3.412</f>
        <v>3.6635404454865181</v>
      </c>
      <c r="K59" s="443" t="s">
        <v>2505</v>
      </c>
      <c r="L59" s="587">
        <v>9.5619999999999994</v>
      </c>
      <c r="M59" s="587">
        <f>9.562/3.412</f>
        <v>2.8024618991793666</v>
      </c>
      <c r="N59" s="2113">
        <f>12.5/3.412</f>
        <v>3.6635404454865181</v>
      </c>
      <c r="O59" s="420" t="s">
        <v>2505</v>
      </c>
      <c r="P59" s="441"/>
      <c r="Q59" s="570"/>
      <c r="R59" s="428"/>
      <c r="S59" s="424"/>
      <c r="T59" s="425"/>
    </row>
    <row r="60" spans="1:22">
      <c r="A60" s="2427"/>
      <c r="B60" s="2095" t="s">
        <v>331</v>
      </c>
      <c r="C60" s="2101" t="s">
        <v>2491</v>
      </c>
      <c r="D60" s="2114">
        <f>12/0.78</f>
        <v>15.384615384615383</v>
      </c>
      <c r="E60" s="587">
        <f>12/0.78/3.412</f>
        <v>4.5089728559834068</v>
      </c>
      <c r="F60" s="587">
        <f>12/0.63/3.412</f>
        <v>5.5825378216937418</v>
      </c>
      <c r="G60" s="2115" t="s">
        <v>345</v>
      </c>
      <c r="H60" s="587">
        <f>12/0.78</f>
        <v>15.384615384615383</v>
      </c>
      <c r="I60" s="587">
        <f>12/0.78/3.412</f>
        <v>4.5089728559834068</v>
      </c>
      <c r="J60" s="587">
        <f>12/0.63/3.412</f>
        <v>5.5825378216937418</v>
      </c>
      <c r="K60" s="2115" t="s">
        <v>345</v>
      </c>
      <c r="L60" s="587">
        <f>12/0.78</f>
        <v>15.384615384615383</v>
      </c>
      <c r="M60" s="587">
        <f>12/0.78/3.412</f>
        <v>4.5089728559834068</v>
      </c>
      <c r="N60" s="2113">
        <f>12/0.63/3.412</f>
        <v>5.5825378216937418</v>
      </c>
      <c r="O60" s="2086" t="s">
        <v>345</v>
      </c>
      <c r="P60" s="441"/>
      <c r="Q60" s="570"/>
      <c r="R60" s="428"/>
      <c r="S60" s="424"/>
      <c r="T60" s="425"/>
    </row>
    <row r="61" spans="1:22">
      <c r="A61" s="2427"/>
      <c r="B61" s="2095" t="s">
        <v>332</v>
      </c>
      <c r="C61" s="2101" t="s">
        <v>2491</v>
      </c>
      <c r="D61" s="2114">
        <f>12/0.775</f>
        <v>15.483870967741934</v>
      </c>
      <c r="E61" s="587">
        <f>12/0.775/3.412</f>
        <v>4.5380630034413638</v>
      </c>
      <c r="F61" s="587">
        <f>12/0.615/3.412</f>
        <v>5.7186972807594429</v>
      </c>
      <c r="G61" s="2115" t="s">
        <v>346</v>
      </c>
      <c r="H61" s="587">
        <f>12/0.775</f>
        <v>15.483870967741934</v>
      </c>
      <c r="I61" s="587">
        <f>12/0.775/3.412</f>
        <v>4.5380630034413638</v>
      </c>
      <c r="J61" s="587">
        <f>12/0.615/3.412</f>
        <v>5.7186972807594429</v>
      </c>
      <c r="K61" s="2115" t="s">
        <v>346</v>
      </c>
      <c r="L61" s="587">
        <f>12/0.775</f>
        <v>15.483870967741934</v>
      </c>
      <c r="M61" s="587">
        <f>12/0.775/3.412</f>
        <v>4.5380630034413638</v>
      </c>
      <c r="N61" s="2113">
        <f>12/0.615/3.412</f>
        <v>5.7186972807594429</v>
      </c>
      <c r="O61" s="2086" t="s">
        <v>346</v>
      </c>
      <c r="P61" s="441"/>
      <c r="Q61" s="570"/>
      <c r="R61" s="428"/>
      <c r="S61" s="424"/>
      <c r="T61" s="425"/>
    </row>
    <row r="62" spans="1:22">
      <c r="A62" s="2427"/>
      <c r="B62" s="2095" t="s">
        <v>333</v>
      </c>
      <c r="C62" s="2101" t="s">
        <v>2491</v>
      </c>
      <c r="D62" s="2114">
        <f>12/0.68</f>
        <v>17.647058823529409</v>
      </c>
      <c r="E62" s="587">
        <f>12/0.68/3.412</f>
        <v>5.1720570995103783</v>
      </c>
      <c r="F62" s="587">
        <f>12/0.58/3.412</f>
        <v>6.063791082184582</v>
      </c>
      <c r="G62" s="2115" t="s">
        <v>347</v>
      </c>
      <c r="H62" s="587">
        <f>12/0.68</f>
        <v>17.647058823529409</v>
      </c>
      <c r="I62" s="587">
        <f>12/0.68/3.412</f>
        <v>5.1720570995103783</v>
      </c>
      <c r="J62" s="587">
        <f>12/0.58/3.412</f>
        <v>6.063791082184582</v>
      </c>
      <c r="K62" s="2115" t="s">
        <v>347</v>
      </c>
      <c r="L62" s="587">
        <f>12/0.68</f>
        <v>17.647058823529409</v>
      </c>
      <c r="M62" s="587">
        <f>12/0.68/3.412</f>
        <v>5.1720570995103783</v>
      </c>
      <c r="N62" s="2113">
        <f>12/0.58/3.412</f>
        <v>6.063791082184582</v>
      </c>
      <c r="O62" s="2086" t="s">
        <v>347</v>
      </c>
      <c r="P62" s="441"/>
      <c r="Q62" s="570"/>
      <c r="R62" s="428"/>
      <c r="S62" s="424"/>
      <c r="T62" s="425"/>
    </row>
    <row r="63" spans="1:22">
      <c r="A63" s="2427"/>
      <c r="B63" s="2095" t="s">
        <v>334</v>
      </c>
      <c r="C63" s="2101" t="s">
        <v>2491</v>
      </c>
      <c r="D63" s="2114">
        <f>12/0.62</f>
        <v>19.35483870967742</v>
      </c>
      <c r="E63" s="587">
        <f>12/0.62/3.412</f>
        <v>5.6725787543017061</v>
      </c>
      <c r="F63" s="587">
        <f>12/0.54/3.412</f>
        <v>6.5129607919760319</v>
      </c>
      <c r="G63" s="2115" t="s">
        <v>348</v>
      </c>
      <c r="H63" s="587">
        <f>12/0.62</f>
        <v>19.35483870967742</v>
      </c>
      <c r="I63" s="587">
        <f>12/0.62/3.412</f>
        <v>5.6725787543017061</v>
      </c>
      <c r="J63" s="587">
        <f>12/0.54/3.412</f>
        <v>6.5129607919760319</v>
      </c>
      <c r="K63" s="2115" t="s">
        <v>348</v>
      </c>
      <c r="L63" s="587">
        <f>12/0.62</f>
        <v>19.35483870967742</v>
      </c>
      <c r="M63" s="587">
        <f>12/0.62/3.412</f>
        <v>5.6725787543017061</v>
      </c>
      <c r="N63" s="2113">
        <f>12/0.54/3.412</f>
        <v>6.5129607919760319</v>
      </c>
      <c r="O63" s="2086" t="s">
        <v>348</v>
      </c>
      <c r="P63" s="441"/>
      <c r="Q63" s="570"/>
      <c r="R63" s="428"/>
      <c r="S63" s="424"/>
      <c r="T63" s="425"/>
    </row>
    <row r="64" spans="1:22">
      <c r="A64" s="2427"/>
      <c r="B64" s="2095" t="s">
        <v>356</v>
      </c>
      <c r="C64" s="2101" t="s">
        <v>2491</v>
      </c>
      <c r="D64" s="2114">
        <f>12/0.634</f>
        <v>18.927444794952681</v>
      </c>
      <c r="E64" s="587">
        <f>12/0.634/3.412</f>
        <v>5.5473167628817937</v>
      </c>
      <c r="F64" s="587">
        <f>12/0.596/3.412</f>
        <v>5.9010047444078149</v>
      </c>
      <c r="G64" s="2115" t="s">
        <v>349</v>
      </c>
      <c r="H64" s="587">
        <f>12/0.634</f>
        <v>18.927444794952681</v>
      </c>
      <c r="I64" s="587">
        <f>12/0.634/3.412</f>
        <v>5.5473167628817937</v>
      </c>
      <c r="J64" s="587">
        <f>12/0.596/3.412</f>
        <v>5.9010047444078149</v>
      </c>
      <c r="K64" s="2115" t="s">
        <v>349</v>
      </c>
      <c r="L64" s="587">
        <f>12/0.634</f>
        <v>18.927444794952681</v>
      </c>
      <c r="M64" s="587">
        <f>12/0.634/3.412</f>
        <v>5.5473167628817937</v>
      </c>
      <c r="N64" s="2113">
        <f>12/0.596/3.412</f>
        <v>5.9010047444078149</v>
      </c>
      <c r="O64" s="2086" t="s">
        <v>349</v>
      </c>
      <c r="P64" s="441"/>
      <c r="Q64" s="570"/>
      <c r="R64" s="428"/>
      <c r="S64" s="424"/>
      <c r="T64" s="425"/>
    </row>
    <row r="65" spans="1:20">
      <c r="A65" s="2427"/>
      <c r="B65" s="2095" t="s">
        <v>357</v>
      </c>
      <c r="C65" s="2101" t="s">
        <v>2491</v>
      </c>
      <c r="D65" s="2114">
        <f>12/0.634</f>
        <v>18.927444794952681</v>
      </c>
      <c r="E65" s="587">
        <f>12/0.634/3.412</f>
        <v>5.5473167628817937</v>
      </c>
      <c r="F65" s="587">
        <f>12/0.596/3.412</f>
        <v>5.9010047444078149</v>
      </c>
      <c r="G65" s="2115" t="s">
        <v>349</v>
      </c>
      <c r="H65" s="587">
        <f>12/0.634</f>
        <v>18.927444794952681</v>
      </c>
      <c r="I65" s="587">
        <f>12/0.634/3.412</f>
        <v>5.5473167628817937</v>
      </c>
      <c r="J65" s="587">
        <f>12/0.596/3.412</f>
        <v>5.9010047444078149</v>
      </c>
      <c r="K65" s="2115" t="s">
        <v>349</v>
      </c>
      <c r="L65" s="587">
        <f>12/0.634</f>
        <v>18.927444794952681</v>
      </c>
      <c r="M65" s="587">
        <f>12/0.634/3.412</f>
        <v>5.5473167628817937</v>
      </c>
      <c r="N65" s="2113">
        <f>12/0.596/3.412</f>
        <v>5.9010047444078149</v>
      </c>
      <c r="O65" s="2086" t="s">
        <v>349</v>
      </c>
      <c r="P65" s="441"/>
      <c r="Q65" s="570"/>
      <c r="R65" s="428"/>
      <c r="S65" s="424"/>
      <c r="T65" s="425"/>
    </row>
    <row r="66" spans="1:20">
      <c r="A66" s="2427"/>
      <c r="B66" s="2095" t="s">
        <v>335</v>
      </c>
      <c r="C66" s="2101" t="s">
        <v>2491</v>
      </c>
      <c r="D66" s="2114">
        <f>12/0.576</f>
        <v>20.833333333333336</v>
      </c>
      <c r="E66" s="587">
        <f>12/0.576/3.412</f>
        <v>6.1059007424775311</v>
      </c>
      <c r="F66" s="587">
        <f>12/0.549/3.412</f>
        <v>6.4061909429272452</v>
      </c>
      <c r="G66" s="2115" t="s">
        <v>350</v>
      </c>
      <c r="H66" s="587">
        <f>12/0.576</f>
        <v>20.833333333333336</v>
      </c>
      <c r="I66" s="587">
        <f>12/0.576/3.412</f>
        <v>6.1059007424775311</v>
      </c>
      <c r="J66" s="587">
        <f>12/0.549/3.412</f>
        <v>6.4061909429272452</v>
      </c>
      <c r="K66" s="2115" t="s">
        <v>350</v>
      </c>
      <c r="L66" s="587">
        <f>12/0.576</f>
        <v>20.833333333333336</v>
      </c>
      <c r="M66" s="587">
        <f>12/0.576/3.412</f>
        <v>6.1059007424775311</v>
      </c>
      <c r="N66" s="2113">
        <f>12/0.549/3.412</f>
        <v>6.4061909429272452</v>
      </c>
      <c r="O66" s="2086" t="s">
        <v>350</v>
      </c>
      <c r="P66" s="441"/>
      <c r="Q66" s="570"/>
      <c r="R66" s="428"/>
      <c r="S66" s="424"/>
      <c r="T66" s="425"/>
    </row>
    <row r="67" spans="1:20">
      <c r="A67" s="2427"/>
      <c r="B67" s="2095" t="s">
        <v>336</v>
      </c>
      <c r="C67" s="2101" t="s">
        <v>2491</v>
      </c>
      <c r="D67" s="2114">
        <f>12/0.57</f>
        <v>21.05263157894737</v>
      </c>
      <c r="E67" s="587">
        <f>12/0.57/3.412</f>
        <v>6.170173381872031</v>
      </c>
      <c r="F67" s="587">
        <f>12/0.539/3.412</f>
        <v>6.5250442071745027</v>
      </c>
      <c r="G67" s="2115" t="s">
        <v>351</v>
      </c>
      <c r="H67" s="587">
        <f>12/0.57</f>
        <v>21.05263157894737</v>
      </c>
      <c r="I67" s="587">
        <f>12/0.57/3.412</f>
        <v>6.170173381872031</v>
      </c>
      <c r="J67" s="587">
        <f>12/0.539/3.412</f>
        <v>6.5250442071745027</v>
      </c>
      <c r="K67" s="2115" t="s">
        <v>351</v>
      </c>
      <c r="L67" s="587">
        <f>12/0.57</f>
        <v>21.05263157894737</v>
      </c>
      <c r="M67" s="587">
        <f>12/0.57/3.412</f>
        <v>6.170173381872031</v>
      </c>
      <c r="N67" s="2113">
        <f>12/0.539/3.412</f>
        <v>6.5250442071745027</v>
      </c>
      <c r="O67" s="2086" t="s">
        <v>351</v>
      </c>
      <c r="P67" s="441"/>
      <c r="Q67" s="570"/>
      <c r="R67" s="428"/>
      <c r="S67" s="424"/>
      <c r="T67" s="425"/>
    </row>
    <row r="68" spans="1:20">
      <c r="A68" s="2427"/>
      <c r="B68" s="464" t="s">
        <v>337</v>
      </c>
      <c r="C68" s="2061" t="s">
        <v>2491</v>
      </c>
      <c r="D68" s="424"/>
      <c r="E68" s="237">
        <v>0.6</v>
      </c>
      <c r="F68" s="2086"/>
      <c r="G68" s="237" t="s">
        <v>18</v>
      </c>
      <c r="H68" s="424"/>
      <c r="I68" s="237">
        <v>0.6</v>
      </c>
      <c r="J68" s="2086"/>
      <c r="K68" s="237" t="s">
        <v>18</v>
      </c>
      <c r="L68" s="424"/>
      <c r="M68" s="237">
        <v>0.6</v>
      </c>
      <c r="N68" s="2083"/>
      <c r="O68" s="239" t="s">
        <v>18</v>
      </c>
      <c r="P68" s="441"/>
      <c r="Q68" s="570"/>
      <c r="R68" s="428"/>
      <c r="S68" s="424"/>
      <c r="T68" s="425"/>
    </row>
    <row r="69" spans="1:20">
      <c r="A69" s="2427"/>
      <c r="B69" s="464" t="s">
        <v>338</v>
      </c>
      <c r="C69" s="2061" t="s">
        <v>2491</v>
      </c>
      <c r="D69" s="424"/>
      <c r="E69" s="237">
        <v>0.7</v>
      </c>
      <c r="F69" s="2086"/>
      <c r="G69" s="237" t="s">
        <v>21</v>
      </c>
      <c r="H69" s="424"/>
      <c r="I69" s="237">
        <v>0.7</v>
      </c>
      <c r="J69" s="2086"/>
      <c r="K69" s="237" t="s">
        <v>21</v>
      </c>
      <c r="L69" s="424"/>
      <c r="M69" s="237">
        <v>0.7</v>
      </c>
      <c r="N69" s="2083"/>
      <c r="O69" s="239" t="s">
        <v>21</v>
      </c>
      <c r="P69" s="441"/>
      <c r="Q69" s="570"/>
      <c r="R69" s="428"/>
      <c r="S69" s="424"/>
      <c r="T69" s="425"/>
    </row>
    <row r="70" spans="1:20">
      <c r="A70" s="2427"/>
      <c r="B70" s="464" t="s">
        <v>339</v>
      </c>
      <c r="C70" s="2061" t="s">
        <v>2491</v>
      </c>
      <c r="D70" s="237">
        <v>1.05</v>
      </c>
      <c r="E70" s="237">
        <v>1</v>
      </c>
      <c r="F70" s="2086"/>
      <c r="G70" s="237" t="s">
        <v>19</v>
      </c>
      <c r="H70" s="237">
        <v>1.05</v>
      </c>
      <c r="I70" s="237">
        <v>1</v>
      </c>
      <c r="J70" s="2086"/>
      <c r="K70" s="237" t="s">
        <v>19</v>
      </c>
      <c r="L70" s="237">
        <v>1.05</v>
      </c>
      <c r="M70" s="237">
        <v>1</v>
      </c>
      <c r="N70" s="2083"/>
      <c r="O70" s="239" t="s">
        <v>19</v>
      </c>
      <c r="P70" s="441"/>
      <c r="Q70" s="570"/>
      <c r="R70" s="428"/>
      <c r="S70" s="424"/>
      <c r="T70" s="425"/>
    </row>
    <row r="71" spans="1:20" ht="15.75" customHeight="1">
      <c r="A71" s="2427"/>
      <c r="B71" s="464" t="s">
        <v>340</v>
      </c>
      <c r="C71" s="2061" t="s">
        <v>2491</v>
      </c>
      <c r="D71" s="237">
        <v>1</v>
      </c>
      <c r="E71" s="237">
        <v>1</v>
      </c>
      <c r="F71" s="2086"/>
      <c r="G71" s="237" t="s">
        <v>20</v>
      </c>
      <c r="H71" s="237">
        <v>1</v>
      </c>
      <c r="I71" s="237">
        <v>1</v>
      </c>
      <c r="J71" s="2086"/>
      <c r="K71" s="237" t="s">
        <v>20</v>
      </c>
      <c r="L71" s="237">
        <v>1</v>
      </c>
      <c r="M71" s="237">
        <v>1</v>
      </c>
      <c r="N71" s="2083"/>
      <c r="O71" s="239" t="s">
        <v>20</v>
      </c>
      <c r="P71" s="441"/>
      <c r="Q71" s="572"/>
      <c r="R71" s="428"/>
      <c r="S71" s="424"/>
      <c r="T71" s="425"/>
    </row>
    <row r="72" spans="1:20" ht="15.75" customHeight="1">
      <c r="A72" s="2427"/>
      <c r="B72" s="464" t="s">
        <v>341</v>
      </c>
      <c r="C72" s="464"/>
      <c r="D72" s="424"/>
      <c r="E72" s="424"/>
      <c r="F72" s="424"/>
      <c r="G72" s="424"/>
      <c r="H72" s="424"/>
      <c r="I72" s="424"/>
      <c r="J72" s="424"/>
      <c r="K72" s="424"/>
      <c r="L72" s="424"/>
      <c r="M72" s="424"/>
      <c r="N72" s="2082"/>
      <c r="O72" s="552"/>
      <c r="P72" s="441"/>
      <c r="Q72" s="417">
        <v>0</v>
      </c>
      <c r="R72" s="428"/>
      <c r="S72" s="424"/>
      <c r="T72" s="425"/>
    </row>
    <row r="73" spans="1:20" ht="15.75" customHeight="1">
      <c r="A73" s="2427"/>
      <c r="B73" s="464" t="s">
        <v>342</v>
      </c>
      <c r="C73" s="464"/>
      <c r="D73" s="424"/>
      <c r="E73" s="424"/>
      <c r="F73" s="424"/>
      <c r="G73" s="424"/>
      <c r="H73" s="424"/>
      <c r="I73" s="424"/>
      <c r="J73" s="424"/>
      <c r="K73" s="424"/>
      <c r="L73" s="424"/>
      <c r="M73" s="424"/>
      <c r="N73" s="2082"/>
      <c r="O73" s="552"/>
      <c r="P73" s="441"/>
      <c r="Q73" s="570"/>
      <c r="R73" s="428"/>
      <c r="S73" s="424"/>
      <c r="T73" s="425"/>
    </row>
    <row r="74" spans="1:20" ht="15.75" customHeight="1">
      <c r="A74" s="2427"/>
      <c r="B74" s="464" t="s">
        <v>343</v>
      </c>
      <c r="C74" s="464"/>
      <c r="D74" s="424"/>
      <c r="E74" s="424"/>
      <c r="F74" s="424"/>
      <c r="G74" s="424"/>
      <c r="H74" s="424"/>
      <c r="I74" s="424"/>
      <c r="J74" s="424"/>
      <c r="K74" s="424"/>
      <c r="L74" s="424"/>
      <c r="M74" s="424"/>
      <c r="N74" s="2082"/>
      <c r="O74" s="552"/>
      <c r="P74" s="441"/>
      <c r="Q74" s="570"/>
      <c r="R74" s="428"/>
      <c r="S74" s="424"/>
      <c r="T74" s="425"/>
    </row>
    <row r="75" spans="1:20">
      <c r="A75" s="2427"/>
      <c r="B75" s="464" t="s">
        <v>344</v>
      </c>
      <c r="C75" s="464"/>
      <c r="D75" s="424"/>
      <c r="E75" s="424"/>
      <c r="F75" s="424"/>
      <c r="G75" s="424"/>
      <c r="H75" s="424"/>
      <c r="I75" s="424"/>
      <c r="J75" s="424"/>
      <c r="K75" s="424"/>
      <c r="L75" s="424"/>
      <c r="M75" s="424"/>
      <c r="N75" s="424"/>
      <c r="O75" s="424"/>
      <c r="P75" s="441"/>
      <c r="Q75" s="570"/>
      <c r="R75" s="428"/>
      <c r="S75" s="424"/>
      <c r="T75" s="425"/>
    </row>
    <row r="76" spans="1:20" ht="15.75" thickBot="1">
      <c r="A76" s="467" t="s">
        <v>17</v>
      </c>
      <c r="B76" s="457" t="s">
        <v>44</v>
      </c>
      <c r="C76" s="2061" t="s">
        <v>2481</v>
      </c>
      <c r="D76" s="479"/>
      <c r="E76" s="479"/>
      <c r="F76" s="479"/>
      <c r="G76" s="446" t="s">
        <v>88</v>
      </c>
      <c r="H76" s="479"/>
      <c r="I76" s="479"/>
      <c r="J76" s="479"/>
      <c r="K76" s="446" t="s">
        <v>88</v>
      </c>
      <c r="L76" s="479"/>
      <c r="M76" s="479"/>
      <c r="N76" s="2090"/>
      <c r="O76" s="447" t="s">
        <v>88</v>
      </c>
      <c r="P76" s="515"/>
      <c r="Q76" s="544"/>
      <c r="R76" s="428"/>
      <c r="S76" s="424"/>
      <c r="T76" s="425"/>
    </row>
    <row r="77" spans="1:20" ht="60.75" thickBot="1">
      <c r="A77" s="2428" t="s">
        <v>90</v>
      </c>
      <c r="B77" s="545"/>
      <c r="C77" s="2055"/>
      <c r="D77" s="2423" t="s">
        <v>493</v>
      </c>
      <c r="E77" s="2424"/>
      <c r="F77" s="2424"/>
      <c r="G77" s="2425"/>
      <c r="H77" s="2423" t="s">
        <v>493</v>
      </c>
      <c r="I77" s="2424"/>
      <c r="J77" s="2424"/>
      <c r="K77" s="2425"/>
      <c r="L77" s="2423" t="s">
        <v>493</v>
      </c>
      <c r="M77" s="2424"/>
      <c r="N77" s="2424"/>
      <c r="O77" s="2425"/>
      <c r="P77" s="430" t="s">
        <v>471</v>
      </c>
      <c r="Q77" s="432" t="s">
        <v>476</v>
      </c>
      <c r="R77" s="433" t="s">
        <v>472</v>
      </c>
      <c r="S77" s="431" t="s">
        <v>473</v>
      </c>
      <c r="T77" s="432" t="s">
        <v>474</v>
      </c>
    </row>
    <row r="78" spans="1:20">
      <c r="A78" s="2429"/>
      <c r="B78" s="459" t="s">
        <v>91</v>
      </c>
      <c r="C78" s="2061" t="s">
        <v>2492</v>
      </c>
      <c r="D78" s="2412">
        <v>0.69</v>
      </c>
      <c r="E78" s="2413"/>
      <c r="F78" s="2413"/>
      <c r="G78" s="2414"/>
      <c r="H78" s="2412">
        <v>0.69</v>
      </c>
      <c r="I78" s="2413"/>
      <c r="J78" s="2413"/>
      <c r="K78" s="2414"/>
      <c r="L78" s="2412">
        <v>0.69</v>
      </c>
      <c r="M78" s="2413"/>
      <c r="N78" s="2413"/>
      <c r="O78" s="2414"/>
      <c r="P78" s="527"/>
      <c r="Q78" s="511"/>
      <c r="R78" s="428"/>
      <c r="S78" s="424"/>
      <c r="T78" s="425"/>
    </row>
    <row r="79" spans="1:20">
      <c r="A79" s="2429"/>
      <c r="B79" s="403" t="s">
        <v>92</v>
      </c>
      <c r="C79" s="2061" t="s">
        <v>2492</v>
      </c>
      <c r="D79" s="2408">
        <v>0.66</v>
      </c>
      <c r="E79" s="2409"/>
      <c r="F79" s="2409"/>
      <c r="G79" s="2410"/>
      <c r="H79" s="2408">
        <v>0.66</v>
      </c>
      <c r="I79" s="2409"/>
      <c r="J79" s="2409"/>
      <c r="K79" s="2410"/>
      <c r="L79" s="2408">
        <v>0.66</v>
      </c>
      <c r="M79" s="2409"/>
      <c r="N79" s="2409"/>
      <c r="O79" s="2410"/>
      <c r="P79" s="529"/>
      <c r="Q79" s="512"/>
      <c r="R79" s="428"/>
      <c r="S79" s="424"/>
      <c r="T79" s="425"/>
    </row>
    <row r="80" spans="1:20">
      <c r="A80" s="2429"/>
      <c r="B80" s="403" t="s">
        <v>93</v>
      </c>
      <c r="C80" s="2061" t="s">
        <v>2492</v>
      </c>
      <c r="D80" s="2408">
        <v>0.9</v>
      </c>
      <c r="E80" s="2409"/>
      <c r="F80" s="2409"/>
      <c r="G80" s="2410"/>
      <c r="H80" s="2408">
        <v>0.9</v>
      </c>
      <c r="I80" s="2409"/>
      <c r="J80" s="2409"/>
      <c r="K80" s="2410"/>
      <c r="L80" s="2408">
        <v>0.9</v>
      </c>
      <c r="M80" s="2409"/>
      <c r="N80" s="2409"/>
      <c r="O80" s="2410"/>
      <c r="P80" s="529"/>
      <c r="Q80" s="512"/>
      <c r="R80" s="428"/>
      <c r="S80" s="424"/>
      <c r="T80" s="425"/>
    </row>
    <row r="81" spans="1:20">
      <c r="A81" s="2429"/>
      <c r="B81" s="403" t="s">
        <v>94</v>
      </c>
      <c r="C81" s="2061" t="s">
        <v>2492</v>
      </c>
      <c r="D81" s="2408">
        <v>0.95</v>
      </c>
      <c r="E81" s="2409"/>
      <c r="F81" s="2409"/>
      <c r="G81" s="2410"/>
      <c r="H81" s="2408">
        <v>0.95</v>
      </c>
      <c r="I81" s="2409"/>
      <c r="J81" s="2409"/>
      <c r="K81" s="2410"/>
      <c r="L81" s="2408">
        <v>0.95</v>
      </c>
      <c r="M81" s="2409"/>
      <c r="N81" s="2409"/>
      <c r="O81" s="2410"/>
      <c r="P81" s="529"/>
      <c r="Q81" s="512"/>
      <c r="R81" s="428"/>
      <c r="S81" s="424"/>
      <c r="T81" s="425"/>
    </row>
    <row r="82" spans="1:20">
      <c r="A82" s="2429"/>
      <c r="B82" s="403" t="s">
        <v>95</v>
      </c>
      <c r="C82" s="2061" t="s">
        <v>2492</v>
      </c>
      <c r="D82" s="2408">
        <v>0.63</v>
      </c>
      <c r="E82" s="2409"/>
      <c r="F82" s="2409"/>
      <c r="G82" s="2410"/>
      <c r="H82" s="2408">
        <v>0.63</v>
      </c>
      <c r="I82" s="2409"/>
      <c r="J82" s="2409"/>
      <c r="K82" s="2410"/>
      <c r="L82" s="2408">
        <v>0.63</v>
      </c>
      <c r="M82" s="2409"/>
      <c r="N82" s="2409"/>
      <c r="O82" s="2410"/>
      <c r="P82" s="529"/>
      <c r="Q82" s="512"/>
      <c r="R82" s="428"/>
      <c r="S82" s="424"/>
      <c r="T82" s="425"/>
    </row>
    <row r="83" spans="1:20">
      <c r="A83" s="2429"/>
      <c r="B83" s="403" t="s">
        <v>96</v>
      </c>
      <c r="C83" s="2061" t="s">
        <v>2492</v>
      </c>
      <c r="D83" s="2408">
        <v>0.63</v>
      </c>
      <c r="E83" s="2409"/>
      <c r="F83" s="2409"/>
      <c r="G83" s="2410"/>
      <c r="H83" s="2408">
        <v>0.63</v>
      </c>
      <c r="I83" s="2409"/>
      <c r="J83" s="2409"/>
      <c r="K83" s="2410"/>
      <c r="L83" s="2408">
        <v>0.63</v>
      </c>
      <c r="M83" s="2409"/>
      <c r="N83" s="2409"/>
      <c r="O83" s="2410"/>
      <c r="P83" s="529"/>
      <c r="Q83" s="512"/>
      <c r="R83" s="428"/>
      <c r="S83" s="424"/>
      <c r="T83" s="425"/>
    </row>
    <row r="84" spans="1:20">
      <c r="A84" s="2429"/>
      <c r="B84" s="403" t="s">
        <v>97</v>
      </c>
      <c r="C84" s="2061" t="s">
        <v>2492</v>
      </c>
      <c r="D84" s="2408">
        <v>1.23</v>
      </c>
      <c r="E84" s="2409"/>
      <c r="F84" s="2409"/>
      <c r="G84" s="2410"/>
      <c r="H84" s="2408">
        <v>1.23</v>
      </c>
      <c r="I84" s="2409"/>
      <c r="J84" s="2409"/>
      <c r="K84" s="2410"/>
      <c r="L84" s="2408">
        <v>1.23</v>
      </c>
      <c r="M84" s="2409"/>
      <c r="N84" s="2409"/>
      <c r="O84" s="2410"/>
      <c r="P84" s="529"/>
      <c r="Q84" s="512"/>
      <c r="R84" s="428"/>
      <c r="S84" s="424"/>
      <c r="T84" s="425"/>
    </row>
    <row r="85" spans="1:20">
      <c r="A85" s="2429"/>
      <c r="B85" s="403" t="s">
        <v>98</v>
      </c>
      <c r="C85" s="2061" t="s">
        <v>2492</v>
      </c>
      <c r="D85" s="2408">
        <v>1.1100000000000001</v>
      </c>
      <c r="E85" s="2409"/>
      <c r="F85" s="2409"/>
      <c r="G85" s="2410"/>
      <c r="H85" s="2408">
        <v>1.1100000000000001</v>
      </c>
      <c r="I85" s="2409"/>
      <c r="J85" s="2409"/>
      <c r="K85" s="2410"/>
      <c r="L85" s="2408">
        <v>1.1100000000000001</v>
      </c>
      <c r="M85" s="2409"/>
      <c r="N85" s="2409"/>
      <c r="O85" s="2410"/>
      <c r="P85" s="529"/>
      <c r="Q85" s="512"/>
      <c r="R85" s="428"/>
      <c r="S85" s="424"/>
      <c r="T85" s="425"/>
    </row>
    <row r="86" spans="1:20">
      <c r="A86" s="2426"/>
      <c r="B86" s="403" t="s">
        <v>453</v>
      </c>
      <c r="C86" s="2063"/>
      <c r="D86" s="2405"/>
      <c r="E86" s="2406"/>
      <c r="F86" s="2406"/>
      <c r="G86" s="2407"/>
      <c r="H86" s="2405"/>
      <c r="I86" s="2406"/>
      <c r="J86" s="2406"/>
      <c r="K86" s="2407"/>
      <c r="L86" s="2405"/>
      <c r="M86" s="2406"/>
      <c r="N86" s="2406"/>
      <c r="O86" s="2407"/>
      <c r="P86" s="419"/>
      <c r="Q86" s="417">
        <v>0</v>
      </c>
      <c r="R86" s="428"/>
      <c r="S86" s="424"/>
      <c r="T86" s="425"/>
    </row>
    <row r="87" spans="1:20">
      <c r="A87" s="2415" t="s">
        <v>43</v>
      </c>
      <c r="B87" s="403" t="s">
        <v>467</v>
      </c>
      <c r="C87" s="2096"/>
      <c r="D87" s="2405"/>
      <c r="E87" s="2406"/>
      <c r="F87" s="2406"/>
      <c r="G87" s="2407"/>
      <c r="H87" s="2405"/>
      <c r="I87" s="2406"/>
      <c r="J87" s="2406"/>
      <c r="K87" s="2407"/>
      <c r="L87" s="2405"/>
      <c r="M87" s="2406"/>
      <c r="N87" s="2406"/>
      <c r="O87" s="2407"/>
      <c r="P87" s="441"/>
      <c r="Q87" s="540"/>
      <c r="R87" s="428"/>
      <c r="S87" s="424"/>
      <c r="T87" s="425"/>
    </row>
    <row r="88" spans="1:20">
      <c r="A88" s="2416"/>
      <c r="B88" s="403" t="s">
        <v>468</v>
      </c>
      <c r="C88" s="2062"/>
      <c r="D88" s="2405"/>
      <c r="E88" s="2406"/>
      <c r="F88" s="2406"/>
      <c r="G88" s="2407"/>
      <c r="H88" s="2405"/>
      <c r="I88" s="2406"/>
      <c r="J88" s="2406"/>
      <c r="K88" s="2407"/>
      <c r="L88" s="2405"/>
      <c r="M88" s="2406"/>
      <c r="N88" s="2406"/>
      <c r="O88" s="2407"/>
      <c r="P88" s="441"/>
      <c r="Q88" s="540"/>
      <c r="R88" s="428"/>
      <c r="S88" s="424"/>
      <c r="T88" s="425"/>
    </row>
    <row r="89" spans="1:20">
      <c r="A89" s="2416"/>
      <c r="B89" s="403" t="s">
        <v>469</v>
      </c>
      <c r="C89" s="2062"/>
      <c r="D89" s="2405"/>
      <c r="E89" s="2406"/>
      <c r="F89" s="2406"/>
      <c r="G89" s="2407"/>
      <c r="H89" s="2405"/>
      <c r="I89" s="2406"/>
      <c r="J89" s="2406"/>
      <c r="K89" s="2407"/>
      <c r="L89" s="2405"/>
      <c r="M89" s="2406"/>
      <c r="N89" s="2406"/>
      <c r="O89" s="2407"/>
      <c r="P89" s="441"/>
      <c r="Q89" s="540"/>
      <c r="R89" s="428"/>
      <c r="S89" s="424"/>
      <c r="T89" s="425"/>
    </row>
    <row r="90" spans="1:20">
      <c r="A90" s="2416"/>
      <c r="B90" s="403" t="s">
        <v>388</v>
      </c>
      <c r="C90" s="2062"/>
      <c r="D90" s="2405"/>
      <c r="E90" s="2406"/>
      <c r="F90" s="2406"/>
      <c r="G90" s="2407"/>
      <c r="H90" s="2405"/>
      <c r="I90" s="2406"/>
      <c r="J90" s="2406"/>
      <c r="K90" s="2407"/>
      <c r="L90" s="2405"/>
      <c r="M90" s="2406"/>
      <c r="N90" s="2406"/>
      <c r="O90" s="2407"/>
      <c r="P90" s="441"/>
      <c r="Q90" s="540"/>
      <c r="R90" s="428"/>
      <c r="S90" s="424"/>
      <c r="T90" s="425"/>
    </row>
    <row r="91" spans="1:20">
      <c r="A91" s="2416"/>
      <c r="B91" s="403" t="s">
        <v>389</v>
      </c>
      <c r="C91" s="2062"/>
      <c r="D91" s="2405"/>
      <c r="E91" s="2406"/>
      <c r="F91" s="2406"/>
      <c r="G91" s="2407"/>
      <c r="H91" s="2405"/>
      <c r="I91" s="2406"/>
      <c r="J91" s="2406"/>
      <c r="K91" s="2407"/>
      <c r="L91" s="2405"/>
      <c r="M91" s="2406"/>
      <c r="N91" s="2406"/>
      <c r="O91" s="2407"/>
      <c r="P91" s="441"/>
      <c r="Q91" s="540"/>
      <c r="R91" s="428"/>
      <c r="S91" s="424"/>
      <c r="T91" s="425"/>
    </row>
    <row r="92" spans="1:20" ht="15.75" thickBot="1">
      <c r="A92" s="2416"/>
      <c r="B92" s="457" t="s">
        <v>390</v>
      </c>
      <c r="C92" s="2063"/>
      <c r="D92" s="2405"/>
      <c r="E92" s="2406"/>
      <c r="F92" s="2406"/>
      <c r="G92" s="2407"/>
      <c r="H92" s="2405"/>
      <c r="I92" s="2406"/>
      <c r="J92" s="2406"/>
      <c r="K92" s="2407"/>
      <c r="L92" s="2405"/>
      <c r="M92" s="2406"/>
      <c r="N92" s="2406"/>
      <c r="O92" s="2407"/>
      <c r="P92" s="515"/>
      <c r="Q92" s="541"/>
      <c r="R92" s="478"/>
      <c r="S92" s="479"/>
      <c r="T92" s="480"/>
    </row>
    <row r="93" spans="1:20" ht="60.75" thickBot="1">
      <c r="A93" s="2417" t="s">
        <v>454</v>
      </c>
      <c r="B93" s="485"/>
      <c r="C93" s="458"/>
      <c r="D93" s="448" t="s">
        <v>199</v>
      </c>
      <c r="E93" s="448" t="s">
        <v>484</v>
      </c>
      <c r="F93" s="2091"/>
      <c r="G93" s="486"/>
      <c r="H93" s="448" t="s">
        <v>199</v>
      </c>
      <c r="I93" s="448" t="s">
        <v>484</v>
      </c>
      <c r="J93" s="2091"/>
      <c r="K93" s="486"/>
      <c r="L93" s="448" t="s">
        <v>199</v>
      </c>
      <c r="M93" s="448" t="s">
        <v>484</v>
      </c>
      <c r="N93" s="2091"/>
      <c r="O93" s="486"/>
      <c r="P93" s="430" t="s">
        <v>471</v>
      </c>
      <c r="Q93" s="432" t="s">
        <v>476</v>
      </c>
      <c r="R93" s="433" t="s">
        <v>472</v>
      </c>
      <c r="S93" s="431" t="s">
        <v>473</v>
      </c>
      <c r="T93" s="432" t="s">
        <v>474</v>
      </c>
    </row>
    <row r="94" spans="1:20" ht="60">
      <c r="A94" s="2418"/>
      <c r="B94" s="481" t="s">
        <v>442</v>
      </c>
      <c r="C94" s="589" t="s">
        <v>2484</v>
      </c>
      <c r="D94" s="443">
        <f>'Prescriptive Path'!$H$97</f>
        <v>0</v>
      </c>
      <c r="E94" s="482"/>
      <c r="F94" s="482"/>
      <c r="G94" s="482"/>
      <c r="H94" s="443">
        <f>'Prescriptive Path'!$H$97</f>
        <v>0</v>
      </c>
      <c r="I94" s="482"/>
      <c r="J94" s="482"/>
      <c r="K94" s="482"/>
      <c r="L94" s="443">
        <f>'Prescriptive Path'!$H$97</f>
        <v>0</v>
      </c>
      <c r="M94" s="482"/>
      <c r="N94" s="482"/>
      <c r="O94" s="482"/>
      <c r="P94" s="542"/>
      <c r="Q94" s="484"/>
      <c r="R94" s="526"/>
      <c r="S94" s="483"/>
      <c r="T94" s="484"/>
    </row>
    <row r="95" spans="1:20" ht="15.75" thickBot="1">
      <c r="A95" s="2419"/>
      <c r="B95" s="475" t="s">
        <v>481</v>
      </c>
      <c r="C95" s="2064"/>
      <c r="D95" s="476"/>
      <c r="E95" s="474" t="b">
        <f>IF('Prescriptive Path'!$H$94="Bathroom and Utility Room Fans (10 - 89 CFM)",1.2,IF('Prescriptive Path'!$H$94="Bathroom and Utility Room Fans (90 - 500 CFM)",2.3,IF('Prescriptive Path'!$H$94="In-line Fans",2.3,IF('Prescriptive Path'!$H$94="Range Hoods (up to 500 CFM)",2.3,FALSE))))</f>
        <v>0</v>
      </c>
      <c r="F95" s="474"/>
      <c r="G95" s="476"/>
      <c r="H95" s="476"/>
      <c r="I95" s="474" t="b">
        <f>IF('Prescriptive Path'!$H$94="Bathroom and Utility Room Fans (10 - 89 CFM)",1.2,IF('Prescriptive Path'!$H$94="Bathroom and Utility Room Fans (90 - 500 CFM)",2.3,IF('Prescriptive Path'!$H$94="In-line Fans",2.3,IF('Prescriptive Path'!$H$94="Range Hoods (up to 500 CFM)",2.3,FALSE))))</f>
        <v>0</v>
      </c>
      <c r="J95" s="474"/>
      <c r="K95" s="476"/>
      <c r="L95" s="476"/>
      <c r="M95" s="474" t="b">
        <f>IF('Prescriptive Path'!$H$94="Bathroom and Utility Room Fans (10 - 89 CFM)",1.2,IF('Prescriptive Path'!$H$94="Bathroom and Utility Room Fans (90 - 500 CFM)",2.3,IF('Prescriptive Path'!$H$94="In-line Fans",2.3,IF('Prescriptive Path'!$H$94="Range Hoods (up to 500 CFM)",2.3,FALSE))))</f>
        <v>0</v>
      </c>
      <c r="N95" s="474"/>
      <c r="O95" s="476"/>
      <c r="P95" s="543"/>
      <c r="Q95" s="2182">
        <v>2.23</v>
      </c>
      <c r="R95" s="469"/>
      <c r="S95" s="470"/>
      <c r="T95" s="471"/>
    </row>
    <row r="97" spans="1:20" ht="15.75" thickBot="1">
      <c r="A97" s="11"/>
      <c r="Q97" s="11"/>
      <c r="R97" s="11"/>
      <c r="S97" s="11"/>
      <c r="T97" s="11"/>
    </row>
    <row r="98" spans="1:20">
      <c r="A98" s="11"/>
      <c r="B98" s="546" t="s">
        <v>485</v>
      </c>
      <c r="C98" s="2065"/>
      <c r="D98" s="549">
        <v>11.1</v>
      </c>
      <c r="Q98" s="11"/>
      <c r="R98" s="11"/>
      <c r="S98" s="11"/>
      <c r="T98" s="11"/>
    </row>
    <row r="99" spans="1:20">
      <c r="A99" s="11"/>
      <c r="B99" s="547" t="s">
        <v>486</v>
      </c>
      <c r="C99" s="2066"/>
      <c r="D99" s="550">
        <f>D98/0.875</f>
        <v>12.685714285714285</v>
      </c>
      <c r="Q99" s="11"/>
      <c r="R99" s="11"/>
      <c r="S99" s="11"/>
      <c r="T99" s="11"/>
    </row>
    <row r="100" spans="1:20" ht="15.75" thickBot="1">
      <c r="A100" s="11"/>
      <c r="B100" s="548" t="s">
        <v>487</v>
      </c>
      <c r="C100" s="2067"/>
      <c r="D100" s="551">
        <v>0.78</v>
      </c>
      <c r="Q100" s="11"/>
      <c r="R100" s="11"/>
      <c r="S100" s="11"/>
      <c r="T100" s="11"/>
    </row>
  </sheetData>
  <mergeCells count="90">
    <mergeCell ref="L1:O1"/>
    <mergeCell ref="A7:A12"/>
    <mergeCell ref="A14:A16"/>
    <mergeCell ref="L7:O7"/>
    <mergeCell ref="L8:O8"/>
    <mergeCell ref="L9:O9"/>
    <mergeCell ref="L10:O10"/>
    <mergeCell ref="H7:K7"/>
    <mergeCell ref="H8:K8"/>
    <mergeCell ref="H9:K9"/>
    <mergeCell ref="H10:K10"/>
    <mergeCell ref="D8:G8"/>
    <mergeCell ref="D7:G7"/>
    <mergeCell ref="L11:O11"/>
    <mergeCell ref="L12:O12"/>
    <mergeCell ref="A1:B1"/>
    <mergeCell ref="A2:A6"/>
    <mergeCell ref="D9:G9"/>
    <mergeCell ref="D10:G10"/>
    <mergeCell ref="D1:G1"/>
    <mergeCell ref="H1:K1"/>
    <mergeCell ref="L22:O22"/>
    <mergeCell ref="A23:A25"/>
    <mergeCell ref="A26:A27"/>
    <mergeCell ref="D27:G27"/>
    <mergeCell ref="H27:K27"/>
    <mergeCell ref="L27:O27"/>
    <mergeCell ref="A21:A22"/>
    <mergeCell ref="D26:G26"/>
    <mergeCell ref="H26:K26"/>
    <mergeCell ref="L26:O26"/>
    <mergeCell ref="D22:G22"/>
    <mergeCell ref="H22:K22"/>
    <mergeCell ref="L77:O77"/>
    <mergeCell ref="D85:G85"/>
    <mergeCell ref="D86:G86"/>
    <mergeCell ref="L78:O78"/>
    <mergeCell ref="L79:O79"/>
    <mergeCell ref="L80:O80"/>
    <mergeCell ref="H80:K80"/>
    <mergeCell ref="H81:K81"/>
    <mergeCell ref="H82:K82"/>
    <mergeCell ref="H83:K83"/>
    <mergeCell ref="H84:K84"/>
    <mergeCell ref="H85:K85"/>
    <mergeCell ref="H86:K86"/>
    <mergeCell ref="L81:O81"/>
    <mergeCell ref="L82:O82"/>
    <mergeCell ref="L83:O83"/>
    <mergeCell ref="A93:A95"/>
    <mergeCell ref="D11:G11"/>
    <mergeCell ref="H11:K11"/>
    <mergeCell ref="D12:G12"/>
    <mergeCell ref="H12:K12"/>
    <mergeCell ref="D77:G77"/>
    <mergeCell ref="H77:K77"/>
    <mergeCell ref="D78:G78"/>
    <mergeCell ref="D79:G79"/>
    <mergeCell ref="D80:G80"/>
    <mergeCell ref="D81:G81"/>
    <mergeCell ref="D82:G82"/>
    <mergeCell ref="D83:G83"/>
    <mergeCell ref="D84:G84"/>
    <mergeCell ref="A36:A75"/>
    <mergeCell ref="A77:A86"/>
    <mergeCell ref="A17:A20"/>
    <mergeCell ref="H92:K92"/>
    <mergeCell ref="D92:G92"/>
    <mergeCell ref="H78:K78"/>
    <mergeCell ref="H79:K79"/>
    <mergeCell ref="H87:K87"/>
    <mergeCell ref="D87:G87"/>
    <mergeCell ref="D88:G88"/>
    <mergeCell ref="D89:G89"/>
    <mergeCell ref="D90:G90"/>
    <mergeCell ref="D91:G91"/>
    <mergeCell ref="H91:K91"/>
    <mergeCell ref="A87:A92"/>
    <mergeCell ref="L84:O84"/>
    <mergeCell ref="L85:O85"/>
    <mergeCell ref="H88:K88"/>
    <mergeCell ref="H89:K89"/>
    <mergeCell ref="H90:K90"/>
    <mergeCell ref="L86:O86"/>
    <mergeCell ref="L91:O91"/>
    <mergeCell ref="L92:O92"/>
    <mergeCell ref="L87:O87"/>
    <mergeCell ref="L88:O88"/>
    <mergeCell ref="L89:O89"/>
    <mergeCell ref="L90:O90"/>
  </mergeCells>
  <pageMargins left="0.7" right="0.7" top="0.75" bottom="0.75" header="0.3" footer="0.3"/>
  <pageSetup orientation="portrait" horizontalDpi="200" verticalDpi="200"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Y109"/>
  <sheetViews>
    <sheetView showGridLines="0" zoomScale="75" zoomScaleNormal="75" workbookViewId="0">
      <pane xSplit="1" topLeftCell="L1" activePane="topRight" state="frozen"/>
      <selection pane="topRight" activeCell="V35" sqref="V35"/>
    </sheetView>
  </sheetViews>
  <sheetFormatPr defaultRowHeight="15"/>
  <cols>
    <col min="1" max="1" width="17" style="633" customWidth="1"/>
    <col min="2" max="3" width="56.140625" style="11" customWidth="1"/>
    <col min="4" max="4" width="17.5703125" style="11" customWidth="1"/>
    <col min="5" max="7" width="14.85546875" style="11" customWidth="1"/>
    <col min="8" max="8" width="44" style="11" customWidth="1"/>
    <col min="9" max="10" width="21.140625" style="11" customWidth="1"/>
    <col min="11" max="11" width="17.42578125" style="11" customWidth="1"/>
    <col min="12" max="14" width="14.85546875" style="11" customWidth="1"/>
    <col min="15" max="15" width="42" style="11" customWidth="1"/>
    <col min="16" max="16" width="17.7109375" style="11" customWidth="1"/>
    <col min="17" max="19" width="14.85546875" style="11" customWidth="1"/>
    <col min="20" max="20" width="43" style="11" customWidth="1"/>
    <col min="21" max="21" width="13.5703125" style="11" customWidth="1"/>
    <col min="22" max="22" width="13.7109375" style="267" customWidth="1"/>
    <col min="23" max="25" width="10.7109375" style="11" customWidth="1"/>
    <col min="26" max="16384" width="9.140625" style="11"/>
  </cols>
  <sheetData>
    <row r="1" spans="1:25" s="573" customFormat="1" ht="45.75" thickBot="1">
      <c r="A1" s="2468" t="s">
        <v>477</v>
      </c>
      <c r="B1" s="2469"/>
      <c r="C1" s="2050"/>
      <c r="D1" s="2504" t="s">
        <v>504</v>
      </c>
      <c r="E1" s="2504"/>
      <c r="F1" s="2504"/>
      <c r="G1" s="2504"/>
      <c r="H1" s="2504"/>
      <c r="I1" s="2504"/>
      <c r="J1" s="995"/>
      <c r="K1" s="2504" t="s">
        <v>505</v>
      </c>
      <c r="L1" s="2504"/>
      <c r="M1" s="2504"/>
      <c r="N1" s="2504"/>
      <c r="O1" s="2504"/>
      <c r="P1" s="2504" t="s">
        <v>506</v>
      </c>
      <c r="Q1" s="2504"/>
      <c r="R1" s="2504"/>
      <c r="S1" s="2504"/>
      <c r="T1" s="2504"/>
      <c r="U1" s="431" t="s">
        <v>471</v>
      </c>
      <c r="V1" s="431" t="s">
        <v>476</v>
      </c>
      <c r="W1" s="431" t="s">
        <v>472</v>
      </c>
      <c r="X1" s="431" t="s">
        <v>473</v>
      </c>
      <c r="Y1" s="432" t="s">
        <v>474</v>
      </c>
    </row>
    <row r="2" spans="1:25">
      <c r="A2" s="2507" t="s">
        <v>470</v>
      </c>
      <c r="B2" s="610" t="s">
        <v>61</v>
      </c>
      <c r="C2" s="2068" t="s">
        <v>2470</v>
      </c>
      <c r="D2" s="2501"/>
      <c r="E2" s="2502"/>
      <c r="F2" s="2502"/>
      <c r="G2" s="2502"/>
      <c r="H2" s="2502"/>
      <c r="I2" s="2503"/>
      <c r="J2" s="1004"/>
      <c r="K2" s="2501"/>
      <c r="L2" s="2502"/>
      <c r="M2" s="2502"/>
      <c r="N2" s="2502"/>
      <c r="O2" s="2503"/>
      <c r="P2" s="2501"/>
      <c r="Q2" s="2502"/>
      <c r="R2" s="2502"/>
      <c r="S2" s="2502"/>
      <c r="T2" s="2503"/>
      <c r="U2" s="598"/>
      <c r="V2" s="599">
        <v>1180</v>
      </c>
      <c r="W2" s="598"/>
      <c r="X2" s="598"/>
      <c r="Y2" s="600"/>
    </row>
    <row r="3" spans="1:25">
      <c r="A3" s="2508"/>
      <c r="B3" s="611" t="s">
        <v>62</v>
      </c>
      <c r="C3" s="2069" t="s">
        <v>2470</v>
      </c>
      <c r="D3" s="2495"/>
      <c r="E3" s="2496"/>
      <c r="F3" s="2496"/>
      <c r="G3" s="2496"/>
      <c r="H3" s="2496"/>
      <c r="I3" s="2497"/>
      <c r="J3" s="994"/>
      <c r="K3" s="2495"/>
      <c r="L3" s="2496"/>
      <c r="M3" s="2496"/>
      <c r="N3" s="2496"/>
      <c r="O3" s="2497"/>
      <c r="P3" s="2495"/>
      <c r="Q3" s="2496"/>
      <c r="R3" s="2496"/>
      <c r="S3" s="2496"/>
      <c r="T3" s="2497"/>
      <c r="U3" s="513"/>
      <c r="V3" s="488">
        <v>444.9</v>
      </c>
      <c r="W3" s="513"/>
      <c r="X3" s="513"/>
      <c r="Y3" s="595"/>
    </row>
    <row r="4" spans="1:25">
      <c r="A4" s="2508"/>
      <c r="B4" s="611" t="s">
        <v>203</v>
      </c>
      <c r="C4" s="2069" t="s">
        <v>2470</v>
      </c>
      <c r="D4" s="2495"/>
      <c r="E4" s="2496"/>
      <c r="F4" s="2496"/>
      <c r="G4" s="2496"/>
      <c r="H4" s="2496"/>
      <c r="I4" s="2497"/>
      <c r="J4" s="994"/>
      <c r="K4" s="2495"/>
      <c r="L4" s="2496"/>
      <c r="M4" s="2496"/>
      <c r="N4" s="2496"/>
      <c r="O4" s="2497"/>
      <c r="P4" s="2495"/>
      <c r="Q4" s="2496"/>
      <c r="R4" s="2496"/>
      <c r="S4" s="2496"/>
      <c r="T4" s="2497"/>
      <c r="U4" s="513"/>
      <c r="V4" s="488">
        <v>830</v>
      </c>
      <c r="W4" s="513"/>
      <c r="X4" s="513"/>
      <c r="Y4" s="595"/>
    </row>
    <row r="5" spans="1:25">
      <c r="A5" s="2508"/>
      <c r="B5" s="611" t="s">
        <v>204</v>
      </c>
      <c r="C5" s="2069" t="s">
        <v>2470</v>
      </c>
      <c r="D5" s="2495"/>
      <c r="E5" s="2496"/>
      <c r="F5" s="2496"/>
      <c r="G5" s="2496"/>
      <c r="H5" s="2496"/>
      <c r="I5" s="2497"/>
      <c r="J5" s="994"/>
      <c r="K5" s="2495"/>
      <c r="L5" s="2496"/>
      <c r="M5" s="2496"/>
      <c r="N5" s="2496"/>
      <c r="O5" s="2497"/>
      <c r="P5" s="2495"/>
      <c r="Q5" s="2496"/>
      <c r="R5" s="2496"/>
      <c r="S5" s="2496"/>
      <c r="T5" s="2497"/>
      <c r="U5" s="513"/>
      <c r="V5" s="488">
        <v>750</v>
      </c>
      <c r="W5" s="513"/>
      <c r="X5" s="513"/>
      <c r="Y5" s="595"/>
    </row>
    <row r="6" spans="1:25" ht="15.75" thickBot="1">
      <c r="A6" s="2509"/>
      <c r="B6" s="612" t="s">
        <v>459</v>
      </c>
      <c r="C6" s="2070" t="s">
        <v>2470</v>
      </c>
      <c r="D6" s="2498"/>
      <c r="E6" s="2499"/>
      <c r="F6" s="2499"/>
      <c r="G6" s="2499"/>
      <c r="H6" s="2499"/>
      <c r="I6" s="2500"/>
      <c r="J6" s="997"/>
      <c r="K6" s="2498"/>
      <c r="L6" s="2499"/>
      <c r="M6" s="2499"/>
      <c r="N6" s="2499"/>
      <c r="O6" s="2500"/>
      <c r="P6" s="2498"/>
      <c r="Q6" s="2499"/>
      <c r="R6" s="2499"/>
      <c r="S6" s="2499"/>
      <c r="T6" s="2500"/>
      <c r="U6" s="514"/>
      <c r="V6" s="596">
        <v>276</v>
      </c>
      <c r="W6" s="514"/>
      <c r="X6" s="514"/>
      <c r="Y6" s="597"/>
    </row>
    <row r="7" spans="1:25" ht="44.25" customHeight="1" thickBot="1">
      <c r="A7" s="2442" t="s">
        <v>40</v>
      </c>
      <c r="B7" s="606"/>
      <c r="C7" s="606"/>
      <c r="D7" s="2506" t="s">
        <v>490</v>
      </c>
      <c r="E7" s="2506"/>
      <c r="F7" s="2506"/>
      <c r="G7" s="2506"/>
      <c r="H7" s="2506"/>
      <c r="I7" s="2506"/>
      <c r="J7" s="996"/>
      <c r="K7" s="2506" t="s">
        <v>490</v>
      </c>
      <c r="L7" s="2506"/>
      <c r="M7" s="2506"/>
      <c r="N7" s="2506"/>
      <c r="O7" s="2506"/>
      <c r="P7" s="2506" t="s">
        <v>490</v>
      </c>
      <c r="Q7" s="2506"/>
      <c r="R7" s="2506"/>
      <c r="S7" s="2506"/>
      <c r="T7" s="2506"/>
      <c r="U7" s="431" t="s">
        <v>471</v>
      </c>
      <c r="V7" s="431" t="s">
        <v>476</v>
      </c>
      <c r="W7" s="431" t="s">
        <v>472</v>
      </c>
      <c r="X7" s="431" t="s">
        <v>473</v>
      </c>
      <c r="Y7" s="432" t="s">
        <v>474</v>
      </c>
    </row>
    <row r="8" spans="1:25">
      <c r="A8" s="2443"/>
      <c r="B8" s="607" t="s">
        <v>70</v>
      </c>
      <c r="C8" s="2124" t="s">
        <v>2507</v>
      </c>
      <c r="D8" s="2475">
        <f>0.69-0.002*'Prescriptive Path'!$H$35</f>
        <v>0.69</v>
      </c>
      <c r="E8" s="2491"/>
      <c r="F8" s="2491"/>
      <c r="G8" s="2491"/>
      <c r="H8" s="2491"/>
      <c r="I8" s="2476"/>
      <c r="J8" s="1005"/>
      <c r="K8" s="2475">
        <f>0.69-0.002*'Prescriptive Path'!$H$35</f>
        <v>0.69</v>
      </c>
      <c r="L8" s="2491"/>
      <c r="M8" s="2491"/>
      <c r="N8" s="2491"/>
      <c r="O8" s="2476"/>
      <c r="P8" s="2475">
        <f>0.69-0.002*'Prescriptive Path'!$H$35</f>
        <v>0.69</v>
      </c>
      <c r="Q8" s="2491"/>
      <c r="R8" s="2491"/>
      <c r="S8" s="2491"/>
      <c r="T8" s="2476"/>
      <c r="U8" s="598"/>
      <c r="V8" s="599">
        <f>(24.5*'Prescriptive Path'!H35+930)</f>
        <v>930</v>
      </c>
      <c r="W8" s="598"/>
      <c r="X8" s="598"/>
      <c r="Y8" s="600"/>
    </row>
    <row r="9" spans="1:25">
      <c r="A9" s="2443"/>
      <c r="B9" s="608" t="s">
        <v>71</v>
      </c>
      <c r="C9" s="2125" t="s">
        <v>2475</v>
      </c>
      <c r="D9" s="2492">
        <f>0.97-'Prescriptive Path'!$H$38*0.001</f>
        <v>0.97</v>
      </c>
      <c r="E9" s="2493"/>
      <c r="F9" s="2493"/>
      <c r="G9" s="2493"/>
      <c r="H9" s="2493"/>
      <c r="I9" s="2494"/>
      <c r="J9" s="989"/>
      <c r="K9" s="2431">
        <f>0.97-'Prescriptive Path'!$H$38*0.001</f>
        <v>0.97</v>
      </c>
      <c r="L9" s="2432"/>
      <c r="M9" s="2432"/>
      <c r="N9" s="2432"/>
      <c r="O9" s="2433"/>
      <c r="P9" s="2431">
        <f>0.97-'Prescriptive Path'!$H$38*0.001</f>
        <v>0.97</v>
      </c>
      <c r="Q9" s="2432"/>
      <c r="R9" s="2432"/>
      <c r="S9" s="2432"/>
      <c r="T9" s="2433"/>
      <c r="U9" s="513"/>
      <c r="V9" s="488">
        <f>(74.25*'Prescriptive Path'!H38-1012.5)</f>
        <v>-1012.5</v>
      </c>
      <c r="W9" s="513"/>
      <c r="X9" s="513"/>
      <c r="Y9" s="595"/>
    </row>
    <row r="10" spans="1:25">
      <c r="A10" s="2443"/>
      <c r="B10" s="608" t="s">
        <v>72</v>
      </c>
      <c r="C10" s="2126" t="s">
        <v>2506</v>
      </c>
      <c r="D10" s="2431">
        <v>0.85</v>
      </c>
      <c r="E10" s="2432"/>
      <c r="F10" s="2432"/>
      <c r="G10" s="2432"/>
      <c r="H10" s="2432"/>
      <c r="I10" s="2433"/>
      <c r="J10" s="992"/>
      <c r="K10" s="2431">
        <v>0.85</v>
      </c>
      <c r="L10" s="2432"/>
      <c r="M10" s="2432"/>
      <c r="N10" s="2432"/>
      <c r="O10" s="2433"/>
      <c r="P10" s="2431">
        <v>0.85</v>
      </c>
      <c r="Q10" s="2432"/>
      <c r="R10" s="2432"/>
      <c r="S10" s="2432"/>
      <c r="T10" s="2433"/>
      <c r="U10" s="513"/>
      <c r="V10" s="488">
        <v>42767.39</v>
      </c>
      <c r="W10" s="513"/>
      <c r="X10" s="513"/>
      <c r="Y10" s="595"/>
    </row>
    <row r="11" spans="1:25">
      <c r="A11" s="2443"/>
      <c r="B11" s="608" t="s">
        <v>488</v>
      </c>
      <c r="C11" s="2126" t="s">
        <v>2472</v>
      </c>
      <c r="D11" s="2431">
        <v>1.75</v>
      </c>
      <c r="E11" s="2432"/>
      <c r="F11" s="2432"/>
      <c r="G11" s="2432"/>
      <c r="H11" s="2432"/>
      <c r="I11" s="2433"/>
      <c r="J11" s="992"/>
      <c r="K11" s="2431">
        <v>1.75</v>
      </c>
      <c r="L11" s="2432"/>
      <c r="M11" s="2432"/>
      <c r="N11" s="2432"/>
      <c r="O11" s="2433"/>
      <c r="P11" s="2431">
        <v>1.75</v>
      </c>
      <c r="Q11" s="2432"/>
      <c r="R11" s="2432"/>
      <c r="S11" s="2432"/>
      <c r="T11" s="2433"/>
      <c r="U11" s="513"/>
      <c r="V11" s="596">
        <v>167.69</v>
      </c>
      <c r="W11" s="513"/>
      <c r="X11" s="513"/>
      <c r="Y11" s="595"/>
    </row>
    <row r="12" spans="1:25" ht="15.75" thickBot="1">
      <c r="A12" s="2444"/>
      <c r="B12" s="609" t="s">
        <v>502</v>
      </c>
      <c r="C12" s="2127" t="s">
        <v>2507</v>
      </c>
      <c r="D12" s="2420">
        <v>1.75</v>
      </c>
      <c r="E12" s="2421"/>
      <c r="F12" s="2421"/>
      <c r="G12" s="2421"/>
      <c r="H12" s="2421"/>
      <c r="I12" s="2422"/>
      <c r="J12" s="990"/>
      <c r="K12" s="2420">
        <v>1.75</v>
      </c>
      <c r="L12" s="2421"/>
      <c r="M12" s="2421"/>
      <c r="N12" s="2421"/>
      <c r="O12" s="2422"/>
      <c r="P12" s="2420">
        <v>1.75</v>
      </c>
      <c r="Q12" s="2421"/>
      <c r="R12" s="2421"/>
      <c r="S12" s="2421"/>
      <c r="T12" s="2422"/>
      <c r="U12" s="514"/>
      <c r="V12" s="596">
        <v>167.69</v>
      </c>
      <c r="W12" s="514"/>
      <c r="X12" s="514"/>
      <c r="Y12" s="597"/>
    </row>
    <row r="13" spans="1:25" ht="45.75" thickBot="1">
      <c r="A13" s="627" t="s">
        <v>45</v>
      </c>
      <c r="B13" s="605"/>
      <c r="C13" s="2071"/>
      <c r="D13" s="2487" t="s">
        <v>73</v>
      </c>
      <c r="E13" s="2425"/>
      <c r="F13" s="2488" t="s">
        <v>74</v>
      </c>
      <c r="G13" s="2489"/>
      <c r="H13" s="618" t="s">
        <v>75</v>
      </c>
      <c r="I13" s="525" t="s">
        <v>412</v>
      </c>
      <c r="J13" s="525"/>
      <c r="K13" s="2423" t="s">
        <v>73</v>
      </c>
      <c r="L13" s="2425"/>
      <c r="M13" s="2423" t="s">
        <v>74</v>
      </c>
      <c r="N13" s="2425"/>
      <c r="O13" s="448" t="s">
        <v>75</v>
      </c>
      <c r="P13" s="2423" t="s">
        <v>73</v>
      </c>
      <c r="Q13" s="2425"/>
      <c r="R13" s="2423" t="s">
        <v>74</v>
      </c>
      <c r="S13" s="2425"/>
      <c r="T13" s="448" t="s">
        <v>75</v>
      </c>
      <c r="U13" s="431" t="s">
        <v>471</v>
      </c>
      <c r="V13" s="431" t="s">
        <v>476</v>
      </c>
      <c r="W13" s="431" t="s">
        <v>472</v>
      </c>
      <c r="X13" s="431" t="s">
        <v>473</v>
      </c>
      <c r="Y13" s="432" t="s">
        <v>474</v>
      </c>
    </row>
    <row r="14" spans="1:25">
      <c r="A14" s="2505" t="s">
        <v>29</v>
      </c>
      <c r="B14" s="607" t="s">
        <v>101</v>
      </c>
      <c r="C14" s="2072" t="s">
        <v>2493</v>
      </c>
      <c r="D14" s="2490" t="s">
        <v>280</v>
      </c>
      <c r="E14" s="2490"/>
      <c r="F14" s="2490">
        <v>3.9E-2</v>
      </c>
      <c r="G14" s="2490"/>
      <c r="H14" s="619" t="str">
        <f t="shared" ref="H14:H20" si="0">"U-"&amp;$F14</f>
        <v>U-0.039</v>
      </c>
      <c r="I14" s="641">
        <f t="shared" ref="I14:I19" si="1">1/F14</f>
        <v>25.641025641025642</v>
      </c>
      <c r="J14" s="641"/>
      <c r="K14" s="2479" t="s">
        <v>280</v>
      </c>
      <c r="L14" s="2480"/>
      <c r="M14" s="2479">
        <v>3.9E-2</v>
      </c>
      <c r="N14" s="2480"/>
      <c r="O14" s="420" t="str">
        <f t="shared" ref="O14:O20" si="2">"U-"&amp;$M14</f>
        <v>U-0.039</v>
      </c>
      <c r="P14" s="2475" t="s">
        <v>279</v>
      </c>
      <c r="Q14" s="2476"/>
      <c r="R14" s="2479">
        <v>3.2000000000000001E-2</v>
      </c>
      <c r="S14" s="2480"/>
      <c r="T14" s="420" t="str">
        <f t="shared" ref="T14:T20" si="3">"U-"&amp;$R14</f>
        <v>U-0.032</v>
      </c>
      <c r="U14" s="603">
        <f>IF('Prescriptive Path'!$K$1=4,Proposed!F14,IF('Prescriptive Path'!$K$1=5,Proposed!M14,Proposed!R14))</f>
        <v>3.9E-2</v>
      </c>
      <c r="V14" s="599">
        <v>2.29</v>
      </c>
      <c r="W14" s="598"/>
      <c r="X14" s="598"/>
      <c r="Y14" s="600"/>
    </row>
    <row r="15" spans="1:25">
      <c r="A15" s="2411"/>
      <c r="B15" s="576" t="s">
        <v>51</v>
      </c>
      <c r="C15" s="2072" t="s">
        <v>2493</v>
      </c>
      <c r="D15" s="2430" t="s">
        <v>282</v>
      </c>
      <c r="E15" s="2430"/>
      <c r="F15" s="2430">
        <v>3.5000000000000003E-2</v>
      </c>
      <c r="G15" s="2430"/>
      <c r="H15" s="400" t="str">
        <f t="shared" si="0"/>
        <v>U-0.035</v>
      </c>
      <c r="I15" s="642">
        <f t="shared" si="1"/>
        <v>28.571428571428569</v>
      </c>
      <c r="J15" s="642"/>
      <c r="K15" s="2431" t="s">
        <v>282</v>
      </c>
      <c r="L15" s="2433"/>
      <c r="M15" s="2431">
        <v>3.5000000000000003E-2</v>
      </c>
      <c r="N15" s="2433"/>
      <c r="O15" s="400" t="str">
        <f t="shared" si="2"/>
        <v>U-0.035</v>
      </c>
      <c r="P15" s="2475" t="s">
        <v>283</v>
      </c>
      <c r="Q15" s="2476"/>
      <c r="R15" s="2408">
        <v>3.1E-2</v>
      </c>
      <c r="S15" s="2410"/>
      <c r="T15" s="238" t="str">
        <f t="shared" si="3"/>
        <v>U-0.031</v>
      </c>
      <c r="U15" s="397">
        <f>IF('Prescriptive Path'!$K$1=4,Proposed!F15,IF('Prescriptive Path'!$K$1=5,Proposed!M15,Proposed!R15))</f>
        <v>3.5000000000000003E-2</v>
      </c>
      <c r="V15" s="488">
        <v>1.24</v>
      </c>
      <c r="W15" s="513"/>
      <c r="X15" s="513"/>
      <c r="Y15" s="595"/>
    </row>
    <row r="16" spans="1:25">
      <c r="A16" s="2411"/>
      <c r="B16" s="576" t="s">
        <v>53</v>
      </c>
      <c r="C16" s="2072" t="s">
        <v>2493</v>
      </c>
      <c r="D16" s="2430" t="s">
        <v>54</v>
      </c>
      <c r="E16" s="2430"/>
      <c r="F16" s="2430">
        <v>2.1000000000000001E-2</v>
      </c>
      <c r="G16" s="2430"/>
      <c r="H16" s="400" t="str">
        <f t="shared" si="0"/>
        <v>U-0.021</v>
      </c>
      <c r="I16" s="642">
        <f t="shared" si="1"/>
        <v>47.619047619047613</v>
      </c>
      <c r="J16" s="642"/>
      <c r="K16" s="2431" t="s">
        <v>54</v>
      </c>
      <c r="L16" s="2433"/>
      <c r="M16" s="2431">
        <v>2.1000000000000001E-2</v>
      </c>
      <c r="N16" s="2433"/>
      <c r="O16" s="400" t="str">
        <f t="shared" si="2"/>
        <v>U-0.021</v>
      </c>
      <c r="P16" s="2475" t="s">
        <v>54</v>
      </c>
      <c r="Q16" s="2476"/>
      <c r="R16" s="2408">
        <v>2.1000000000000001E-2</v>
      </c>
      <c r="S16" s="2410"/>
      <c r="T16" s="238" t="str">
        <f t="shared" si="3"/>
        <v>U-0.021</v>
      </c>
      <c r="U16" s="397">
        <f>IF('Prescriptive Path'!$K$1=4,Proposed!F16,IF('Prescriptive Path'!$K$1=5,Proposed!M16,Proposed!R16))</f>
        <v>2.1000000000000001E-2</v>
      </c>
      <c r="V16" s="488">
        <v>2.0499999999999998</v>
      </c>
      <c r="W16" s="513"/>
      <c r="X16" s="513"/>
      <c r="Y16" s="595"/>
    </row>
    <row r="17" spans="1:25">
      <c r="A17" s="2411" t="s">
        <v>76</v>
      </c>
      <c r="B17" s="576" t="s">
        <v>99</v>
      </c>
      <c r="C17" s="2072" t="s">
        <v>2493</v>
      </c>
      <c r="D17" s="2430" t="s">
        <v>281</v>
      </c>
      <c r="E17" s="2430"/>
      <c r="F17" s="2430">
        <v>0.08</v>
      </c>
      <c r="G17" s="2430"/>
      <c r="H17" s="400" t="str">
        <f t="shared" si="0"/>
        <v>U-0.08</v>
      </c>
      <c r="I17" s="642">
        <f t="shared" si="1"/>
        <v>12.5</v>
      </c>
      <c r="J17" s="642"/>
      <c r="K17" s="2431" t="s">
        <v>284</v>
      </c>
      <c r="L17" s="2433"/>
      <c r="M17" s="2431">
        <v>7.0999999999999994E-2</v>
      </c>
      <c r="N17" s="2433"/>
      <c r="O17" s="400" t="str">
        <f t="shared" si="2"/>
        <v>U-0.071</v>
      </c>
      <c r="P17" s="2475" t="s">
        <v>285</v>
      </c>
      <c r="Q17" s="2476"/>
      <c r="R17" s="2408">
        <v>0.06</v>
      </c>
      <c r="S17" s="2410"/>
      <c r="T17" s="238" t="str">
        <f t="shared" si="3"/>
        <v>U-0.06</v>
      </c>
      <c r="U17" s="397">
        <f>IF('Prescriptive Path'!$K$1=4,Proposed!F17,IF('Prescriptive Path'!$K$1=5,Proposed!M17,Proposed!R17))</f>
        <v>7.0999999999999994E-2</v>
      </c>
      <c r="V17" s="488">
        <f>IF('Prescriptive Path'!$K$1=4,Proposed!W17,IF('Prescriptive Path'!$K$1=5,Proposed!X17,Proposed!Y17))</f>
        <v>2.3199999999999998</v>
      </c>
      <c r="W17" s="397">
        <f>1.84+(2.32-1.84)/2</f>
        <v>2.08</v>
      </c>
      <c r="X17" s="397">
        <v>2.3199999999999998</v>
      </c>
      <c r="Y17" s="574">
        <f>1.7+(2.6-1.7)/2</f>
        <v>2.15</v>
      </c>
    </row>
    <row r="18" spans="1:25">
      <c r="A18" s="2411"/>
      <c r="B18" s="576" t="s">
        <v>102</v>
      </c>
      <c r="C18" s="2072" t="s">
        <v>2493</v>
      </c>
      <c r="D18" s="2430" t="s">
        <v>287</v>
      </c>
      <c r="E18" s="2430"/>
      <c r="F18" s="2430">
        <v>5.5E-2</v>
      </c>
      <c r="G18" s="2430"/>
      <c r="H18" s="400" t="str">
        <f t="shared" si="0"/>
        <v>U-0.055</v>
      </c>
      <c r="I18" s="642">
        <f t="shared" si="1"/>
        <v>18.181818181818183</v>
      </c>
      <c r="J18" s="642"/>
      <c r="K18" s="2431" t="s">
        <v>287</v>
      </c>
      <c r="L18" s="2433"/>
      <c r="M18" s="2431">
        <v>5.5E-2</v>
      </c>
      <c r="N18" s="2433"/>
      <c r="O18" s="400" t="str">
        <f t="shared" si="2"/>
        <v>U-0.055</v>
      </c>
      <c r="P18" s="2475" t="s">
        <v>287</v>
      </c>
      <c r="Q18" s="2476"/>
      <c r="R18" s="2408">
        <v>5.5E-2</v>
      </c>
      <c r="S18" s="2410"/>
      <c r="T18" s="238" t="str">
        <f t="shared" si="3"/>
        <v>U-0.055</v>
      </c>
      <c r="U18" s="397">
        <f>IF('Prescriptive Path'!$K$1=4,Proposed!F18,IF('Prescriptive Path'!$K$1=5,Proposed!M18,Proposed!R18))</f>
        <v>5.5E-2</v>
      </c>
      <c r="V18" s="488">
        <v>1.44</v>
      </c>
      <c r="W18" s="513"/>
      <c r="X18" s="513"/>
      <c r="Y18" s="595"/>
    </row>
    <row r="19" spans="1:25">
      <c r="A19" s="2411"/>
      <c r="B19" s="576" t="s">
        <v>252</v>
      </c>
      <c r="C19" s="2072" t="s">
        <v>2493</v>
      </c>
      <c r="D19" s="2430" t="s">
        <v>286</v>
      </c>
      <c r="E19" s="2430"/>
      <c r="F19" s="2430">
        <v>5.1999999999999998E-2</v>
      </c>
      <c r="G19" s="2430"/>
      <c r="H19" s="400" t="str">
        <f t="shared" si="0"/>
        <v>U-0.052</v>
      </c>
      <c r="I19" s="642">
        <f t="shared" si="1"/>
        <v>19.23076923076923</v>
      </c>
      <c r="J19" s="642"/>
      <c r="K19" s="2431" t="s">
        <v>286</v>
      </c>
      <c r="L19" s="2433"/>
      <c r="M19" s="2431">
        <v>5.1999999999999998E-2</v>
      </c>
      <c r="N19" s="2433"/>
      <c r="O19" s="400" t="str">
        <f t="shared" si="2"/>
        <v>U-0.052</v>
      </c>
      <c r="P19" s="2475" t="str">
        <f>K19</f>
        <v>R-13.0 + R-13 ci</v>
      </c>
      <c r="Q19" s="2476"/>
      <c r="R19" s="2408">
        <f>M19</f>
        <v>5.1999999999999998E-2</v>
      </c>
      <c r="S19" s="2410"/>
      <c r="T19" s="238" t="str">
        <f t="shared" si="3"/>
        <v>U-0.052</v>
      </c>
      <c r="U19" s="397">
        <f>IF('Prescriptive Path'!$K$1=4,Proposed!F19,IF('Prescriptive Path'!$K$1=5,Proposed!M19,Proposed!R19))</f>
        <v>5.1999999999999998E-2</v>
      </c>
      <c r="V19" s="488">
        <v>1.44</v>
      </c>
      <c r="W19" s="513"/>
      <c r="X19" s="513"/>
      <c r="Y19" s="595"/>
    </row>
    <row r="20" spans="1:25">
      <c r="A20" s="2411"/>
      <c r="B20" s="576" t="s">
        <v>277</v>
      </c>
      <c r="C20" s="2072" t="s">
        <v>2493</v>
      </c>
      <c r="D20" s="2430" t="s">
        <v>288</v>
      </c>
      <c r="E20" s="2430"/>
      <c r="F20" s="2430">
        <v>5.0999999999999997E-2</v>
      </c>
      <c r="G20" s="2430"/>
      <c r="H20" s="400" t="str">
        <f t="shared" si="0"/>
        <v>U-0.051</v>
      </c>
      <c r="I20" s="642">
        <v>21</v>
      </c>
      <c r="J20" s="642"/>
      <c r="K20" s="2431" t="s">
        <v>287</v>
      </c>
      <c r="L20" s="2433"/>
      <c r="M20" s="2431">
        <v>4.4999999999999998E-2</v>
      </c>
      <c r="N20" s="2433"/>
      <c r="O20" s="400" t="str">
        <f t="shared" si="2"/>
        <v>U-0.045</v>
      </c>
      <c r="P20" s="2475" t="s">
        <v>287</v>
      </c>
      <c r="Q20" s="2476"/>
      <c r="R20" s="2408">
        <v>4.4999999999999998E-2</v>
      </c>
      <c r="S20" s="2410"/>
      <c r="T20" s="238" t="str">
        <f t="shared" si="3"/>
        <v>U-0.045</v>
      </c>
      <c r="U20" s="397">
        <f>IF('Prescriptive Path'!$K$1=4,Proposed!F20,IF('Prescriptive Path'!$K$1=5,Proposed!M20,Proposed!R20))</f>
        <v>4.4999999999999998E-2</v>
      </c>
      <c r="V20" s="488">
        <f>IF('Prescriptive Path'!$K$1=4,Proposed!W20,IF('Prescriptive Path'!$K$1=5,Proposed!X20,Proposed!Y20))</f>
        <v>1.66</v>
      </c>
      <c r="W20" s="397">
        <v>1.36</v>
      </c>
      <c r="X20" s="397">
        <v>1.66</v>
      </c>
      <c r="Y20" s="574">
        <v>1.66</v>
      </c>
    </row>
    <row r="21" spans="1:25">
      <c r="A21" s="2411" t="s">
        <v>77</v>
      </c>
      <c r="B21" s="576" t="s">
        <v>5</v>
      </c>
      <c r="C21" s="2072" t="s">
        <v>2493</v>
      </c>
      <c r="D21" s="2430" t="s">
        <v>289</v>
      </c>
      <c r="E21" s="2430"/>
      <c r="F21" s="2430">
        <v>9.1999999999999998E-2</v>
      </c>
      <c r="G21" s="2430"/>
      <c r="H21" s="400" t="str">
        <f>"C-"&amp;$F21</f>
        <v>C-0.092</v>
      </c>
      <c r="I21" s="642">
        <f>1/F21</f>
        <v>10.869565217391305</v>
      </c>
      <c r="J21" s="642"/>
      <c r="K21" s="2431" t="s">
        <v>289</v>
      </c>
      <c r="L21" s="2433"/>
      <c r="M21" s="2431">
        <v>9.1999999999999998E-2</v>
      </c>
      <c r="N21" s="2433"/>
      <c r="O21" s="400" t="str">
        <f>"C-"&amp;$F21</f>
        <v>C-0.092</v>
      </c>
      <c r="P21" s="2475" t="s">
        <v>289</v>
      </c>
      <c r="Q21" s="2476"/>
      <c r="R21" s="2408">
        <v>9.1999999999999998E-2</v>
      </c>
      <c r="S21" s="2410"/>
      <c r="T21" s="238" t="str">
        <f>"C-"&amp;$F21</f>
        <v>C-0.092</v>
      </c>
      <c r="U21" s="397">
        <f>IF('Prescriptive Path'!$K$1=4,Proposed!F21,IF('Prescriptive Path'!$K$1=5,Proposed!M21,Proposed!R21))</f>
        <v>9.1999999999999998E-2</v>
      </c>
      <c r="V21" s="488">
        <v>1.66</v>
      </c>
      <c r="W21" s="513"/>
      <c r="X21" s="513"/>
      <c r="Y21" s="595"/>
    </row>
    <row r="22" spans="1:25">
      <c r="A22" s="2411"/>
      <c r="B22" s="576" t="s">
        <v>78</v>
      </c>
      <c r="C22" s="2072" t="s">
        <v>2493</v>
      </c>
      <c r="D22" s="2431" t="s">
        <v>7</v>
      </c>
      <c r="E22" s="2432"/>
      <c r="F22" s="2432"/>
      <c r="G22" s="2432"/>
      <c r="H22" s="2432"/>
      <c r="I22" s="2433"/>
      <c r="J22" s="993"/>
      <c r="K22" s="2430" t="s">
        <v>7</v>
      </c>
      <c r="L22" s="2430"/>
      <c r="M22" s="2430"/>
      <c r="N22" s="2430"/>
      <c r="O22" s="2430"/>
      <c r="P22" s="2463" t="s">
        <v>7</v>
      </c>
      <c r="Q22" s="2463"/>
      <c r="R22" s="2463"/>
      <c r="S22" s="2463"/>
      <c r="T22" s="2463"/>
      <c r="U22" s="513"/>
      <c r="V22" s="623"/>
      <c r="W22" s="513"/>
      <c r="X22" s="513"/>
      <c r="Y22" s="595"/>
    </row>
    <row r="23" spans="1:25">
      <c r="A23" s="2411" t="s">
        <v>65</v>
      </c>
      <c r="B23" s="576" t="s">
        <v>100</v>
      </c>
      <c r="C23" s="2072" t="s">
        <v>2493</v>
      </c>
      <c r="D23" s="2430" t="s">
        <v>290</v>
      </c>
      <c r="E23" s="2430"/>
      <c r="F23" s="2430">
        <v>6.4000000000000001E-2</v>
      </c>
      <c r="G23" s="2430"/>
      <c r="H23" s="400" t="str">
        <f>"U-"&amp;$F23</f>
        <v>U-0.064</v>
      </c>
      <c r="I23" s="642">
        <f>1/F23</f>
        <v>15.625</v>
      </c>
      <c r="J23" s="642"/>
      <c r="K23" s="2431" t="s">
        <v>292</v>
      </c>
      <c r="L23" s="2433"/>
      <c r="M23" s="2431">
        <v>5.7000000000000002E-2</v>
      </c>
      <c r="N23" s="2433"/>
      <c r="O23" s="400" t="str">
        <f>"U-"&amp;$M23</f>
        <v>U-0.057</v>
      </c>
      <c r="P23" s="2475" t="s">
        <v>445</v>
      </c>
      <c r="Q23" s="2476"/>
      <c r="R23" s="2408">
        <v>5.0999999999999997E-2</v>
      </c>
      <c r="S23" s="2410"/>
      <c r="T23" s="238" t="str">
        <f>"U-"&amp;$R23</f>
        <v>U-0.051</v>
      </c>
      <c r="U23" s="397">
        <f>IF('Prescriptive Path'!$K$1=4,Proposed!F23,IF('Prescriptive Path'!$K$1=5,Proposed!M23,Proposed!R23))</f>
        <v>5.7000000000000002E-2</v>
      </c>
      <c r="V23" s="488">
        <f>IF('Prescriptive Path'!$K$1=4,Proposed!W23,IF('Prescriptive Path'!$K$1=5,Proposed!X23,Proposed!Y23))</f>
        <v>1.6</v>
      </c>
      <c r="W23" s="397">
        <v>1.44</v>
      </c>
      <c r="X23" s="397">
        <v>1.6</v>
      </c>
      <c r="Y23" s="574">
        <f>1.6+(2.7-1.6)/4</f>
        <v>1.875</v>
      </c>
    </row>
    <row r="24" spans="1:25">
      <c r="A24" s="2411"/>
      <c r="B24" s="576" t="s">
        <v>68</v>
      </c>
      <c r="C24" s="2072" t="s">
        <v>2493</v>
      </c>
      <c r="D24" s="2430" t="s">
        <v>52</v>
      </c>
      <c r="E24" s="2430"/>
      <c r="F24" s="2430">
        <v>3.2000000000000001E-2</v>
      </c>
      <c r="G24" s="2430"/>
      <c r="H24" s="400" t="str">
        <f>"U-"&amp;$F24</f>
        <v>U-0.032</v>
      </c>
      <c r="I24" s="642">
        <f>1/F24</f>
        <v>31.25</v>
      </c>
      <c r="J24" s="642"/>
      <c r="K24" s="2431" t="s">
        <v>52</v>
      </c>
      <c r="L24" s="2433"/>
      <c r="M24" s="2431">
        <v>3.2000000000000001E-2</v>
      </c>
      <c r="N24" s="2433"/>
      <c r="O24" s="400" t="str">
        <f>"U-"&amp;$M24</f>
        <v>U-0.032</v>
      </c>
      <c r="P24" s="2475" t="s">
        <v>294</v>
      </c>
      <c r="Q24" s="2476"/>
      <c r="R24" s="2408">
        <v>2.3E-2</v>
      </c>
      <c r="S24" s="2410"/>
      <c r="T24" s="238" t="str">
        <f>"U-"&amp;$R24</f>
        <v>U-0.023</v>
      </c>
      <c r="U24" s="397">
        <f>IF('Prescriptive Path'!$K$1=4,Proposed!F24,IF('Prescriptive Path'!$K$1=5,Proposed!M24,Proposed!R24))</f>
        <v>3.2000000000000001E-2</v>
      </c>
      <c r="V24" s="488">
        <f>IF('Prescriptive Path'!$K$1=4,Proposed!W24,IF('Prescriptive Path'!$K$1=5,Proposed!X24,Proposed!Y24))</f>
        <v>2.06</v>
      </c>
      <c r="W24" s="397">
        <v>2.06</v>
      </c>
      <c r="X24" s="397">
        <v>2.06</v>
      </c>
      <c r="Y24" s="574">
        <f>2.06+1.44</f>
        <v>3.5</v>
      </c>
    </row>
    <row r="25" spans="1:25">
      <c r="A25" s="2411"/>
      <c r="B25" s="576" t="s">
        <v>79</v>
      </c>
      <c r="C25" s="2072" t="s">
        <v>2493</v>
      </c>
      <c r="D25" s="2430" t="s">
        <v>291</v>
      </c>
      <c r="E25" s="2430"/>
      <c r="F25" s="2430">
        <v>2.5999999999999999E-2</v>
      </c>
      <c r="G25" s="2430"/>
      <c r="H25" s="400" t="str">
        <f>"U-"&amp;$F25</f>
        <v>U-0.026</v>
      </c>
      <c r="I25" s="642">
        <f>1/F25</f>
        <v>38.46153846153846</v>
      </c>
      <c r="J25" s="642"/>
      <c r="K25" s="2431" t="s">
        <v>293</v>
      </c>
      <c r="L25" s="2433"/>
      <c r="M25" s="2431">
        <v>2.5999999999999999E-2</v>
      </c>
      <c r="N25" s="2433"/>
      <c r="O25" s="400" t="str">
        <f>"U-"&amp;$M25</f>
        <v>U-0.026</v>
      </c>
      <c r="P25" s="2475" t="s">
        <v>291</v>
      </c>
      <c r="Q25" s="2476"/>
      <c r="R25" s="2408">
        <v>2.5999999999999999E-2</v>
      </c>
      <c r="S25" s="2410"/>
      <c r="T25" s="400" t="str">
        <f>"U-"&amp;$R25</f>
        <v>U-0.026</v>
      </c>
      <c r="U25" s="397">
        <f>IF('Prescriptive Path'!$K$1=4,Proposed!F25,IF('Prescriptive Path'!$K$1=5,Proposed!M25,Proposed!R25))</f>
        <v>2.5999999999999999E-2</v>
      </c>
      <c r="V25" s="488">
        <v>1.36</v>
      </c>
      <c r="W25" s="513"/>
      <c r="X25" s="513"/>
      <c r="Y25" s="595"/>
    </row>
    <row r="26" spans="1:25">
      <c r="A26" s="2411" t="s">
        <v>66</v>
      </c>
      <c r="B26" s="613" t="s">
        <v>33</v>
      </c>
      <c r="C26" s="2072" t="s">
        <v>2493</v>
      </c>
      <c r="D26" s="2431" t="s">
        <v>295</v>
      </c>
      <c r="E26" s="2432"/>
      <c r="F26" s="2432"/>
      <c r="G26" s="2432"/>
      <c r="H26" s="2432"/>
      <c r="I26" s="2433"/>
      <c r="J26" s="993"/>
      <c r="K26" s="2430" t="s">
        <v>295</v>
      </c>
      <c r="L26" s="2430"/>
      <c r="M26" s="2430"/>
      <c r="N26" s="2430"/>
      <c r="O26" s="2430"/>
      <c r="P26" s="2430" t="s">
        <v>296</v>
      </c>
      <c r="Q26" s="2430"/>
      <c r="R26" s="2430"/>
      <c r="S26" s="2430"/>
      <c r="T26" s="2430"/>
      <c r="U26" s="513"/>
      <c r="V26" s="623"/>
      <c r="W26" s="513"/>
      <c r="X26" s="513"/>
      <c r="Y26" s="595"/>
    </row>
    <row r="27" spans="1:25">
      <c r="A27" s="2411"/>
      <c r="B27" s="576" t="s">
        <v>27</v>
      </c>
      <c r="C27" s="2072" t="s">
        <v>2493</v>
      </c>
      <c r="D27" s="2408" t="s">
        <v>444</v>
      </c>
      <c r="E27" s="2409"/>
      <c r="F27" s="2409"/>
      <c r="G27" s="2409"/>
      <c r="H27" s="2409"/>
      <c r="I27" s="2410"/>
      <c r="J27" s="999"/>
      <c r="K27" s="2430" t="s">
        <v>297</v>
      </c>
      <c r="L27" s="2430"/>
      <c r="M27" s="2430"/>
      <c r="N27" s="2430"/>
      <c r="O27" s="2430"/>
      <c r="P27" s="2430" t="s">
        <v>297</v>
      </c>
      <c r="Q27" s="2430"/>
      <c r="R27" s="2430"/>
      <c r="S27" s="2430"/>
      <c r="T27" s="2430"/>
      <c r="U27" s="513"/>
      <c r="V27" s="623"/>
      <c r="W27" s="513"/>
      <c r="X27" s="513"/>
      <c r="Y27" s="595"/>
    </row>
    <row r="28" spans="1:25">
      <c r="A28" s="466" t="s">
        <v>13</v>
      </c>
      <c r="B28" s="576" t="s">
        <v>8</v>
      </c>
      <c r="C28" s="2072" t="s">
        <v>2493</v>
      </c>
      <c r="D28" s="2485"/>
      <c r="E28" s="2486"/>
      <c r="F28" s="2431">
        <v>0.6</v>
      </c>
      <c r="G28" s="2433"/>
      <c r="H28" s="400" t="str">
        <f>"U-"&amp;$F28</f>
        <v>U-0.6</v>
      </c>
      <c r="I28" s="643"/>
      <c r="J28" s="1006"/>
      <c r="K28" s="2405"/>
      <c r="L28" s="2407"/>
      <c r="M28" s="2431">
        <v>0.4</v>
      </c>
      <c r="N28" s="2433"/>
      <c r="O28" s="400" t="str">
        <f>"U-"&amp;$M28</f>
        <v>U-0.4</v>
      </c>
      <c r="P28" s="2485"/>
      <c r="Q28" s="2486"/>
      <c r="R28" s="2431">
        <v>0.4</v>
      </c>
      <c r="S28" s="2433"/>
      <c r="T28" s="400" t="str">
        <f>"U-"&amp;$R28</f>
        <v>U-0.4</v>
      </c>
      <c r="U28" s="397">
        <f>IF('Prescriptive Path'!$K$1=4,Proposed!F28,(IF('Prescriptive Path'!$K$1=5,Proposed!M28,Proposed!R28)))</f>
        <v>0.4</v>
      </c>
      <c r="V28" s="473">
        <v>7.62</v>
      </c>
      <c r="W28" s="513"/>
      <c r="X28" s="513"/>
      <c r="Y28" s="595"/>
    </row>
    <row r="29" spans="1:25" ht="15" customHeight="1" thickBot="1">
      <c r="A29" s="630" t="s">
        <v>80</v>
      </c>
      <c r="B29" s="634" t="s">
        <v>9</v>
      </c>
      <c r="C29" s="697" t="s">
        <v>2474</v>
      </c>
      <c r="D29" s="2483"/>
      <c r="E29" s="2484"/>
      <c r="F29" s="2483"/>
      <c r="G29" s="2484"/>
      <c r="H29" s="446" t="s">
        <v>60</v>
      </c>
      <c r="I29" s="669"/>
      <c r="J29" s="1007"/>
      <c r="K29" s="2483"/>
      <c r="L29" s="2484"/>
      <c r="M29" s="2483"/>
      <c r="N29" s="2484"/>
      <c r="O29" s="446" t="s">
        <v>60</v>
      </c>
      <c r="P29" s="2483"/>
      <c r="Q29" s="2484"/>
      <c r="R29" s="2483"/>
      <c r="S29" s="2484"/>
      <c r="T29" s="446" t="s">
        <v>60</v>
      </c>
      <c r="U29" s="479"/>
      <c r="V29" s="670"/>
      <c r="W29" s="514"/>
      <c r="X29" s="514"/>
      <c r="Y29" s="597"/>
    </row>
    <row r="30" spans="1:25" ht="45.75" thickBot="1">
      <c r="A30" s="631"/>
      <c r="B30" s="602"/>
      <c r="C30" s="2073"/>
      <c r="D30" s="2423" t="s">
        <v>82</v>
      </c>
      <c r="E30" s="2425"/>
      <c r="F30" s="2423" t="s">
        <v>74</v>
      </c>
      <c r="G30" s="2425"/>
      <c r="H30" s="2423" t="s">
        <v>75</v>
      </c>
      <c r="I30" s="2425"/>
      <c r="J30" s="988"/>
      <c r="K30" s="2423" t="s">
        <v>82</v>
      </c>
      <c r="L30" s="2425"/>
      <c r="M30" s="2423" t="s">
        <v>74</v>
      </c>
      <c r="N30" s="2425"/>
      <c r="O30" s="448" t="s">
        <v>75</v>
      </c>
      <c r="P30" s="2423" t="s">
        <v>82</v>
      </c>
      <c r="Q30" s="2425"/>
      <c r="R30" s="2423" t="s">
        <v>74</v>
      </c>
      <c r="S30" s="2425"/>
      <c r="T30" s="448" t="s">
        <v>75</v>
      </c>
      <c r="U30" s="431" t="s">
        <v>471</v>
      </c>
      <c r="V30" s="431" t="s">
        <v>476</v>
      </c>
      <c r="W30" s="431" t="s">
        <v>472</v>
      </c>
      <c r="X30" s="431" t="s">
        <v>473</v>
      </c>
      <c r="Y30" s="432" t="s">
        <v>474</v>
      </c>
    </row>
    <row r="31" spans="1:25" ht="60">
      <c r="A31" s="631"/>
      <c r="B31" s="671" t="s">
        <v>10</v>
      </c>
      <c r="C31" s="2135" t="s">
        <v>2517</v>
      </c>
      <c r="D31" s="2475">
        <v>0.4</v>
      </c>
      <c r="E31" s="2476"/>
      <c r="F31" s="2477">
        <v>0.32</v>
      </c>
      <c r="G31" s="2478"/>
      <c r="H31" s="2475" t="s">
        <v>81</v>
      </c>
      <c r="I31" s="2476"/>
      <c r="J31" s="1005"/>
      <c r="K31" s="2475">
        <v>0.4</v>
      </c>
      <c r="L31" s="2476"/>
      <c r="M31" s="2445">
        <v>0.32</v>
      </c>
      <c r="N31" s="2448"/>
      <c r="O31" s="420" t="s">
        <v>81</v>
      </c>
      <c r="P31" s="2475">
        <v>0.4</v>
      </c>
      <c r="Q31" s="2476"/>
      <c r="R31" s="2445">
        <v>0.32</v>
      </c>
      <c r="S31" s="2448"/>
      <c r="T31" s="420" t="s">
        <v>81</v>
      </c>
      <c r="U31" s="603">
        <f>IF('Prescriptive Path'!$K$1=4,Proposed!F31,(IF('Prescriptive Path'!$K$1=5,Proposed!M31,Proposed!R31)))</f>
        <v>0.32</v>
      </c>
      <c r="V31" s="599">
        <v>42.33</v>
      </c>
      <c r="W31" s="598"/>
      <c r="X31" s="598"/>
      <c r="Y31" s="600"/>
    </row>
    <row r="32" spans="1:25">
      <c r="A32" s="631"/>
      <c r="B32" s="576" t="s">
        <v>41</v>
      </c>
      <c r="C32" s="2072" t="s">
        <v>2493</v>
      </c>
      <c r="D32" s="2431">
        <v>0.4</v>
      </c>
      <c r="E32" s="2433"/>
      <c r="F32" s="2431">
        <v>0.4</v>
      </c>
      <c r="G32" s="2433"/>
      <c r="H32" s="2431" t="s">
        <v>299</v>
      </c>
      <c r="I32" s="2433"/>
      <c r="J32" s="992"/>
      <c r="K32" s="2431">
        <v>0.4</v>
      </c>
      <c r="L32" s="2433"/>
      <c r="M32" s="2431">
        <v>0.35</v>
      </c>
      <c r="N32" s="2433"/>
      <c r="O32" s="400" t="s">
        <v>301</v>
      </c>
      <c r="P32" s="2475">
        <v>0.4</v>
      </c>
      <c r="Q32" s="2476"/>
      <c r="R32" s="2431">
        <v>0.35</v>
      </c>
      <c r="S32" s="2433"/>
      <c r="T32" s="400" t="s">
        <v>301</v>
      </c>
      <c r="U32" s="397">
        <f>IF('Prescriptive Path'!$K$1=4,Proposed!F32,(IF('Prescriptive Path'!$K$1=5,Proposed!M32,Proposed!R32)))</f>
        <v>0.35</v>
      </c>
      <c r="V32" s="488">
        <v>26.56</v>
      </c>
      <c r="W32" s="513"/>
      <c r="X32" s="513"/>
      <c r="Y32" s="595"/>
    </row>
    <row r="33" spans="1:25">
      <c r="A33" s="631"/>
      <c r="B33" s="576" t="s">
        <v>11</v>
      </c>
      <c r="C33" s="2072" t="s">
        <v>2493</v>
      </c>
      <c r="D33" s="2431">
        <v>0.4</v>
      </c>
      <c r="E33" s="2433"/>
      <c r="F33" s="2431">
        <v>0.75</v>
      </c>
      <c r="G33" s="2433"/>
      <c r="H33" s="2431" t="s">
        <v>300</v>
      </c>
      <c r="I33" s="2433"/>
      <c r="J33" s="992"/>
      <c r="K33" s="2431">
        <v>0.4</v>
      </c>
      <c r="L33" s="2433"/>
      <c r="M33" s="2431">
        <v>0.7</v>
      </c>
      <c r="N33" s="2433"/>
      <c r="O33" s="400" t="s">
        <v>303</v>
      </c>
      <c r="P33" s="2475">
        <v>0.4</v>
      </c>
      <c r="Q33" s="2476"/>
      <c r="R33" s="2431">
        <v>0.7</v>
      </c>
      <c r="S33" s="2433"/>
      <c r="T33" s="400" t="s">
        <v>303</v>
      </c>
      <c r="U33" s="397">
        <f>IF('Prescriptive Path'!$K$1=4,Proposed!F33,(IF('Prescriptive Path'!$K$1=5,Proposed!M33,Proposed!R33)))</f>
        <v>0.7</v>
      </c>
      <c r="V33" s="581" t="s">
        <v>455</v>
      </c>
      <c r="W33" s="513"/>
      <c r="X33" s="513"/>
      <c r="Y33" s="595"/>
    </row>
    <row r="34" spans="1:25" ht="15.75" thickBot="1">
      <c r="A34" s="632"/>
      <c r="B34" s="634" t="s">
        <v>12</v>
      </c>
      <c r="C34" s="2072" t="s">
        <v>2493</v>
      </c>
      <c r="D34" s="2420">
        <v>0.4</v>
      </c>
      <c r="E34" s="2422"/>
      <c r="F34" s="2420">
        <v>0.45</v>
      </c>
      <c r="G34" s="2422"/>
      <c r="H34" s="2420" t="s">
        <v>302</v>
      </c>
      <c r="I34" s="2422"/>
      <c r="J34" s="990"/>
      <c r="K34" s="2420">
        <v>0.4</v>
      </c>
      <c r="L34" s="2422"/>
      <c r="M34" s="2420">
        <v>0.45</v>
      </c>
      <c r="N34" s="2422"/>
      <c r="O34" s="446" t="s">
        <v>302</v>
      </c>
      <c r="P34" s="2481">
        <v>0.4</v>
      </c>
      <c r="Q34" s="2482"/>
      <c r="R34" s="2420">
        <v>0.45</v>
      </c>
      <c r="S34" s="2422"/>
      <c r="T34" s="446" t="s">
        <v>302</v>
      </c>
      <c r="U34" s="402">
        <f>IF('Prescriptive Path'!$K$1=4,Proposed!F34,(IF('Prescriptive Path'!$K$1=5,Proposed!M34,Proposed!R34)))</f>
        <v>0.45</v>
      </c>
      <c r="V34" s="596">
        <v>26.56</v>
      </c>
      <c r="W34" s="514"/>
      <c r="X34" s="514"/>
      <c r="Y34" s="597"/>
    </row>
    <row r="35" spans="1:25" ht="15.75" thickBot="1">
      <c r="A35" s="614" t="s">
        <v>503</v>
      </c>
      <c r="B35" s="672" t="s">
        <v>498</v>
      </c>
      <c r="C35" s="2074"/>
      <c r="D35" s="2471"/>
      <c r="E35" s="2472"/>
      <c r="F35" s="2471"/>
      <c r="G35" s="2472"/>
      <c r="H35" s="2473"/>
      <c r="I35" s="2474"/>
      <c r="J35" s="1008"/>
      <c r="K35" s="2471"/>
      <c r="L35" s="2472"/>
      <c r="M35" s="2471"/>
      <c r="N35" s="2472"/>
      <c r="O35" s="673"/>
      <c r="P35" s="2471"/>
      <c r="Q35" s="2472"/>
      <c r="R35" s="2471"/>
      <c r="S35" s="2472"/>
      <c r="T35" s="673"/>
      <c r="U35" s="674"/>
      <c r="V35" s="675">
        <v>1.35</v>
      </c>
      <c r="W35" s="674"/>
      <c r="X35" s="674"/>
      <c r="Y35" s="676"/>
    </row>
    <row r="36" spans="1:25" ht="45.75" customHeight="1" thickBot="1">
      <c r="A36" s="2470" t="s">
        <v>69</v>
      </c>
      <c r="B36" s="638"/>
      <c r="C36" s="638"/>
      <c r="D36" s="448" t="s">
        <v>401</v>
      </c>
      <c r="E36" s="448" t="s">
        <v>206</v>
      </c>
      <c r="F36" s="448" t="s">
        <v>86</v>
      </c>
      <c r="G36" s="448" t="s">
        <v>193</v>
      </c>
      <c r="H36" s="448" t="s">
        <v>75</v>
      </c>
      <c r="I36" s="604"/>
      <c r="J36" s="604"/>
      <c r="K36" s="448" t="s">
        <v>401</v>
      </c>
      <c r="L36" s="448" t="s">
        <v>206</v>
      </c>
      <c r="M36" s="448" t="s">
        <v>86</v>
      </c>
      <c r="N36" s="448" t="s">
        <v>193</v>
      </c>
      <c r="O36" s="448" t="s">
        <v>75</v>
      </c>
      <c r="P36" s="448" t="s">
        <v>401</v>
      </c>
      <c r="Q36" s="448" t="s">
        <v>206</v>
      </c>
      <c r="R36" s="448" t="s">
        <v>86</v>
      </c>
      <c r="S36" s="448" t="s">
        <v>193</v>
      </c>
      <c r="T36" s="448" t="s">
        <v>75</v>
      </c>
      <c r="U36" s="431" t="s">
        <v>471</v>
      </c>
      <c r="V36" s="431" t="s">
        <v>476</v>
      </c>
      <c r="W36" s="431" t="s">
        <v>472</v>
      </c>
      <c r="X36" s="431" t="s">
        <v>473</v>
      </c>
      <c r="Y36" s="432" t="s">
        <v>474</v>
      </c>
    </row>
    <row r="37" spans="1:25" ht="30">
      <c r="A37" s="2456"/>
      <c r="B37" s="461" t="s">
        <v>2519</v>
      </c>
      <c r="C37" s="2139" t="s">
        <v>2524</v>
      </c>
      <c r="D37" s="656"/>
      <c r="E37" s="443">
        <f>IF('Prescriptive Path'!H44*12000&lt;8000,11.2,IF('Prescriptive Path'!H44*12000&lt;14000,11.3,IF('Prescriptive Path'!H44*12000&lt;20000,11.2,9.8)))</f>
        <v>11.2</v>
      </c>
      <c r="F37" s="483"/>
      <c r="G37" s="483"/>
      <c r="H37" s="443" t="s">
        <v>253</v>
      </c>
      <c r="I37" s="635">
        <f>E37*'Prescriptive Path'!H43*12000/1000000</f>
        <v>0</v>
      </c>
      <c r="J37" s="656"/>
      <c r="K37" s="656"/>
      <c r="L37" s="443">
        <f>E37</f>
        <v>11.2</v>
      </c>
      <c r="M37" s="483"/>
      <c r="N37" s="483"/>
      <c r="O37" s="443" t="s">
        <v>253</v>
      </c>
      <c r="P37" s="656"/>
      <c r="Q37" s="443">
        <f>L37</f>
        <v>11.2</v>
      </c>
      <c r="R37" s="483"/>
      <c r="S37" s="483"/>
      <c r="T37" s="443" t="s">
        <v>253</v>
      </c>
      <c r="U37" s="637"/>
      <c r="V37" s="636">
        <v>915.54</v>
      </c>
      <c r="W37" s="637"/>
      <c r="X37" s="598"/>
      <c r="Y37" s="600"/>
    </row>
    <row r="38" spans="1:25" ht="30">
      <c r="A38" s="2134"/>
      <c r="B38" s="2138" t="s">
        <v>2520</v>
      </c>
      <c r="C38" s="2139" t="s">
        <v>2524</v>
      </c>
      <c r="D38" s="656"/>
      <c r="E38" s="660">
        <f>IF('Prescriptive Path'!H46*12000&lt;8000,10.4,9.8)</f>
        <v>10.4</v>
      </c>
      <c r="F38" s="483"/>
      <c r="G38" s="483"/>
      <c r="H38" s="443" t="s">
        <v>253</v>
      </c>
      <c r="I38" s="635"/>
      <c r="J38" s="656"/>
      <c r="K38" s="656"/>
      <c r="L38" s="443">
        <f>E38</f>
        <v>10.4</v>
      </c>
      <c r="M38" s="483"/>
      <c r="N38" s="483"/>
      <c r="O38" s="443" t="s">
        <v>253</v>
      </c>
      <c r="P38" s="656"/>
      <c r="Q38" s="443">
        <f>L38</f>
        <v>10.4</v>
      </c>
      <c r="R38" s="483"/>
      <c r="S38" s="483"/>
      <c r="T38" s="443" t="s">
        <v>253</v>
      </c>
      <c r="U38" s="637"/>
      <c r="V38" s="636">
        <v>915.54</v>
      </c>
      <c r="W38" s="637"/>
      <c r="X38" s="598"/>
      <c r="Y38" s="600"/>
    </row>
    <row r="39" spans="1:25" ht="45">
      <c r="A39" s="639"/>
      <c r="B39" s="583" t="s">
        <v>322</v>
      </c>
      <c r="C39" s="2128" t="s">
        <v>2502</v>
      </c>
      <c r="D39" s="657"/>
      <c r="E39" s="238">
        <v>12</v>
      </c>
      <c r="F39" s="429"/>
      <c r="G39" s="429"/>
      <c r="H39" s="238" t="s">
        <v>253</v>
      </c>
      <c r="I39" s="582">
        <f>E39*'Prescriptive Path'!H47*12000/1000000</f>
        <v>0</v>
      </c>
      <c r="J39" s="657"/>
      <c r="K39" s="657"/>
      <c r="L39" s="238">
        <v>12</v>
      </c>
      <c r="M39" s="429"/>
      <c r="N39" s="429"/>
      <c r="O39" s="238" t="s">
        <v>253</v>
      </c>
      <c r="P39" s="657"/>
      <c r="Q39" s="238">
        <v>12</v>
      </c>
      <c r="R39" s="429"/>
      <c r="S39" s="429"/>
      <c r="T39" s="238" t="s">
        <v>253</v>
      </c>
      <c r="U39" s="624"/>
      <c r="V39" s="636">
        <v>2327.94</v>
      </c>
      <c r="W39" s="624"/>
      <c r="X39" s="513"/>
      <c r="Y39" s="595"/>
    </row>
    <row r="40" spans="1:25" ht="45">
      <c r="A40" s="639"/>
      <c r="B40" s="584" t="s">
        <v>323</v>
      </c>
      <c r="C40" s="2128" t="s">
        <v>2502</v>
      </c>
      <c r="D40" s="429"/>
      <c r="E40" s="238">
        <v>12</v>
      </c>
      <c r="F40" s="429"/>
      <c r="G40" s="429"/>
      <c r="H40" s="238" t="s">
        <v>253</v>
      </c>
      <c r="I40" s="582">
        <f>E40*'Prescriptive Path'!H48*12000/1000000</f>
        <v>0</v>
      </c>
      <c r="J40" s="429"/>
      <c r="K40" s="429"/>
      <c r="L40" s="238">
        <v>12</v>
      </c>
      <c r="M40" s="429"/>
      <c r="N40" s="429"/>
      <c r="O40" s="238" t="s">
        <v>253</v>
      </c>
      <c r="P40" s="429"/>
      <c r="Q40" s="238">
        <v>12</v>
      </c>
      <c r="R40" s="429"/>
      <c r="S40" s="429"/>
      <c r="T40" s="238" t="s">
        <v>253</v>
      </c>
      <c r="U40" s="624"/>
      <c r="V40" s="636">
        <v>2327.94</v>
      </c>
      <c r="W40" s="624"/>
      <c r="X40" s="513"/>
      <c r="Y40" s="595"/>
    </row>
    <row r="41" spans="1:25" ht="30.75" customHeight="1">
      <c r="A41" s="639"/>
      <c r="B41" s="579" t="s">
        <v>324</v>
      </c>
      <c r="C41" s="579" t="s">
        <v>2494</v>
      </c>
      <c r="D41" s="429"/>
      <c r="E41" s="238">
        <v>11.5</v>
      </c>
      <c r="F41" s="429"/>
      <c r="G41" s="429"/>
      <c r="H41" s="238" t="s">
        <v>305</v>
      </c>
      <c r="I41" s="582">
        <f>E41*'Prescriptive Path'!H49*12000/1000000</f>
        <v>0</v>
      </c>
      <c r="J41" s="429"/>
      <c r="K41" s="429"/>
      <c r="L41" s="238">
        <v>11.5</v>
      </c>
      <c r="M41" s="429"/>
      <c r="N41" s="429"/>
      <c r="O41" s="238" t="s">
        <v>305</v>
      </c>
      <c r="P41" s="429"/>
      <c r="Q41" s="238">
        <v>11.5</v>
      </c>
      <c r="R41" s="429"/>
      <c r="S41" s="429"/>
      <c r="T41" s="238" t="s">
        <v>305</v>
      </c>
      <c r="U41" s="624"/>
      <c r="V41" s="636">
        <v>2327.94</v>
      </c>
      <c r="W41" s="624"/>
      <c r="X41" s="513"/>
      <c r="Y41" s="595"/>
    </row>
    <row r="42" spans="1:25" ht="30.75" customHeight="1">
      <c r="A42" s="639"/>
      <c r="B42" s="579" t="s">
        <v>325</v>
      </c>
      <c r="C42" s="579" t="s">
        <v>2494</v>
      </c>
      <c r="D42" s="429"/>
      <c r="E42" s="238">
        <v>11.5</v>
      </c>
      <c r="F42" s="429"/>
      <c r="G42" s="429"/>
      <c r="H42" s="238" t="s">
        <v>305</v>
      </c>
      <c r="I42" s="582">
        <f>E42*'Prescriptive Path'!H50*12000/1000000</f>
        <v>0</v>
      </c>
      <c r="J42" s="429"/>
      <c r="K42" s="429"/>
      <c r="L42" s="238">
        <v>11.5</v>
      </c>
      <c r="M42" s="429"/>
      <c r="N42" s="429"/>
      <c r="O42" s="238" t="s">
        <v>305</v>
      </c>
      <c r="P42" s="429"/>
      <c r="Q42" s="238">
        <v>11.5</v>
      </c>
      <c r="R42" s="429"/>
      <c r="S42" s="429"/>
      <c r="T42" s="238" t="s">
        <v>305</v>
      </c>
      <c r="U42" s="624"/>
      <c r="V42" s="636">
        <v>2327.94</v>
      </c>
      <c r="W42" s="624"/>
      <c r="X42" s="513"/>
      <c r="Y42" s="595"/>
    </row>
    <row r="43" spans="1:25" ht="30.75" customHeight="1">
      <c r="A43" s="639"/>
      <c r="B43" s="579" t="s">
        <v>326</v>
      </c>
      <c r="C43" s="579" t="s">
        <v>2494</v>
      </c>
      <c r="D43" s="429"/>
      <c r="E43" s="238">
        <v>10</v>
      </c>
      <c r="F43" s="429"/>
      <c r="G43" s="429"/>
      <c r="H43" s="238" t="s">
        <v>306</v>
      </c>
      <c r="I43" s="582">
        <f>E43*'Prescriptive Path'!H51*12000/1000000</f>
        <v>0</v>
      </c>
      <c r="J43" s="429"/>
      <c r="K43" s="429"/>
      <c r="L43" s="238">
        <v>10</v>
      </c>
      <c r="M43" s="429"/>
      <c r="N43" s="429"/>
      <c r="O43" s="238" t="s">
        <v>306</v>
      </c>
      <c r="P43" s="429"/>
      <c r="Q43" s="238">
        <v>10</v>
      </c>
      <c r="R43" s="429"/>
      <c r="S43" s="429"/>
      <c r="T43" s="238" t="s">
        <v>306</v>
      </c>
      <c r="U43" s="624"/>
      <c r="V43" s="636">
        <v>2327.94</v>
      </c>
      <c r="W43" s="624"/>
      <c r="X43" s="513"/>
      <c r="Y43" s="595"/>
    </row>
    <row r="44" spans="1:25" ht="30.75" customHeight="1">
      <c r="A44" s="639"/>
      <c r="B44" s="583" t="s">
        <v>34</v>
      </c>
      <c r="C44" s="583"/>
      <c r="D44" s="429"/>
      <c r="E44" s="429"/>
      <c r="F44" s="429"/>
      <c r="G44" s="429"/>
      <c r="H44" s="585" t="s">
        <v>507</v>
      </c>
      <c r="I44" s="429"/>
      <c r="J44" s="429"/>
      <c r="K44" s="429"/>
      <c r="L44" s="429"/>
      <c r="M44" s="429"/>
      <c r="N44" s="429"/>
      <c r="O44" s="585" t="s">
        <v>507</v>
      </c>
      <c r="P44" s="429"/>
      <c r="Q44" s="429"/>
      <c r="R44" s="429"/>
      <c r="S44" s="429"/>
      <c r="T44" s="585" t="s">
        <v>507</v>
      </c>
      <c r="U44" s="624"/>
      <c r="V44" s="636"/>
      <c r="W44" s="624"/>
      <c r="X44" s="513"/>
      <c r="Y44" s="595"/>
    </row>
    <row r="45" spans="1:25" ht="45">
      <c r="A45" s="639"/>
      <c r="B45" s="579" t="s">
        <v>307</v>
      </c>
      <c r="C45" s="579" t="s">
        <v>2477</v>
      </c>
      <c r="D45" s="238">
        <v>0.95</v>
      </c>
      <c r="E45" s="429"/>
      <c r="F45" s="429"/>
      <c r="G45" s="429"/>
      <c r="H45" s="238" t="s">
        <v>253</v>
      </c>
      <c r="I45" s="429"/>
      <c r="J45" s="582">
        <f>D45*'Prescriptive Path'!H52</f>
        <v>0</v>
      </c>
      <c r="K45" s="238">
        <v>0.95</v>
      </c>
      <c r="L45" s="429"/>
      <c r="M45" s="429"/>
      <c r="N45" s="429"/>
      <c r="O45" s="238" t="s">
        <v>253</v>
      </c>
      <c r="P45" s="238">
        <v>0.95</v>
      </c>
      <c r="Q45" s="429"/>
      <c r="R45" s="429"/>
      <c r="S45" s="429"/>
      <c r="T45" s="238" t="s">
        <v>253</v>
      </c>
      <c r="U45" s="624"/>
      <c r="V45" s="636">
        <v>32769.699999999997</v>
      </c>
      <c r="W45" s="624"/>
      <c r="X45" s="513"/>
      <c r="Y45" s="595"/>
    </row>
    <row r="46" spans="1:25" ht="45">
      <c r="A46" s="639"/>
      <c r="B46" s="579" t="s">
        <v>308</v>
      </c>
      <c r="C46" s="579" t="s">
        <v>2477</v>
      </c>
      <c r="D46" s="238">
        <v>0.95</v>
      </c>
      <c r="E46" s="429"/>
      <c r="F46" s="429"/>
      <c r="G46" s="429"/>
      <c r="H46" s="238" t="s">
        <v>253</v>
      </c>
      <c r="I46" s="429"/>
      <c r="J46" s="582">
        <f>D46*'Prescriptive Path'!H53</f>
        <v>0</v>
      </c>
      <c r="K46" s="238">
        <v>0.95</v>
      </c>
      <c r="L46" s="429"/>
      <c r="M46" s="429"/>
      <c r="N46" s="429"/>
      <c r="O46" s="238" t="s">
        <v>253</v>
      </c>
      <c r="P46" s="238">
        <v>0.95</v>
      </c>
      <c r="Q46" s="429"/>
      <c r="R46" s="429"/>
      <c r="S46" s="429"/>
      <c r="T46" s="238" t="s">
        <v>311</v>
      </c>
      <c r="U46" s="624"/>
      <c r="V46" s="636">
        <v>46845.48</v>
      </c>
      <c r="W46" s="624"/>
      <c r="X46" s="513"/>
      <c r="Y46" s="595"/>
    </row>
    <row r="47" spans="1:25" ht="30.75" customHeight="1">
      <c r="A47" s="639"/>
      <c r="B47" s="579" t="s">
        <v>309</v>
      </c>
      <c r="C47" s="579" t="s">
        <v>2495</v>
      </c>
      <c r="D47" s="238">
        <v>0.8</v>
      </c>
      <c r="E47" s="429"/>
      <c r="F47" s="429"/>
      <c r="G47" s="429"/>
      <c r="H47" s="238" t="s">
        <v>310</v>
      </c>
      <c r="I47" s="429"/>
      <c r="J47" s="582">
        <f>D47*'Prescriptive Path'!H54</f>
        <v>0</v>
      </c>
      <c r="K47" s="238">
        <v>0.8</v>
      </c>
      <c r="L47" s="429"/>
      <c r="M47" s="429"/>
      <c r="N47" s="429"/>
      <c r="O47" s="238" t="s">
        <v>310</v>
      </c>
      <c r="P47" s="238">
        <v>0.8</v>
      </c>
      <c r="Q47" s="429"/>
      <c r="R47" s="429"/>
      <c r="S47" s="429"/>
      <c r="T47" s="238" t="s">
        <v>310</v>
      </c>
      <c r="U47" s="624"/>
      <c r="V47" s="636">
        <v>50158</v>
      </c>
      <c r="W47" s="624"/>
      <c r="X47" s="513"/>
      <c r="Y47" s="595"/>
    </row>
    <row r="48" spans="1:25" ht="35.25" customHeight="1">
      <c r="A48" s="639"/>
      <c r="B48" s="584" t="s">
        <v>312</v>
      </c>
      <c r="C48" s="584" t="s">
        <v>2509</v>
      </c>
      <c r="D48" s="429"/>
      <c r="E48" s="2117">
        <f>ROUND(IF('Prescriptive Path'!H55*12000&lt;7000,11.9,IF('Prescriptive Path'!H55*12000&lt;10000,11.3,IF('Prescriptive Path'!H55*12000&lt;13000,10.7,9.5))),1)</f>
        <v>11.9</v>
      </c>
      <c r="F48" s="658"/>
      <c r="G48" s="429"/>
      <c r="H48" s="2133" t="s">
        <v>2521</v>
      </c>
      <c r="I48" s="1256"/>
      <c r="J48" s="658"/>
      <c r="K48" s="429"/>
      <c r="L48" s="2117">
        <f>E48</f>
        <v>11.9</v>
      </c>
      <c r="M48" s="658"/>
      <c r="N48" s="429"/>
      <c r="O48" s="234" t="str">
        <f>H48</f>
        <v>14 – (0.300 X (Cap/1000) EER</v>
      </c>
      <c r="P48" s="429"/>
      <c r="Q48" s="2117">
        <f>L48</f>
        <v>11.9</v>
      </c>
      <c r="R48" s="658"/>
      <c r="S48" s="429"/>
      <c r="T48" s="234" t="str">
        <f>O48</f>
        <v>14 – (0.300 X (Cap/1000) EER</v>
      </c>
      <c r="U48" s="624"/>
      <c r="V48" s="636">
        <v>1372.27</v>
      </c>
      <c r="W48" s="624"/>
      <c r="X48" s="513"/>
      <c r="Y48" s="595"/>
    </row>
    <row r="49" spans="1:25" ht="45">
      <c r="A49" s="639"/>
      <c r="B49" s="601" t="s">
        <v>313</v>
      </c>
      <c r="C49" s="644" t="s">
        <v>2478</v>
      </c>
      <c r="D49" s="2093">
        <v>0.78</v>
      </c>
      <c r="E49" s="443">
        <v>12</v>
      </c>
      <c r="F49" s="660">
        <f>8.5/3.412</f>
        <v>2.4912075029308323</v>
      </c>
      <c r="G49" s="661"/>
      <c r="H49" s="234"/>
      <c r="I49" s="234"/>
      <c r="J49" s="582">
        <f>D49*'Prescriptive Path'!H57*12000/1000000</f>
        <v>0</v>
      </c>
      <c r="K49" s="660">
        <v>0.78</v>
      </c>
      <c r="L49" s="443">
        <v>12</v>
      </c>
      <c r="M49" s="650">
        <f>9.25/3.412</f>
        <v>2.7110199296600235</v>
      </c>
      <c r="N49" s="483"/>
      <c r="O49" s="773" t="s">
        <v>511</v>
      </c>
      <c r="P49" s="660">
        <v>0.78</v>
      </c>
      <c r="Q49" s="443">
        <v>12</v>
      </c>
      <c r="R49" s="650">
        <f>9.5/3.412</f>
        <v>2.7842907385697537</v>
      </c>
      <c r="S49" s="483"/>
      <c r="T49" s="773" t="s">
        <v>512</v>
      </c>
      <c r="U49" s="637"/>
      <c r="V49" s="636">
        <v>2040.27</v>
      </c>
      <c r="W49" s="637"/>
      <c r="X49" s="598"/>
      <c r="Y49" s="600"/>
    </row>
    <row r="50" spans="1:25" ht="30.75" customHeight="1">
      <c r="A50" s="639"/>
      <c r="B50" s="579" t="s">
        <v>328</v>
      </c>
      <c r="C50" s="579" t="s">
        <v>2496</v>
      </c>
      <c r="D50" s="398">
        <v>0.78</v>
      </c>
      <c r="E50" s="238">
        <v>11.1</v>
      </c>
      <c r="F50" s="755">
        <v>3.3</v>
      </c>
      <c r="G50" s="429"/>
      <c r="H50" s="615" t="s">
        <v>315</v>
      </c>
      <c r="I50" s="662">
        <f>E50*'Prescriptive Path'!H58*12000/1000000</f>
        <v>0</v>
      </c>
      <c r="J50" s="582">
        <f>D50*'Prescriptive Path'!H58*12000/1000000</f>
        <v>0</v>
      </c>
      <c r="K50" s="755">
        <v>0.78</v>
      </c>
      <c r="L50" s="755">
        <v>11.1</v>
      </c>
      <c r="M50" s="755">
        <v>3.3</v>
      </c>
      <c r="N50" s="429"/>
      <c r="O50" s="615" t="s">
        <v>315</v>
      </c>
      <c r="P50" s="755">
        <v>0.78</v>
      </c>
      <c r="Q50" s="755">
        <v>11.1</v>
      </c>
      <c r="R50" s="755">
        <v>3.3</v>
      </c>
      <c r="S50" s="429"/>
      <c r="T50" s="615" t="s">
        <v>315</v>
      </c>
      <c r="U50" s="624"/>
      <c r="V50" s="636">
        <v>2040.27</v>
      </c>
      <c r="W50" s="624"/>
      <c r="X50" s="513"/>
      <c r="Y50" s="595"/>
    </row>
    <row r="51" spans="1:25" ht="30.75" customHeight="1">
      <c r="A51" s="639"/>
      <c r="B51" s="579" t="s">
        <v>329</v>
      </c>
      <c r="C51" s="579" t="s">
        <v>2496</v>
      </c>
      <c r="D51" s="398">
        <v>0.78</v>
      </c>
      <c r="E51" s="400">
        <v>11.1</v>
      </c>
      <c r="F51" s="755">
        <v>3.3</v>
      </c>
      <c r="G51" s="429"/>
      <c r="H51" s="615" t="s">
        <v>315</v>
      </c>
      <c r="I51" s="662">
        <f>E51*'Prescriptive Path'!H59*12000/1000000</f>
        <v>0</v>
      </c>
      <c r="J51" s="582">
        <f>D51*'Prescriptive Path'!H59*12000/1000000</f>
        <v>0</v>
      </c>
      <c r="K51" s="755">
        <v>0.78</v>
      </c>
      <c r="L51" s="755">
        <v>11.1</v>
      </c>
      <c r="M51" s="755">
        <v>3.3</v>
      </c>
      <c r="N51" s="429"/>
      <c r="O51" s="615" t="s">
        <v>315</v>
      </c>
      <c r="P51" s="755">
        <v>0.78</v>
      </c>
      <c r="Q51" s="755">
        <v>11.1</v>
      </c>
      <c r="R51" s="755">
        <v>3.3</v>
      </c>
      <c r="S51" s="429"/>
      <c r="T51" s="615" t="s">
        <v>315</v>
      </c>
      <c r="U51" s="513"/>
      <c r="V51" s="636">
        <v>2040.27</v>
      </c>
      <c r="W51" s="513"/>
      <c r="X51" s="513"/>
      <c r="Y51" s="595"/>
    </row>
    <row r="52" spans="1:25" ht="30.75" customHeight="1">
      <c r="A52" s="639"/>
      <c r="B52" s="579" t="s">
        <v>314</v>
      </c>
      <c r="C52" s="579" t="s">
        <v>2496</v>
      </c>
      <c r="D52" s="398">
        <v>0.78</v>
      </c>
      <c r="E52" s="238">
        <v>9.6</v>
      </c>
      <c r="F52" s="755">
        <v>3.2</v>
      </c>
      <c r="G52" s="429"/>
      <c r="H52" s="615" t="s">
        <v>316</v>
      </c>
      <c r="I52" s="662">
        <f>E52*'Prescriptive Path'!H60*12000/1000000</f>
        <v>0</v>
      </c>
      <c r="J52" s="582">
        <f>D52*'Prescriptive Path'!H60*12000/1000000</f>
        <v>0</v>
      </c>
      <c r="K52" s="755">
        <v>0.78</v>
      </c>
      <c r="L52" s="755">
        <v>9.6</v>
      </c>
      <c r="M52" s="755">
        <v>3.2</v>
      </c>
      <c r="N52" s="429"/>
      <c r="O52" s="615" t="s">
        <v>316</v>
      </c>
      <c r="P52" s="755">
        <v>0.78</v>
      </c>
      <c r="Q52" s="755">
        <v>9.6</v>
      </c>
      <c r="R52" s="755">
        <v>3.2</v>
      </c>
      <c r="S52" s="429"/>
      <c r="T52" s="615" t="s">
        <v>316</v>
      </c>
      <c r="U52" s="513"/>
      <c r="V52" s="636">
        <v>2040.27</v>
      </c>
      <c r="W52" s="513"/>
      <c r="X52" s="513"/>
      <c r="Y52" s="595"/>
    </row>
    <row r="53" spans="1:25" ht="30.75" customHeight="1">
      <c r="A53" s="639"/>
      <c r="B53" s="644" t="s">
        <v>317</v>
      </c>
      <c r="C53" s="579" t="s">
        <v>2496</v>
      </c>
      <c r="D53" s="398">
        <v>0.78</v>
      </c>
      <c r="E53" s="238">
        <v>14</v>
      </c>
      <c r="F53" s="755">
        <v>4.2</v>
      </c>
      <c r="G53" s="429"/>
      <c r="H53" s="589" t="s">
        <v>318</v>
      </c>
      <c r="I53" s="234">
        <f>E53*'Prescriptive Path'!H61*12000/1000000</f>
        <v>0</v>
      </c>
      <c r="J53" s="582">
        <f>D53*'Prescriptive Path'!H61*12000/1000000</f>
        <v>0</v>
      </c>
      <c r="K53" s="755">
        <v>0.78</v>
      </c>
      <c r="L53" s="755">
        <v>14</v>
      </c>
      <c r="M53" s="755">
        <v>4.2</v>
      </c>
      <c r="N53" s="429"/>
      <c r="O53" s="589" t="s">
        <v>318</v>
      </c>
      <c r="P53" s="755">
        <v>0.78</v>
      </c>
      <c r="Q53" s="755">
        <v>14</v>
      </c>
      <c r="R53" s="755">
        <v>4.2</v>
      </c>
      <c r="S53" s="429"/>
      <c r="T53" s="589" t="s">
        <v>318</v>
      </c>
      <c r="U53" s="513"/>
      <c r="V53" s="636">
        <v>2516.0100000000002</v>
      </c>
      <c r="W53" s="513"/>
      <c r="X53" s="513"/>
      <c r="Y53" s="595"/>
    </row>
    <row r="54" spans="1:25" ht="45">
      <c r="A54" s="639"/>
      <c r="B54" s="644" t="s">
        <v>319</v>
      </c>
      <c r="C54" s="644" t="s">
        <v>2480</v>
      </c>
      <c r="D54" s="238">
        <v>0.85</v>
      </c>
      <c r="E54" s="429"/>
      <c r="F54" s="429"/>
      <c r="G54" s="429"/>
      <c r="H54" s="589" t="s">
        <v>253</v>
      </c>
      <c r="I54" s="429"/>
      <c r="J54" s="582">
        <f>D54*'Prescriptive Path'!H62</f>
        <v>0</v>
      </c>
      <c r="K54" s="755">
        <v>0.85</v>
      </c>
      <c r="L54" s="429"/>
      <c r="M54" s="429"/>
      <c r="N54" s="429"/>
      <c r="O54" s="589" t="s">
        <v>253</v>
      </c>
      <c r="P54" s="755">
        <v>0.9</v>
      </c>
      <c r="Q54" s="429"/>
      <c r="R54" s="429"/>
      <c r="S54" s="429"/>
      <c r="T54" s="589" t="s">
        <v>513</v>
      </c>
      <c r="U54" s="513"/>
      <c r="V54" s="636">
        <v>51497</v>
      </c>
      <c r="W54" s="513"/>
      <c r="X54" s="513"/>
      <c r="Y54" s="595"/>
    </row>
    <row r="55" spans="1:25" ht="30.75" customHeight="1">
      <c r="A55" s="639"/>
      <c r="B55" s="644" t="s">
        <v>320</v>
      </c>
      <c r="C55" s="644" t="s">
        <v>2483</v>
      </c>
      <c r="D55" s="238">
        <v>0.86</v>
      </c>
      <c r="E55" s="429"/>
      <c r="F55" s="429"/>
      <c r="G55" s="429"/>
      <c r="H55" s="589" t="s">
        <v>1906</v>
      </c>
      <c r="I55" s="429"/>
      <c r="J55" s="582">
        <f>D55*'Prescriptive Path'!H63</f>
        <v>0</v>
      </c>
      <c r="K55" s="238">
        <v>0.86</v>
      </c>
      <c r="L55" s="429"/>
      <c r="M55" s="429"/>
      <c r="N55" s="429"/>
      <c r="O55" s="589" t="s">
        <v>1906</v>
      </c>
      <c r="P55" s="238">
        <v>0.86</v>
      </c>
      <c r="Q55" s="429"/>
      <c r="R55" s="429"/>
      <c r="S55" s="429"/>
      <c r="T55" s="589" t="s">
        <v>1906</v>
      </c>
      <c r="U55" s="513"/>
      <c r="V55" s="636">
        <v>32045</v>
      </c>
      <c r="W55" s="513"/>
      <c r="X55" s="513"/>
      <c r="Y55" s="595"/>
    </row>
    <row r="56" spans="1:25" ht="30.75" customHeight="1" thickBot="1">
      <c r="A56" s="639"/>
      <c r="B56" s="645" t="s">
        <v>321</v>
      </c>
      <c r="C56" s="645" t="s">
        <v>2497</v>
      </c>
      <c r="D56" s="646">
        <f>IF('Prescriptive Path'!H64&lt;65000,ROUND(7.7/3.413,2),IF('Prescriptive Path'!H64&lt;135000,2.25,2.05))</f>
        <v>2.2599999999999998</v>
      </c>
      <c r="E56" s="646">
        <f>IF('Prescriptive Path'!$H$65&lt;135000,11,IF('Prescriptive Path'!$H$65&lt;240000,10.6,9.5))</f>
        <v>11</v>
      </c>
      <c r="F56" s="646">
        <f>IF('Prescriptive Path'!H64&lt;65000,ROUND(7.7/3.413,2),IF('Prescriptive Path'!H64&lt;135000,3.3,3.2))</f>
        <v>2.2599999999999998</v>
      </c>
      <c r="G56" s="1861">
        <f>IF('Prescriptive Path'!$H$65&lt;135000,12.9,IF('Prescriptive Path'!$H$65&lt;240000,12.3,11))</f>
        <v>12.9</v>
      </c>
      <c r="H56" s="647" t="s">
        <v>2498</v>
      </c>
      <c r="I56" s="648"/>
      <c r="J56" s="582"/>
      <c r="K56" s="646">
        <v>0.78</v>
      </c>
      <c r="L56" s="646">
        <f>IF('Prescriptive Path'!$H$65&lt;135000,11,IF('Prescriptive Path'!$H$65&lt;240000,10.6,9.5))</f>
        <v>11</v>
      </c>
      <c r="M56" s="1862">
        <f>IF('Prescriptive Path'!$H$64&lt;65000,7.7/3.413*0.36+7.7/3.413*0.64,IF('Prescriptive Path'!$H$64&lt;135000,3.3*0.36+2.25*0.64,3.2*0.36+2.05*0.64))</f>
        <v>2.2560796952827427</v>
      </c>
      <c r="N56" s="1861">
        <f>IF('Prescriptive Path'!$H$65&lt;135000,12.9,IF('Prescriptive Path'!$H$65&lt;240000,12.3,11))</f>
        <v>12.9</v>
      </c>
      <c r="O56" s="647" t="s">
        <v>2341</v>
      </c>
      <c r="P56" s="646">
        <v>0.78</v>
      </c>
      <c r="Q56" s="646">
        <f>IF('Prescriptive Path'!$H$65&lt;135000,11,IF('Prescriptive Path'!$H$65&lt;240000,10.6,9.5))</f>
        <v>11</v>
      </c>
      <c r="R56" s="1862">
        <f>IF('Prescriptive Path'!$H$64&lt;65000,7.7/3.413*0.2+7.7/3.413*0.8,IF('Prescriptive Path'!$H$64&lt;135000,3.3*0.2+2.25*0.8,3.2*0.2+2.05*0.8))</f>
        <v>2.2560796952827427</v>
      </c>
      <c r="S56" s="1861">
        <f>IF('Prescriptive Path'!$H$65&lt;135000,12.9,IF('Prescriptive Path'!$H$65&lt;240000,12.3,11))</f>
        <v>12.9</v>
      </c>
      <c r="T56" s="647" t="s">
        <v>2341</v>
      </c>
      <c r="U56" s="514"/>
      <c r="V56" s="636">
        <f>512.5/12000</f>
        <v>4.2708333333333334E-2</v>
      </c>
      <c r="W56" s="514"/>
      <c r="X56" s="514"/>
      <c r="Y56" s="597"/>
    </row>
    <row r="57" spans="1:25" ht="45.75" thickBot="1">
      <c r="A57" s="639"/>
      <c r="B57" s="654"/>
      <c r="C57" s="654"/>
      <c r="D57" s="448" t="s">
        <v>401</v>
      </c>
      <c r="E57" s="448" t="s">
        <v>206</v>
      </c>
      <c r="F57" s="448" t="s">
        <v>429</v>
      </c>
      <c r="G57" s="448" t="s">
        <v>430</v>
      </c>
      <c r="H57" s="655" t="s">
        <v>75</v>
      </c>
      <c r="I57" s="431"/>
      <c r="J57" s="431"/>
      <c r="K57" s="448" t="s">
        <v>401</v>
      </c>
      <c r="L57" s="448" t="s">
        <v>206</v>
      </c>
      <c r="M57" s="448" t="s">
        <v>429</v>
      </c>
      <c r="N57" s="448" t="s">
        <v>430</v>
      </c>
      <c r="O57" s="655" t="s">
        <v>75</v>
      </c>
      <c r="P57" s="448" t="s">
        <v>401</v>
      </c>
      <c r="Q57" s="448" t="s">
        <v>206</v>
      </c>
      <c r="R57" s="448" t="s">
        <v>429</v>
      </c>
      <c r="S57" s="448" t="s">
        <v>430</v>
      </c>
      <c r="T57" s="655" t="s">
        <v>75</v>
      </c>
      <c r="U57" s="431" t="s">
        <v>471</v>
      </c>
      <c r="V57" s="431" t="s">
        <v>476</v>
      </c>
      <c r="W57" s="431" t="s">
        <v>472</v>
      </c>
      <c r="X57" s="431" t="s">
        <v>473</v>
      </c>
      <c r="Y57" s="432" t="s">
        <v>474</v>
      </c>
    </row>
    <row r="58" spans="1:25" ht="30.75" customHeight="1">
      <c r="A58" s="639"/>
      <c r="B58" s="649" t="s">
        <v>2</v>
      </c>
      <c r="C58" s="649" t="s">
        <v>2499</v>
      </c>
      <c r="D58" s="661"/>
      <c r="E58" s="651">
        <v>10</v>
      </c>
      <c r="F58" s="650">
        <f>10/3.412</f>
        <v>2.9308323563892147</v>
      </c>
      <c r="G58" s="650">
        <f>12.5/3.412</f>
        <v>3.6635404454865181</v>
      </c>
      <c r="H58" s="652" t="s">
        <v>330</v>
      </c>
      <c r="I58" s="653">
        <f>E58*'Prescriptive Path'!H66*12000/1000000</f>
        <v>0</v>
      </c>
      <c r="J58" s="661"/>
      <c r="K58" s="661"/>
      <c r="L58" s="651">
        <v>10</v>
      </c>
      <c r="M58" s="650">
        <f>10/3.412</f>
        <v>2.9308323563892147</v>
      </c>
      <c r="N58" s="650">
        <f>12/3.412</f>
        <v>3.5169988276670576</v>
      </c>
      <c r="O58" s="652" t="s">
        <v>330</v>
      </c>
      <c r="P58" s="661"/>
      <c r="Q58" s="651">
        <v>10</v>
      </c>
      <c r="R58" s="650">
        <f>10/3.412</f>
        <v>2.9308323563892147</v>
      </c>
      <c r="S58" s="650">
        <f>12.5/3.412</f>
        <v>3.6635404454865181</v>
      </c>
      <c r="T58" s="652" t="s">
        <v>330</v>
      </c>
      <c r="U58" s="598"/>
      <c r="V58" s="664">
        <v>45</v>
      </c>
      <c r="W58" s="598"/>
      <c r="X58" s="598"/>
      <c r="Y58" s="600"/>
    </row>
    <row r="59" spans="1:25" ht="30.75" customHeight="1">
      <c r="A59" s="639"/>
      <c r="B59" s="644" t="s">
        <v>3</v>
      </c>
      <c r="C59" s="649" t="s">
        <v>2499</v>
      </c>
      <c r="D59" s="659"/>
      <c r="E59" s="616">
        <v>10</v>
      </c>
      <c r="F59" s="587">
        <f>10/3.412</f>
        <v>2.9308323563892147</v>
      </c>
      <c r="G59" s="587">
        <f>12.5/3.412</f>
        <v>3.6635404454865181</v>
      </c>
      <c r="H59" s="617" t="s">
        <v>330</v>
      </c>
      <c r="I59" s="586">
        <f>E59*'Prescriptive Path'!H67*12000/1000000</f>
        <v>0</v>
      </c>
      <c r="J59" s="659"/>
      <c r="K59" s="659"/>
      <c r="L59" s="616">
        <v>10</v>
      </c>
      <c r="M59" s="587">
        <f>10/3.412</f>
        <v>2.9308323563892147</v>
      </c>
      <c r="N59" s="587">
        <f>12.5/3.412</f>
        <v>3.6635404454865181</v>
      </c>
      <c r="O59" s="617" t="s">
        <v>330</v>
      </c>
      <c r="P59" s="659"/>
      <c r="Q59" s="616">
        <v>10</v>
      </c>
      <c r="R59" s="587">
        <f>10/3.412</f>
        <v>2.9308323563892147</v>
      </c>
      <c r="S59" s="587">
        <f>12.5/3.412</f>
        <v>3.6635404454865181</v>
      </c>
      <c r="T59" s="617" t="s">
        <v>330</v>
      </c>
      <c r="U59" s="513"/>
      <c r="V59" s="623"/>
      <c r="W59" s="513"/>
      <c r="X59" s="513"/>
      <c r="Y59" s="595"/>
    </row>
    <row r="60" spans="1:25" ht="30.75" customHeight="1">
      <c r="A60" s="639"/>
      <c r="B60" s="644" t="s">
        <v>331</v>
      </c>
      <c r="C60" s="649" t="s">
        <v>2499</v>
      </c>
      <c r="D60" s="587">
        <v>0.78</v>
      </c>
      <c r="E60" s="587">
        <f>12/0.78</f>
        <v>15.384615384615383</v>
      </c>
      <c r="F60" s="587">
        <f>12/0.78/3.412</f>
        <v>4.5089728559834068</v>
      </c>
      <c r="G60" s="587">
        <f>12/0.63/3.412</f>
        <v>5.5825378216937418</v>
      </c>
      <c r="H60" s="617" t="s">
        <v>345</v>
      </c>
      <c r="I60" s="586">
        <f>E60*'Prescriptive Path'!H68*12000/1000000</f>
        <v>0</v>
      </c>
      <c r="J60" s="586">
        <f>D60*'Prescriptive Path'!H68*12000/1000000</f>
        <v>0</v>
      </c>
      <c r="K60" s="587">
        <v>0.78</v>
      </c>
      <c r="L60" s="587">
        <f>12/0.78</f>
        <v>15.384615384615383</v>
      </c>
      <c r="M60" s="587">
        <f>12/0.78/3.412</f>
        <v>4.5089728559834068</v>
      </c>
      <c r="N60" s="587">
        <f>12/0.63/3.412</f>
        <v>5.5825378216937418</v>
      </c>
      <c r="O60" s="617" t="s">
        <v>345</v>
      </c>
      <c r="P60" s="587">
        <v>0.78</v>
      </c>
      <c r="Q60" s="587">
        <f>12/0.78</f>
        <v>15.384615384615383</v>
      </c>
      <c r="R60" s="587">
        <f>12/0.78/3.412</f>
        <v>4.5089728559834068</v>
      </c>
      <c r="S60" s="587">
        <f>12/0.63/3.412</f>
        <v>5.5825378216937418</v>
      </c>
      <c r="T60" s="617" t="s">
        <v>345</v>
      </c>
      <c r="U60" s="513"/>
      <c r="V60" s="623">
        <v>45</v>
      </c>
      <c r="W60" s="513"/>
      <c r="X60" s="513"/>
      <c r="Y60" s="595"/>
    </row>
    <row r="61" spans="1:25" ht="30.75" customHeight="1">
      <c r="A61" s="639"/>
      <c r="B61" s="644" t="s">
        <v>332</v>
      </c>
      <c r="C61" s="649" t="s">
        <v>2499</v>
      </c>
      <c r="D61" s="587">
        <v>0.78</v>
      </c>
      <c r="E61" s="587">
        <f>12/0.775</f>
        <v>15.483870967741934</v>
      </c>
      <c r="F61" s="587">
        <f>12/0.775/3.412</f>
        <v>4.5380630034413638</v>
      </c>
      <c r="G61" s="587">
        <f>12/0.615/3.412</f>
        <v>5.7186972807594429</v>
      </c>
      <c r="H61" s="617" t="s">
        <v>346</v>
      </c>
      <c r="I61" s="586">
        <f>E61*'Prescriptive Path'!H69*12000/1000000</f>
        <v>0</v>
      </c>
      <c r="J61" s="586">
        <f>D61*'Prescriptive Path'!H69*12000/1000000</f>
        <v>0</v>
      </c>
      <c r="K61" s="587">
        <v>0.78</v>
      </c>
      <c r="L61" s="587">
        <f>12/0.775</f>
        <v>15.483870967741934</v>
      </c>
      <c r="M61" s="587">
        <f>12/0.775/3.412</f>
        <v>4.5380630034413638</v>
      </c>
      <c r="N61" s="587">
        <f>12/0.615/3.412</f>
        <v>5.7186972807594429</v>
      </c>
      <c r="O61" s="617" t="s">
        <v>346</v>
      </c>
      <c r="P61" s="587">
        <v>0.78</v>
      </c>
      <c r="Q61" s="587">
        <f>12/0.775</f>
        <v>15.483870967741934</v>
      </c>
      <c r="R61" s="587">
        <f>12/0.775/3.412</f>
        <v>4.5380630034413638</v>
      </c>
      <c r="S61" s="587">
        <f>12/0.615/3.412</f>
        <v>5.7186972807594429</v>
      </c>
      <c r="T61" s="617" t="s">
        <v>346</v>
      </c>
      <c r="U61" s="513"/>
      <c r="V61" s="623">
        <v>45</v>
      </c>
      <c r="W61" s="513"/>
      <c r="X61" s="513"/>
      <c r="Y61" s="595"/>
    </row>
    <row r="62" spans="1:25" ht="30.75" customHeight="1">
      <c r="A62" s="639"/>
      <c r="B62" s="644" t="s">
        <v>333</v>
      </c>
      <c r="C62" s="649" t="s">
        <v>2499</v>
      </c>
      <c r="D62" s="587">
        <v>0.78</v>
      </c>
      <c r="E62" s="587">
        <f>12/0.68</f>
        <v>17.647058823529409</v>
      </c>
      <c r="F62" s="587">
        <f>12/0.68/3.412</f>
        <v>5.1720570995103783</v>
      </c>
      <c r="G62" s="587">
        <f>12/0.58/3.412</f>
        <v>6.063791082184582</v>
      </c>
      <c r="H62" s="617" t="s">
        <v>347</v>
      </c>
      <c r="I62" s="586">
        <f>E62*'Prescriptive Path'!H70*12000/1000000</f>
        <v>0</v>
      </c>
      <c r="J62" s="586">
        <f>D62*'Prescriptive Path'!H70*12000/1000000</f>
        <v>0</v>
      </c>
      <c r="K62" s="587">
        <v>0.78</v>
      </c>
      <c r="L62" s="587">
        <f>12/0.68</f>
        <v>17.647058823529409</v>
      </c>
      <c r="M62" s="587">
        <f>12/0.68/3.412</f>
        <v>5.1720570995103783</v>
      </c>
      <c r="N62" s="587">
        <f>12/0.58/3.412</f>
        <v>6.063791082184582</v>
      </c>
      <c r="O62" s="617" t="s">
        <v>347</v>
      </c>
      <c r="P62" s="587">
        <v>0.78</v>
      </c>
      <c r="Q62" s="587">
        <f>12/0.68</f>
        <v>17.647058823529409</v>
      </c>
      <c r="R62" s="587">
        <f>12/0.68/3.412</f>
        <v>5.1720570995103783</v>
      </c>
      <c r="S62" s="587">
        <f>12/0.58/3.412</f>
        <v>6.063791082184582</v>
      </c>
      <c r="T62" s="617" t="s">
        <v>347</v>
      </c>
      <c r="U62" s="513"/>
      <c r="V62" s="623">
        <v>45</v>
      </c>
      <c r="W62" s="513"/>
      <c r="X62" s="513"/>
      <c r="Y62" s="595"/>
    </row>
    <row r="63" spans="1:25" ht="30.75" customHeight="1">
      <c r="A63" s="639"/>
      <c r="B63" s="644" t="s">
        <v>334</v>
      </c>
      <c r="C63" s="649" t="s">
        <v>2499</v>
      </c>
      <c r="D63" s="587">
        <v>0.78</v>
      </c>
      <c r="E63" s="587">
        <f>12/0.62</f>
        <v>19.35483870967742</v>
      </c>
      <c r="F63" s="587">
        <f>12/0.62/3.412</f>
        <v>5.6725787543017061</v>
      </c>
      <c r="G63" s="587">
        <f>12/0.54/3.412</f>
        <v>6.5129607919760319</v>
      </c>
      <c r="H63" s="617" t="s">
        <v>348</v>
      </c>
      <c r="I63" s="586">
        <f>E63*'Prescriptive Path'!H71*12000/1000000</f>
        <v>0</v>
      </c>
      <c r="J63" s="586">
        <f>D63*'Prescriptive Path'!H71*12000/1000000</f>
        <v>0</v>
      </c>
      <c r="K63" s="587">
        <v>0.78</v>
      </c>
      <c r="L63" s="587">
        <f>12/0.62</f>
        <v>19.35483870967742</v>
      </c>
      <c r="M63" s="587">
        <f>12/0.62/3.412</f>
        <v>5.6725787543017061</v>
      </c>
      <c r="N63" s="587">
        <f>12/0.54/3.412</f>
        <v>6.5129607919760319</v>
      </c>
      <c r="O63" s="617" t="s">
        <v>348</v>
      </c>
      <c r="P63" s="587">
        <v>0.78</v>
      </c>
      <c r="Q63" s="587">
        <f>12/0.62</f>
        <v>19.35483870967742</v>
      </c>
      <c r="R63" s="587">
        <f>12/0.62/3.412</f>
        <v>5.6725787543017061</v>
      </c>
      <c r="S63" s="587">
        <f>12/0.54/3.412</f>
        <v>6.5129607919760319</v>
      </c>
      <c r="T63" s="617" t="s">
        <v>348</v>
      </c>
      <c r="U63" s="513"/>
      <c r="V63" s="623">
        <v>45</v>
      </c>
      <c r="W63" s="513"/>
      <c r="X63" s="513"/>
      <c r="Y63" s="595"/>
    </row>
    <row r="64" spans="1:25" ht="30.75" customHeight="1">
      <c r="A64" s="639"/>
      <c r="B64" s="644" t="s">
        <v>356</v>
      </c>
      <c r="C64" s="649" t="s">
        <v>2499</v>
      </c>
      <c r="D64" s="587">
        <v>0.78</v>
      </c>
      <c r="E64" s="587">
        <f>12/0.634</f>
        <v>18.927444794952681</v>
      </c>
      <c r="F64" s="587">
        <f>12/0.634/3.412</f>
        <v>5.5473167628817937</v>
      </c>
      <c r="G64" s="587">
        <f>12/0.596/3.412</f>
        <v>5.9010047444078149</v>
      </c>
      <c r="H64" s="617" t="s">
        <v>349</v>
      </c>
      <c r="I64" s="586">
        <f>E64*'Prescriptive Path'!H72*12000/1000000</f>
        <v>0</v>
      </c>
      <c r="J64" s="586">
        <f>D64*'Prescriptive Path'!H72*12000/1000000</f>
        <v>0</v>
      </c>
      <c r="K64" s="587">
        <v>0.78</v>
      </c>
      <c r="L64" s="587">
        <f>12/0.634</f>
        <v>18.927444794952681</v>
      </c>
      <c r="M64" s="587">
        <f>12/0.634/3.412</f>
        <v>5.5473167628817937</v>
      </c>
      <c r="N64" s="587">
        <f>12/0.596/3.412</f>
        <v>5.9010047444078149</v>
      </c>
      <c r="O64" s="617" t="s">
        <v>349</v>
      </c>
      <c r="P64" s="587">
        <v>0.78</v>
      </c>
      <c r="Q64" s="587">
        <f>12/0.634</f>
        <v>18.927444794952681</v>
      </c>
      <c r="R64" s="587">
        <f>12/0.634/3.412</f>
        <v>5.5473167628817937</v>
      </c>
      <c r="S64" s="587">
        <f>12/0.596/3.412</f>
        <v>5.9010047444078149</v>
      </c>
      <c r="T64" s="617" t="s">
        <v>349</v>
      </c>
      <c r="U64" s="513"/>
      <c r="V64" s="623">
        <v>45</v>
      </c>
      <c r="W64" s="513"/>
      <c r="X64" s="513"/>
      <c r="Y64" s="595"/>
    </row>
    <row r="65" spans="1:25" ht="30.75" customHeight="1">
      <c r="A65" s="639"/>
      <c r="B65" s="644" t="s">
        <v>357</v>
      </c>
      <c r="C65" s="649" t="s">
        <v>2499</v>
      </c>
      <c r="D65" s="587">
        <v>0.78</v>
      </c>
      <c r="E65" s="587">
        <f>E64</f>
        <v>18.927444794952681</v>
      </c>
      <c r="F65" s="587">
        <f>12/0.634/3.412</f>
        <v>5.5473167628817937</v>
      </c>
      <c r="G65" s="587">
        <f>12/0.596/3.412</f>
        <v>5.9010047444078149</v>
      </c>
      <c r="H65" s="617" t="s">
        <v>349</v>
      </c>
      <c r="I65" s="586">
        <f>E65*'Prescriptive Path'!H73*12000/1000000</f>
        <v>0</v>
      </c>
      <c r="J65" s="586">
        <f>D65*'Prescriptive Path'!H73*12000/1000000</f>
        <v>0</v>
      </c>
      <c r="K65" s="587">
        <v>0.78</v>
      </c>
      <c r="L65" s="587">
        <f>L64</f>
        <v>18.927444794952681</v>
      </c>
      <c r="M65" s="587">
        <f>12/0.634/3.412</f>
        <v>5.5473167628817937</v>
      </c>
      <c r="N65" s="587">
        <f>12/0.596/3.412</f>
        <v>5.9010047444078149</v>
      </c>
      <c r="O65" s="617" t="s">
        <v>349</v>
      </c>
      <c r="P65" s="587">
        <v>0.78</v>
      </c>
      <c r="Q65" s="587">
        <f>Q64</f>
        <v>18.927444794952681</v>
      </c>
      <c r="R65" s="587">
        <f>12/0.634/3.412</f>
        <v>5.5473167628817937</v>
      </c>
      <c r="S65" s="587">
        <f>12/0.596/3.412</f>
        <v>5.9010047444078149</v>
      </c>
      <c r="T65" s="617" t="s">
        <v>349</v>
      </c>
      <c r="U65" s="513"/>
      <c r="V65" s="623"/>
      <c r="W65" s="513"/>
      <c r="X65" s="513"/>
      <c r="Y65" s="595"/>
    </row>
    <row r="66" spans="1:25" ht="30.75" customHeight="1">
      <c r="A66" s="639"/>
      <c r="B66" s="644" t="s">
        <v>335</v>
      </c>
      <c r="C66" s="649" t="s">
        <v>2499</v>
      </c>
      <c r="D66" s="587">
        <v>0.78</v>
      </c>
      <c r="E66" s="587">
        <f>12/0.576</f>
        <v>20.833333333333336</v>
      </c>
      <c r="F66" s="587">
        <f>12/0.576/3.412</f>
        <v>6.1059007424775311</v>
      </c>
      <c r="G66" s="587">
        <f>12/0.549/3.412</f>
        <v>6.4061909429272452</v>
      </c>
      <c r="H66" s="617" t="s">
        <v>350</v>
      </c>
      <c r="I66" s="586">
        <f>E66*'Prescriptive Path'!H74*12000/1000000</f>
        <v>0</v>
      </c>
      <c r="J66" s="586">
        <f>D66*'Prescriptive Path'!H74*12000/1000000</f>
        <v>0</v>
      </c>
      <c r="K66" s="587">
        <v>0.78</v>
      </c>
      <c r="L66" s="587">
        <f>12/0.576</f>
        <v>20.833333333333336</v>
      </c>
      <c r="M66" s="587">
        <f>12/0.576/3.412</f>
        <v>6.1059007424775311</v>
      </c>
      <c r="N66" s="587">
        <f>12/0.549/3.412</f>
        <v>6.4061909429272452</v>
      </c>
      <c r="O66" s="617" t="s">
        <v>350</v>
      </c>
      <c r="P66" s="587">
        <v>0.78</v>
      </c>
      <c r="Q66" s="587">
        <f>12/0.576</f>
        <v>20.833333333333336</v>
      </c>
      <c r="R66" s="587">
        <f>12/0.576/3.412</f>
        <v>6.1059007424775311</v>
      </c>
      <c r="S66" s="587">
        <f>12/0.549/3.412</f>
        <v>6.4061909429272452</v>
      </c>
      <c r="T66" s="617" t="s">
        <v>350</v>
      </c>
      <c r="U66" s="513"/>
      <c r="V66" s="623"/>
      <c r="W66" s="513"/>
      <c r="X66" s="513"/>
      <c r="Y66" s="595"/>
    </row>
    <row r="67" spans="1:25" ht="30.75" customHeight="1">
      <c r="A67" s="639"/>
      <c r="B67" s="644" t="s">
        <v>336</v>
      </c>
      <c r="C67" s="649" t="s">
        <v>2499</v>
      </c>
      <c r="D67" s="587">
        <v>0.78</v>
      </c>
      <c r="E67" s="587">
        <f>12/0.57</f>
        <v>21.05263157894737</v>
      </c>
      <c r="F67" s="587">
        <f>12/0.57/3.412</f>
        <v>6.170173381872031</v>
      </c>
      <c r="G67" s="587">
        <f>12/0.539/3.412</f>
        <v>6.5250442071745027</v>
      </c>
      <c r="H67" s="617" t="s">
        <v>351</v>
      </c>
      <c r="I67" s="586">
        <f>E67*'Prescriptive Path'!H75*12000/1000000</f>
        <v>0</v>
      </c>
      <c r="J67" s="586">
        <f>D67*'Prescriptive Path'!H75*12000/1000000</f>
        <v>0</v>
      </c>
      <c r="K67" s="587">
        <v>0.78</v>
      </c>
      <c r="L67" s="587">
        <f>12/0.57</f>
        <v>21.05263157894737</v>
      </c>
      <c r="M67" s="587">
        <f>12/0.57/3.412</f>
        <v>6.170173381872031</v>
      </c>
      <c r="N67" s="587">
        <f>12/0.539/3.412</f>
        <v>6.5250442071745027</v>
      </c>
      <c r="O67" s="617" t="s">
        <v>351</v>
      </c>
      <c r="P67" s="587">
        <v>0.78</v>
      </c>
      <c r="Q67" s="587">
        <f>12/0.57</f>
        <v>21.05263157894737</v>
      </c>
      <c r="R67" s="587">
        <f>12/0.57/3.412</f>
        <v>6.170173381872031</v>
      </c>
      <c r="S67" s="587">
        <f>12/0.539/3.412</f>
        <v>6.5250442071745027</v>
      </c>
      <c r="T67" s="617" t="s">
        <v>351</v>
      </c>
      <c r="U67" s="513"/>
      <c r="V67" s="623">
        <v>45</v>
      </c>
      <c r="W67" s="513"/>
      <c r="X67" s="513"/>
      <c r="Y67" s="595"/>
    </row>
    <row r="68" spans="1:25" ht="30.75" customHeight="1">
      <c r="A68" s="639"/>
      <c r="B68" s="644" t="s">
        <v>337</v>
      </c>
      <c r="C68" s="649" t="s">
        <v>2499</v>
      </c>
      <c r="D68" s="238">
        <v>0.78</v>
      </c>
      <c r="E68" s="238">
        <f>0.6*3.412</f>
        <v>2.0471999999999997</v>
      </c>
      <c r="F68" s="587">
        <v>0.6</v>
      </c>
      <c r="G68" s="587">
        <v>0.6</v>
      </c>
      <c r="H68" s="617" t="s">
        <v>18</v>
      </c>
      <c r="I68" s="586">
        <f>E68*'Prescriptive Path'!H76*12000/1000000</f>
        <v>0</v>
      </c>
      <c r="J68" s="586">
        <f>D68*'Prescriptive Path'!H76*12000/1000000</f>
        <v>0</v>
      </c>
      <c r="K68" s="238">
        <v>0.78</v>
      </c>
      <c r="L68" s="238">
        <f>0.6*3.412</f>
        <v>2.0471999999999997</v>
      </c>
      <c r="M68" s="587">
        <v>0.6</v>
      </c>
      <c r="N68" s="429"/>
      <c r="O68" s="238" t="s">
        <v>18</v>
      </c>
      <c r="P68" s="238">
        <v>0.78</v>
      </c>
      <c r="Q68" s="238">
        <f>0.6*3.412</f>
        <v>2.0471999999999997</v>
      </c>
      <c r="R68" s="587">
        <v>0.6</v>
      </c>
      <c r="S68" s="238"/>
      <c r="T68" s="238" t="s">
        <v>18</v>
      </c>
      <c r="U68" s="513"/>
      <c r="V68" s="623"/>
      <c r="W68" s="513"/>
      <c r="X68" s="513"/>
      <c r="Y68" s="595"/>
    </row>
    <row r="69" spans="1:25" ht="30.75" customHeight="1">
      <c r="A69" s="639"/>
      <c r="B69" s="644" t="s">
        <v>338</v>
      </c>
      <c r="C69" s="649" t="s">
        <v>2499</v>
      </c>
      <c r="D69" s="238">
        <v>0.78</v>
      </c>
      <c r="E69" s="238">
        <f>0.7*3.412</f>
        <v>2.3883999999999999</v>
      </c>
      <c r="F69" s="587">
        <v>0.7</v>
      </c>
      <c r="G69" s="587">
        <v>0.7</v>
      </c>
      <c r="H69" s="617" t="s">
        <v>21</v>
      </c>
      <c r="I69" s="586">
        <f>E69*'Prescriptive Path'!H77*12000/1000000</f>
        <v>0</v>
      </c>
      <c r="J69" s="586">
        <f>D69*'Prescriptive Path'!H77*12000/1000000</f>
        <v>0</v>
      </c>
      <c r="K69" s="238">
        <v>0.78</v>
      </c>
      <c r="L69" s="238">
        <f>0.7*3.412</f>
        <v>2.3883999999999999</v>
      </c>
      <c r="M69" s="587">
        <v>0.7</v>
      </c>
      <c r="N69" s="429"/>
      <c r="O69" s="238" t="s">
        <v>21</v>
      </c>
      <c r="P69" s="238">
        <v>0.78</v>
      </c>
      <c r="Q69" s="238">
        <f>0.7*3.412</f>
        <v>2.3883999999999999</v>
      </c>
      <c r="R69" s="587">
        <v>0.7</v>
      </c>
      <c r="S69" s="238"/>
      <c r="T69" s="238" t="s">
        <v>21</v>
      </c>
      <c r="U69" s="513"/>
      <c r="V69" s="623"/>
      <c r="W69" s="513"/>
      <c r="X69" s="513"/>
      <c r="Y69" s="595"/>
    </row>
    <row r="70" spans="1:25" ht="30.75" customHeight="1">
      <c r="A70" s="639"/>
      <c r="B70" s="644" t="s">
        <v>339</v>
      </c>
      <c r="C70" s="649" t="s">
        <v>2499</v>
      </c>
      <c r="D70" s="238">
        <v>0.78</v>
      </c>
      <c r="E70" s="238">
        <v>3.4119999999999999</v>
      </c>
      <c r="F70" s="238">
        <v>1</v>
      </c>
      <c r="G70" s="238">
        <v>1.05</v>
      </c>
      <c r="H70" s="617" t="s">
        <v>19</v>
      </c>
      <c r="I70" s="586">
        <f>E70*'Prescriptive Path'!H78*12000/1000000</f>
        <v>0</v>
      </c>
      <c r="J70" s="586">
        <f>D70*'Prescriptive Path'!H78*12000/1000000</f>
        <v>0</v>
      </c>
      <c r="K70" s="238">
        <v>0.78</v>
      </c>
      <c r="L70" s="238">
        <v>3.4119999999999999</v>
      </c>
      <c r="M70" s="553">
        <v>1</v>
      </c>
      <c r="N70" s="238">
        <v>1.05</v>
      </c>
      <c r="O70" s="238" t="s">
        <v>19</v>
      </c>
      <c r="P70" s="238">
        <v>0.78</v>
      </c>
      <c r="Q70" s="238">
        <v>3.4119999999999999</v>
      </c>
      <c r="R70" s="553">
        <v>1</v>
      </c>
      <c r="S70" s="587">
        <v>1.05</v>
      </c>
      <c r="T70" s="238" t="s">
        <v>19</v>
      </c>
      <c r="U70" s="513"/>
      <c r="V70" s="623"/>
      <c r="W70" s="513"/>
      <c r="X70" s="513"/>
      <c r="Y70" s="595"/>
    </row>
    <row r="71" spans="1:25" ht="30.75" customHeight="1">
      <c r="A71" s="639"/>
      <c r="B71" s="644" t="s">
        <v>340</v>
      </c>
      <c r="C71" s="649" t="s">
        <v>2499</v>
      </c>
      <c r="D71" s="238">
        <v>0.78</v>
      </c>
      <c r="E71" s="238">
        <v>3.4119999999999999</v>
      </c>
      <c r="F71" s="238">
        <v>1</v>
      </c>
      <c r="G71" s="238">
        <v>1.05</v>
      </c>
      <c r="H71" s="617" t="s">
        <v>20</v>
      </c>
      <c r="I71" s="586">
        <f>E71*'Prescriptive Path'!H79*12000/1000000</f>
        <v>0</v>
      </c>
      <c r="J71" s="586">
        <f>D71*'Prescriptive Path'!H79*12000/1000000</f>
        <v>0</v>
      </c>
      <c r="K71" s="238">
        <v>0.78</v>
      </c>
      <c r="L71" s="238">
        <v>3.4119999999999999</v>
      </c>
      <c r="M71" s="553">
        <v>1</v>
      </c>
      <c r="N71" s="238">
        <v>1.05</v>
      </c>
      <c r="O71" s="238" t="s">
        <v>20</v>
      </c>
      <c r="P71" s="238">
        <v>0.78</v>
      </c>
      <c r="Q71" s="238">
        <v>3.4119999999999999</v>
      </c>
      <c r="R71" s="553">
        <v>1</v>
      </c>
      <c r="S71" s="587">
        <v>1.05</v>
      </c>
      <c r="T71" s="238" t="s">
        <v>20</v>
      </c>
      <c r="U71" s="513"/>
      <c r="V71" s="623"/>
      <c r="W71" s="513"/>
      <c r="X71" s="513"/>
      <c r="Y71" s="595"/>
    </row>
    <row r="72" spans="1:25" ht="47.25" customHeight="1">
      <c r="A72" s="639"/>
      <c r="B72" s="644" t="s">
        <v>341</v>
      </c>
      <c r="C72" s="649" t="s">
        <v>2500</v>
      </c>
      <c r="D72" s="429"/>
      <c r="E72" s="429"/>
      <c r="F72" s="429"/>
      <c r="G72" s="429"/>
      <c r="H72" s="617" t="s">
        <v>352</v>
      </c>
      <c r="I72" s="429"/>
      <c r="J72" s="429"/>
      <c r="K72" s="429"/>
      <c r="L72" s="429"/>
      <c r="M72" s="429"/>
      <c r="N72" s="429"/>
      <c r="O72" s="429"/>
      <c r="P72" s="429"/>
      <c r="Q72" s="429"/>
      <c r="R72" s="429"/>
      <c r="S72" s="429"/>
      <c r="T72" s="429"/>
      <c r="U72" s="513"/>
      <c r="V72" s="488">
        <v>1072.6500000000001</v>
      </c>
      <c r="W72" s="513"/>
      <c r="X72" s="513"/>
      <c r="Y72" s="595"/>
    </row>
    <row r="73" spans="1:25" ht="47.25" customHeight="1">
      <c r="A73" s="639"/>
      <c r="B73" s="644" t="s">
        <v>342</v>
      </c>
      <c r="C73" s="649" t="s">
        <v>2500</v>
      </c>
      <c r="D73" s="429"/>
      <c r="E73" s="429"/>
      <c r="F73" s="429"/>
      <c r="G73" s="429"/>
      <c r="H73" s="617" t="s">
        <v>353</v>
      </c>
      <c r="I73" s="429"/>
      <c r="J73" s="429"/>
      <c r="K73" s="429"/>
      <c r="L73" s="429"/>
      <c r="M73" s="429"/>
      <c r="N73" s="429"/>
      <c r="O73" s="429"/>
      <c r="P73" s="429"/>
      <c r="Q73" s="429"/>
      <c r="R73" s="429"/>
      <c r="S73" s="429"/>
      <c r="T73" s="429"/>
      <c r="U73" s="513"/>
      <c r="V73" s="488">
        <v>1072.6500000000001</v>
      </c>
      <c r="W73" s="513"/>
      <c r="X73" s="513"/>
      <c r="Y73" s="595"/>
    </row>
    <row r="74" spans="1:25" ht="47.25" customHeight="1">
      <c r="A74" s="639"/>
      <c r="B74" s="644" t="s">
        <v>343</v>
      </c>
      <c r="C74" s="649" t="s">
        <v>2500</v>
      </c>
      <c r="D74" s="429"/>
      <c r="E74" s="429"/>
      <c r="F74" s="429"/>
      <c r="G74" s="429"/>
      <c r="H74" s="617" t="s">
        <v>354</v>
      </c>
      <c r="I74" s="429"/>
      <c r="J74" s="429"/>
      <c r="K74" s="429"/>
      <c r="L74" s="429"/>
      <c r="M74" s="429"/>
      <c r="N74" s="429"/>
      <c r="O74" s="429"/>
      <c r="P74" s="429"/>
      <c r="Q74" s="429"/>
      <c r="R74" s="429"/>
      <c r="S74" s="429"/>
      <c r="T74" s="429"/>
      <c r="U74" s="513"/>
      <c r="V74" s="488">
        <v>1072.6500000000001</v>
      </c>
      <c r="W74" s="513"/>
      <c r="X74" s="513"/>
      <c r="Y74" s="595"/>
    </row>
    <row r="75" spans="1:25" ht="47.25" customHeight="1">
      <c r="A75" s="640"/>
      <c r="B75" s="644" t="s">
        <v>344</v>
      </c>
      <c r="C75" s="649" t="s">
        <v>2500</v>
      </c>
      <c r="D75" s="429"/>
      <c r="E75" s="429"/>
      <c r="F75" s="429"/>
      <c r="G75" s="429"/>
      <c r="H75" s="589" t="s">
        <v>355</v>
      </c>
      <c r="I75" s="663"/>
      <c r="J75" s="663"/>
      <c r="K75" s="663"/>
      <c r="L75" s="429"/>
      <c r="M75" s="429"/>
      <c r="N75" s="429"/>
      <c r="O75" s="585" t="s">
        <v>87</v>
      </c>
      <c r="P75" s="429"/>
      <c r="Q75" s="429"/>
      <c r="R75" s="429"/>
      <c r="S75" s="429"/>
      <c r="T75" s="585" t="s">
        <v>87</v>
      </c>
      <c r="U75" s="513"/>
      <c r="V75" s="488">
        <v>1072.6500000000001</v>
      </c>
      <c r="W75" s="513"/>
      <c r="X75" s="513"/>
      <c r="Y75" s="595"/>
    </row>
    <row r="76" spans="1:25" ht="15.75" thickBot="1">
      <c r="A76" s="628" t="s">
        <v>17</v>
      </c>
      <c r="B76" s="472" t="s">
        <v>44</v>
      </c>
      <c r="C76" s="649" t="s">
        <v>2504</v>
      </c>
      <c r="D76" s="429"/>
      <c r="E76" s="429"/>
      <c r="F76" s="429"/>
      <c r="G76" s="429"/>
      <c r="H76" s="2115" t="s">
        <v>2503</v>
      </c>
      <c r="I76" s="429"/>
      <c r="J76" s="429"/>
      <c r="K76" s="429"/>
      <c r="L76" s="429"/>
      <c r="M76" s="429"/>
      <c r="N76" s="429"/>
      <c r="O76" s="2115" t="s">
        <v>2503</v>
      </c>
      <c r="P76" s="429"/>
      <c r="Q76" s="429"/>
      <c r="R76" s="429"/>
      <c r="S76" s="429"/>
      <c r="T76" s="2115" t="s">
        <v>2503</v>
      </c>
      <c r="U76" s="513"/>
      <c r="V76" s="623"/>
      <c r="W76" s="513"/>
      <c r="X76" s="513"/>
      <c r="Y76" s="595"/>
    </row>
    <row r="77" spans="1:25" ht="45.75" thickBot="1">
      <c r="A77" s="2455" t="s">
        <v>90</v>
      </c>
      <c r="B77" s="412"/>
      <c r="C77" s="412"/>
      <c r="D77" s="2467" t="s">
        <v>493</v>
      </c>
      <c r="E77" s="2467"/>
      <c r="F77" s="2467"/>
      <c r="G77" s="2461" t="s">
        <v>89</v>
      </c>
      <c r="H77" s="2462"/>
      <c r="I77" s="412"/>
      <c r="J77" s="412"/>
      <c r="K77" s="2467" t="s">
        <v>493</v>
      </c>
      <c r="L77" s="2467"/>
      <c r="M77" s="2467"/>
      <c r="N77" s="2461" t="s">
        <v>89</v>
      </c>
      <c r="O77" s="2462"/>
      <c r="P77" s="2464" t="s">
        <v>493</v>
      </c>
      <c r="Q77" s="2465"/>
      <c r="R77" s="2466"/>
      <c r="S77" s="2461" t="s">
        <v>89</v>
      </c>
      <c r="T77" s="2462"/>
      <c r="U77" s="431" t="s">
        <v>471</v>
      </c>
      <c r="V77" s="431" t="s">
        <v>476</v>
      </c>
      <c r="W77" s="431" t="s">
        <v>472</v>
      </c>
      <c r="X77" s="431" t="s">
        <v>473</v>
      </c>
      <c r="Y77" s="432" t="s">
        <v>474</v>
      </c>
    </row>
    <row r="78" spans="1:25">
      <c r="A78" s="2456"/>
      <c r="B78" s="472" t="s">
        <v>91</v>
      </c>
      <c r="C78" s="472" t="s">
        <v>2492</v>
      </c>
      <c r="D78" s="2463">
        <v>0.69</v>
      </c>
      <c r="E78" s="2463"/>
      <c r="F78" s="2463"/>
      <c r="G78" s="2408">
        <v>15</v>
      </c>
      <c r="H78" s="2410"/>
      <c r="I78" s="238"/>
      <c r="J78" s="998"/>
      <c r="K78" s="2463">
        <v>0.69</v>
      </c>
      <c r="L78" s="2463"/>
      <c r="M78" s="2463"/>
      <c r="N78" s="2463">
        <v>15</v>
      </c>
      <c r="O78" s="2463"/>
      <c r="P78" s="2463">
        <v>0.69</v>
      </c>
      <c r="Q78" s="2463"/>
      <c r="R78" s="2463"/>
      <c r="S78" s="2463">
        <v>15</v>
      </c>
      <c r="T78" s="2463"/>
      <c r="U78" s="513"/>
      <c r="V78" s="623"/>
      <c r="W78" s="513"/>
      <c r="X78" s="513"/>
      <c r="Y78" s="595"/>
    </row>
    <row r="79" spans="1:25">
      <c r="A79" s="2456"/>
      <c r="B79" s="472" t="s">
        <v>92</v>
      </c>
      <c r="C79" s="472" t="s">
        <v>2492</v>
      </c>
      <c r="D79" s="2463">
        <v>0.66</v>
      </c>
      <c r="E79" s="2463"/>
      <c r="F79" s="2463"/>
      <c r="G79" s="2408">
        <v>10</v>
      </c>
      <c r="H79" s="2410"/>
      <c r="I79" s="238"/>
      <c r="J79" s="998"/>
      <c r="K79" s="2463">
        <v>0.66</v>
      </c>
      <c r="L79" s="2463"/>
      <c r="M79" s="2463"/>
      <c r="N79" s="2463">
        <v>10</v>
      </c>
      <c r="O79" s="2463"/>
      <c r="P79" s="2463">
        <v>0.66</v>
      </c>
      <c r="Q79" s="2463"/>
      <c r="R79" s="2463"/>
      <c r="S79" s="2463">
        <v>10</v>
      </c>
      <c r="T79" s="2463"/>
      <c r="U79" s="513"/>
      <c r="V79" s="623"/>
      <c r="W79" s="513"/>
      <c r="X79" s="513"/>
      <c r="Y79" s="595"/>
    </row>
    <row r="80" spans="1:25">
      <c r="A80" s="2456"/>
      <c r="B80" s="472" t="s">
        <v>93</v>
      </c>
      <c r="C80" s="472" t="s">
        <v>2492</v>
      </c>
      <c r="D80" s="2463">
        <v>0.9</v>
      </c>
      <c r="E80" s="2463"/>
      <c r="F80" s="2463"/>
      <c r="G80" s="2408">
        <v>16</v>
      </c>
      <c r="H80" s="2410"/>
      <c r="I80" s="238"/>
      <c r="J80" s="998"/>
      <c r="K80" s="2463">
        <v>0.9</v>
      </c>
      <c r="L80" s="2463"/>
      <c r="M80" s="2463"/>
      <c r="N80" s="2463">
        <v>16</v>
      </c>
      <c r="O80" s="2463"/>
      <c r="P80" s="2463">
        <v>0.9</v>
      </c>
      <c r="Q80" s="2463"/>
      <c r="R80" s="2463"/>
      <c r="S80" s="2463">
        <v>16</v>
      </c>
      <c r="T80" s="2463"/>
      <c r="U80" s="513"/>
      <c r="V80" s="623"/>
      <c r="W80" s="513"/>
      <c r="X80" s="513"/>
      <c r="Y80" s="595"/>
    </row>
    <row r="81" spans="1:25">
      <c r="A81" s="2456"/>
      <c r="B81" s="472" t="s">
        <v>94</v>
      </c>
      <c r="C81" s="472" t="s">
        <v>2492</v>
      </c>
      <c r="D81" s="2463">
        <v>0.95</v>
      </c>
      <c r="E81" s="2463"/>
      <c r="F81" s="2463"/>
      <c r="G81" s="2408">
        <v>30</v>
      </c>
      <c r="H81" s="2410"/>
      <c r="I81" s="238"/>
      <c r="J81" s="998"/>
      <c r="K81" s="2463">
        <v>0.95</v>
      </c>
      <c r="L81" s="2463"/>
      <c r="M81" s="2463"/>
      <c r="N81" s="2463">
        <v>30</v>
      </c>
      <c r="O81" s="2463"/>
      <c r="P81" s="2463">
        <v>0.95</v>
      </c>
      <c r="Q81" s="2463"/>
      <c r="R81" s="2463"/>
      <c r="S81" s="2463">
        <v>30</v>
      </c>
      <c r="T81" s="2463"/>
      <c r="U81" s="513"/>
      <c r="V81" s="623"/>
      <c r="W81" s="513"/>
      <c r="X81" s="513"/>
      <c r="Y81" s="595"/>
    </row>
    <row r="82" spans="1:25">
      <c r="A82" s="2456"/>
      <c r="B82" s="472" t="s">
        <v>95</v>
      </c>
      <c r="C82" s="472" t="s">
        <v>2492</v>
      </c>
      <c r="D82" s="2463">
        <v>0.63</v>
      </c>
      <c r="E82" s="2463"/>
      <c r="F82" s="2463"/>
      <c r="G82" s="2408">
        <v>20</v>
      </c>
      <c r="H82" s="2410"/>
      <c r="I82" s="238"/>
      <c r="J82" s="998"/>
      <c r="K82" s="2463">
        <v>0.63</v>
      </c>
      <c r="L82" s="2463"/>
      <c r="M82" s="2463"/>
      <c r="N82" s="2463">
        <v>20</v>
      </c>
      <c r="O82" s="2463"/>
      <c r="P82" s="2463">
        <v>0.63</v>
      </c>
      <c r="Q82" s="2463"/>
      <c r="R82" s="2463"/>
      <c r="S82" s="2463">
        <v>20</v>
      </c>
      <c r="T82" s="2463"/>
      <c r="U82" s="513"/>
      <c r="V82" s="623"/>
      <c r="W82" s="513"/>
      <c r="X82" s="513"/>
      <c r="Y82" s="595"/>
    </row>
    <row r="83" spans="1:25">
      <c r="A83" s="2456"/>
      <c r="B83" s="472" t="s">
        <v>96</v>
      </c>
      <c r="C83" s="472" t="s">
        <v>2492</v>
      </c>
      <c r="D83" s="2463">
        <v>0.63</v>
      </c>
      <c r="E83" s="2463"/>
      <c r="F83" s="2463"/>
      <c r="G83" s="2408">
        <v>8</v>
      </c>
      <c r="H83" s="2410"/>
      <c r="I83" s="238"/>
      <c r="J83" s="998"/>
      <c r="K83" s="2463">
        <v>0.63</v>
      </c>
      <c r="L83" s="2463"/>
      <c r="M83" s="2463"/>
      <c r="N83" s="2463">
        <v>8</v>
      </c>
      <c r="O83" s="2463"/>
      <c r="P83" s="2463">
        <v>0.63</v>
      </c>
      <c r="Q83" s="2463"/>
      <c r="R83" s="2463"/>
      <c r="S83" s="2463">
        <v>8</v>
      </c>
      <c r="T83" s="2463"/>
      <c r="U83" s="513"/>
      <c r="V83" s="623"/>
      <c r="W83" s="513"/>
      <c r="X83" s="513"/>
      <c r="Y83" s="595"/>
    </row>
    <row r="84" spans="1:25">
      <c r="A84" s="2456"/>
      <c r="B84" s="472" t="s">
        <v>97</v>
      </c>
      <c r="C84" s="472" t="s">
        <v>2492</v>
      </c>
      <c r="D84" s="2463">
        <v>1.23</v>
      </c>
      <c r="E84" s="2463"/>
      <c r="F84" s="2463"/>
      <c r="G84" s="2408">
        <v>30</v>
      </c>
      <c r="H84" s="2410"/>
      <c r="I84" s="238"/>
      <c r="J84" s="998"/>
      <c r="K84" s="2463">
        <v>1.23</v>
      </c>
      <c r="L84" s="2463"/>
      <c r="M84" s="2463"/>
      <c r="N84" s="2463">
        <v>30</v>
      </c>
      <c r="O84" s="2463"/>
      <c r="P84" s="2463">
        <v>1.23</v>
      </c>
      <c r="Q84" s="2463"/>
      <c r="R84" s="2463"/>
      <c r="S84" s="2463">
        <v>30</v>
      </c>
      <c r="T84" s="2463"/>
      <c r="U84" s="513"/>
      <c r="V84" s="623"/>
      <c r="W84" s="513"/>
      <c r="X84" s="513"/>
      <c r="Y84" s="595"/>
    </row>
    <row r="85" spans="1:25">
      <c r="A85" s="2456"/>
      <c r="B85" s="472" t="s">
        <v>98</v>
      </c>
      <c r="C85" s="472" t="s">
        <v>2492</v>
      </c>
      <c r="D85" s="2463">
        <v>1.1100000000000001</v>
      </c>
      <c r="E85" s="2463"/>
      <c r="F85" s="2463"/>
      <c r="G85" s="2408">
        <v>35</v>
      </c>
      <c r="H85" s="2410"/>
      <c r="I85" s="238"/>
      <c r="J85" s="998"/>
      <c r="K85" s="2463">
        <v>1.1100000000000001</v>
      </c>
      <c r="L85" s="2463"/>
      <c r="M85" s="2463"/>
      <c r="N85" s="2463">
        <v>35</v>
      </c>
      <c r="O85" s="2463"/>
      <c r="P85" s="2463">
        <v>1.1100000000000001</v>
      </c>
      <c r="Q85" s="2463"/>
      <c r="R85" s="2463"/>
      <c r="S85" s="2463">
        <v>35</v>
      </c>
      <c r="T85" s="2463"/>
      <c r="U85" s="513"/>
      <c r="V85" s="623"/>
      <c r="W85" s="513"/>
      <c r="X85" s="513"/>
      <c r="Y85" s="595"/>
    </row>
    <row r="86" spans="1:25">
      <c r="A86" s="2457"/>
      <c r="B86" s="472" t="s">
        <v>453</v>
      </c>
      <c r="C86" s="2097"/>
      <c r="D86" s="2458"/>
      <c r="E86" s="2460"/>
      <c r="F86" s="2459"/>
      <c r="G86" s="2458"/>
      <c r="H86" s="2459"/>
      <c r="I86" s="477"/>
      <c r="J86" s="1009"/>
      <c r="K86" s="2458"/>
      <c r="L86" s="2460"/>
      <c r="M86" s="2459"/>
      <c r="N86" s="2458"/>
      <c r="O86" s="2459"/>
      <c r="P86" s="2458"/>
      <c r="Q86" s="2460"/>
      <c r="R86" s="2459"/>
      <c r="S86" s="2458"/>
      <c r="T86" s="2459"/>
      <c r="U86" s="513"/>
      <c r="V86" s="488">
        <v>96.25</v>
      </c>
      <c r="W86" s="513"/>
      <c r="X86" s="513"/>
      <c r="Y86" s="595"/>
    </row>
    <row r="87" spans="1:25" ht="13.5" customHeight="1">
      <c r="A87" s="2452" t="s">
        <v>43</v>
      </c>
      <c r="B87" s="397" t="s">
        <v>499</v>
      </c>
      <c r="C87" s="2098"/>
      <c r="D87" s="2458"/>
      <c r="E87" s="2460"/>
      <c r="F87" s="2459"/>
      <c r="G87" s="2458"/>
      <c r="H87" s="2459"/>
      <c r="I87" s="477"/>
      <c r="J87" s="1009"/>
      <c r="K87" s="2458"/>
      <c r="L87" s="2460"/>
      <c r="M87" s="2459"/>
      <c r="N87" s="2458"/>
      <c r="O87" s="2459"/>
      <c r="P87" s="2458"/>
      <c r="Q87" s="2460"/>
      <c r="R87" s="2459"/>
      <c r="S87" s="2458"/>
      <c r="T87" s="2459"/>
      <c r="U87" s="513"/>
      <c r="V87" s="623"/>
      <c r="W87" s="513"/>
      <c r="X87" s="513"/>
      <c r="Y87" s="595"/>
    </row>
    <row r="88" spans="1:25">
      <c r="A88" s="2453"/>
      <c r="B88" s="397" t="s">
        <v>500</v>
      </c>
      <c r="C88" s="2075"/>
      <c r="D88" s="2458"/>
      <c r="E88" s="2460"/>
      <c r="F88" s="2459"/>
      <c r="G88" s="2458"/>
      <c r="H88" s="2459"/>
      <c r="I88" s="477"/>
      <c r="J88" s="1009"/>
      <c r="K88" s="2458"/>
      <c r="L88" s="2460"/>
      <c r="M88" s="2459"/>
      <c r="N88" s="2458"/>
      <c r="O88" s="2459"/>
      <c r="P88" s="2458"/>
      <c r="Q88" s="2460"/>
      <c r="R88" s="2459"/>
      <c r="S88" s="2458"/>
      <c r="T88" s="2459"/>
      <c r="U88" s="513"/>
      <c r="V88" s="623"/>
      <c r="W88" s="513"/>
      <c r="X88" s="513"/>
      <c r="Y88" s="595"/>
    </row>
    <row r="89" spans="1:25">
      <c r="A89" s="2453"/>
      <c r="B89" s="397" t="s">
        <v>501</v>
      </c>
      <c r="C89" s="2075"/>
      <c r="D89" s="2458"/>
      <c r="E89" s="2460"/>
      <c r="F89" s="2459"/>
      <c r="G89" s="2458"/>
      <c r="H89" s="2459"/>
      <c r="I89" s="477"/>
      <c r="J89" s="1009"/>
      <c r="K89" s="2458"/>
      <c r="L89" s="2460"/>
      <c r="M89" s="2459"/>
      <c r="N89" s="2458"/>
      <c r="O89" s="2459"/>
      <c r="P89" s="2458"/>
      <c r="Q89" s="2460"/>
      <c r="R89" s="2459"/>
      <c r="S89" s="2458"/>
      <c r="T89" s="2459"/>
      <c r="U89" s="513"/>
      <c r="V89" s="623"/>
      <c r="W89" s="513"/>
      <c r="X89" s="513"/>
      <c r="Y89" s="595"/>
    </row>
    <row r="90" spans="1:25">
      <c r="A90" s="2453"/>
      <c r="B90" s="397" t="s">
        <v>388</v>
      </c>
      <c r="C90" s="2075"/>
      <c r="D90" s="2458"/>
      <c r="E90" s="2460"/>
      <c r="F90" s="2459"/>
      <c r="G90" s="2458"/>
      <c r="H90" s="2459"/>
      <c r="I90" s="477"/>
      <c r="J90" s="1009"/>
      <c r="K90" s="2458"/>
      <c r="L90" s="2460"/>
      <c r="M90" s="2459"/>
      <c r="N90" s="2458"/>
      <c r="O90" s="2459"/>
      <c r="P90" s="2458"/>
      <c r="Q90" s="2460"/>
      <c r="R90" s="2459"/>
      <c r="S90" s="2458"/>
      <c r="T90" s="2459"/>
      <c r="U90" s="513"/>
      <c r="V90" s="488">
        <v>505.17</v>
      </c>
      <c r="W90" s="513"/>
      <c r="X90" s="513"/>
      <c r="Y90" s="595"/>
    </row>
    <row r="91" spans="1:25">
      <c r="A91" s="2453"/>
      <c r="B91" s="397" t="s">
        <v>389</v>
      </c>
      <c r="C91" s="2075"/>
      <c r="D91" s="2458"/>
      <c r="E91" s="2460"/>
      <c r="F91" s="2459"/>
      <c r="G91" s="2458"/>
      <c r="H91" s="2459"/>
      <c r="I91" s="477"/>
      <c r="J91" s="1009"/>
      <c r="K91" s="2458"/>
      <c r="L91" s="2460"/>
      <c r="M91" s="2459"/>
      <c r="N91" s="2458"/>
      <c r="O91" s="2459"/>
      <c r="P91" s="2458"/>
      <c r="Q91" s="2460"/>
      <c r="R91" s="2459"/>
      <c r="S91" s="2458"/>
      <c r="T91" s="2459"/>
      <c r="U91" s="513"/>
      <c r="V91" s="488">
        <v>505.17</v>
      </c>
      <c r="W91" s="513"/>
      <c r="X91" s="513"/>
      <c r="Y91" s="595"/>
    </row>
    <row r="92" spans="1:25" ht="15.75" thickBot="1">
      <c r="A92" s="2454"/>
      <c r="B92" s="397" t="s">
        <v>390</v>
      </c>
      <c r="C92" s="2075"/>
      <c r="D92" s="2458"/>
      <c r="E92" s="2460"/>
      <c r="F92" s="2459"/>
      <c r="G92" s="2458"/>
      <c r="H92" s="2459"/>
      <c r="I92" s="477"/>
      <c r="J92" s="1009"/>
      <c r="K92" s="2458"/>
      <c r="L92" s="2460"/>
      <c r="M92" s="2459"/>
      <c r="N92" s="2458"/>
      <c r="O92" s="2459"/>
      <c r="P92" s="2458"/>
      <c r="Q92" s="2460"/>
      <c r="R92" s="2459"/>
      <c r="S92" s="2458"/>
      <c r="T92" s="2459"/>
      <c r="U92" s="513"/>
      <c r="V92" s="623"/>
      <c r="W92" s="513"/>
      <c r="X92" s="513"/>
      <c r="Y92" s="595"/>
    </row>
    <row r="93" spans="1:25" s="10" customFormat="1" ht="45.75" thickBot="1">
      <c r="A93" s="2449" t="s">
        <v>454</v>
      </c>
      <c r="B93" s="666"/>
      <c r="C93" s="666"/>
      <c r="D93" s="667" t="s">
        <v>199</v>
      </c>
      <c r="E93" s="667" t="s">
        <v>484</v>
      </c>
      <c r="F93" s="668"/>
      <c r="G93" s="668"/>
      <c r="H93" s="668"/>
      <c r="I93" s="668"/>
      <c r="J93" s="668"/>
      <c r="K93" s="667" t="s">
        <v>199</v>
      </c>
      <c r="L93" s="667" t="s">
        <v>484</v>
      </c>
      <c r="M93" s="668"/>
      <c r="N93" s="668"/>
      <c r="O93" s="668"/>
      <c r="P93" s="667" t="s">
        <v>199</v>
      </c>
      <c r="Q93" s="667" t="s">
        <v>484</v>
      </c>
      <c r="R93" s="668"/>
      <c r="S93" s="668"/>
      <c r="T93" s="668"/>
      <c r="U93" s="431" t="s">
        <v>471</v>
      </c>
      <c r="V93" s="431" t="s">
        <v>476</v>
      </c>
      <c r="W93" s="431" t="s">
        <v>472</v>
      </c>
      <c r="X93" s="431" t="s">
        <v>473</v>
      </c>
      <c r="Y93" s="432" t="s">
        <v>474</v>
      </c>
    </row>
    <row r="94" spans="1:25">
      <c r="A94" s="2450"/>
      <c r="B94" s="588" t="s">
        <v>442</v>
      </c>
      <c r="C94" s="588"/>
      <c r="D94" s="238">
        <f>('Prescriptive Path'!H97*((24-8)/24))</f>
        <v>0</v>
      </c>
      <c r="E94" s="513"/>
      <c r="F94" s="665"/>
      <c r="G94" s="665"/>
      <c r="H94" s="665"/>
      <c r="I94" s="577"/>
      <c r="J94" s="577"/>
      <c r="K94" s="238">
        <f>('Prescriptive Path'!M99*((24-8)/24))</f>
        <v>0</v>
      </c>
      <c r="L94" s="513"/>
      <c r="M94" s="665"/>
      <c r="N94" s="665"/>
      <c r="O94" s="665"/>
      <c r="P94" s="238">
        <f>('Prescriptive Path'!R99*((24-8)/24))</f>
        <v>0</v>
      </c>
      <c r="Q94" s="513"/>
      <c r="R94" s="665"/>
      <c r="S94" s="665"/>
      <c r="T94" s="665"/>
      <c r="U94" s="513"/>
      <c r="V94" s="488">
        <v>4.54</v>
      </c>
      <c r="W94" s="513"/>
      <c r="X94" s="513"/>
      <c r="Y94" s="595"/>
    </row>
    <row r="95" spans="1:25" ht="60">
      <c r="A95" s="2450"/>
      <c r="B95" s="589" t="s">
        <v>481</v>
      </c>
      <c r="C95" s="589" t="s">
        <v>2482</v>
      </c>
      <c r="D95" s="429"/>
      <c r="E95" s="695" t="b">
        <f>IF('Prescriptive Path'!H94="Bathroom and Utility Room Fans (10 - 89 CFM)",1.4,IF('Prescriptive Path'!H94="Bathroom and Utility Room Fans (90 - 500 CFM)",2.8,IF('Prescriptive Path'!H94="In-line Fans",2.8,IF('Prescriptive Path'!H94="Range Hoods (up to 500 CFM)",2.8,FALSE))))</f>
        <v>0</v>
      </c>
      <c r="F95" s="424"/>
      <c r="G95" s="424"/>
      <c r="H95" s="424"/>
      <c r="I95" s="695"/>
      <c r="J95" s="991"/>
      <c r="K95" s="429"/>
      <c r="L95" s="695" t="b">
        <f>IF('Prescriptive Path'!M96="Bathroom and Utility Room Fans (10 - 89 CFM)",1.4,IF('Prescriptive Path'!M96="Bathroom and Utility Room Fans (90 - 500 CFM)",2.8,IF('Prescriptive Path'!M96="In-line Fans",2.8,IF('Prescriptive Path'!M96="Range Hoods (up to 500 CFM)",2.8,FALSE))))</f>
        <v>0</v>
      </c>
      <c r="M95" s="424"/>
      <c r="N95" s="424"/>
      <c r="O95" s="424"/>
      <c r="P95" s="429"/>
      <c r="Q95" s="695" t="b">
        <f>IF('Prescriptive Path'!R96="Bathroom and Utility Room Fans (10 - 89 CFM)",1.4,IF('Prescriptive Path'!R96="Bathroom and Utility Room Fans (90 - 500 CFM)",2.8,IF('Prescriptive Path'!R96="In-line Fans",2.8,IF('Prescriptive Path'!R96="Range Hoods (up to 500 CFM)",2.8,FALSE))))</f>
        <v>0</v>
      </c>
      <c r="R95" s="424"/>
      <c r="S95" s="424"/>
      <c r="T95" s="424"/>
      <c r="U95" s="513"/>
      <c r="V95" s="488">
        <v>3.24</v>
      </c>
      <c r="W95" s="513"/>
      <c r="X95" s="513"/>
      <c r="Y95" s="595"/>
    </row>
    <row r="96" spans="1:25">
      <c r="A96" s="2450"/>
      <c r="B96" s="698" t="s">
        <v>439</v>
      </c>
      <c r="C96" s="698"/>
      <c r="D96" s="483"/>
      <c r="E96" s="420"/>
      <c r="F96" s="699"/>
      <c r="G96" s="699"/>
      <c r="H96" s="699"/>
      <c r="I96" s="420"/>
      <c r="J96" s="420"/>
      <c r="K96" s="483"/>
      <c r="L96" s="420"/>
      <c r="M96" s="699"/>
      <c r="N96" s="699"/>
      <c r="O96" s="699"/>
      <c r="P96" s="483"/>
      <c r="Q96" s="420"/>
      <c r="R96" s="699"/>
      <c r="S96" s="699"/>
      <c r="T96" s="699"/>
      <c r="U96" s="598"/>
      <c r="V96" s="599">
        <v>959</v>
      </c>
      <c r="W96" s="598"/>
      <c r="X96" s="598"/>
      <c r="Y96" s="600"/>
    </row>
    <row r="97" spans="1:25">
      <c r="A97" s="2450"/>
      <c r="B97" s="698" t="s">
        <v>440</v>
      </c>
      <c r="C97" s="698"/>
      <c r="D97" s="483"/>
      <c r="E97" s="420"/>
      <c r="F97" s="699"/>
      <c r="G97" s="699"/>
      <c r="H97" s="699"/>
      <c r="I97" s="420"/>
      <c r="J97" s="420"/>
      <c r="K97" s="483"/>
      <c r="L97" s="420"/>
      <c r="M97" s="699"/>
      <c r="N97" s="699"/>
      <c r="O97" s="699"/>
      <c r="P97" s="483"/>
      <c r="Q97" s="420"/>
      <c r="R97" s="699"/>
      <c r="S97" s="699"/>
      <c r="T97" s="699"/>
      <c r="U97" s="598"/>
      <c r="V97" s="599">
        <v>959</v>
      </c>
      <c r="W97" s="598"/>
      <c r="X97" s="598"/>
      <c r="Y97" s="600"/>
    </row>
    <row r="98" spans="1:25" s="696" customFormat="1">
      <c r="A98" s="2450"/>
      <c r="B98" s="698" t="s">
        <v>508</v>
      </c>
      <c r="C98" s="698"/>
      <c r="D98" s="483"/>
      <c r="E98" s="483"/>
      <c r="F98" s="699"/>
      <c r="G98" s="699"/>
      <c r="H98" s="699"/>
      <c r="I98" s="420"/>
      <c r="J98" s="420"/>
      <c r="K98" s="483"/>
      <c r="L98" s="483"/>
      <c r="M98" s="699"/>
      <c r="N98" s="699"/>
      <c r="O98" s="699"/>
      <c r="P98" s="483"/>
      <c r="Q98" s="483"/>
      <c r="R98" s="699"/>
      <c r="S98" s="699"/>
      <c r="T98" s="699"/>
      <c r="U98" s="598"/>
      <c r="V98" s="598"/>
      <c r="W98" s="598"/>
      <c r="X98" s="598"/>
      <c r="Y98" s="600"/>
    </row>
    <row r="99" spans="1:25" s="697" customFormat="1" ht="15.75" thickBot="1">
      <c r="A99" s="2451"/>
      <c r="B99" s="592" t="s">
        <v>509</v>
      </c>
      <c r="C99" s="592"/>
      <c r="D99" s="470"/>
      <c r="E99" s="470"/>
      <c r="F99" s="426"/>
      <c r="G99" s="426"/>
      <c r="H99" s="426"/>
      <c r="I99" s="418"/>
      <c r="J99" s="418"/>
      <c r="K99" s="470"/>
      <c r="L99" s="470"/>
      <c r="M99" s="426"/>
      <c r="N99" s="426"/>
      <c r="O99" s="426"/>
      <c r="P99" s="470"/>
      <c r="Q99" s="470"/>
      <c r="R99" s="426"/>
      <c r="S99" s="426"/>
      <c r="T99" s="426"/>
      <c r="U99" s="625"/>
      <c r="V99" s="594">
        <v>0.25</v>
      </c>
      <c r="W99" s="625"/>
      <c r="X99" s="625"/>
      <c r="Y99" s="626"/>
    </row>
    <row r="100" spans="1:25">
      <c r="A100" s="629"/>
      <c r="B100" s="580"/>
      <c r="C100" s="580"/>
      <c r="D100" s="487"/>
      <c r="E100" s="578"/>
      <c r="F100" s="578"/>
      <c r="G100" s="578"/>
      <c r="H100" s="578"/>
      <c r="I100" s="578"/>
      <c r="J100" s="578"/>
      <c r="K100" s="578"/>
      <c r="L100" s="578"/>
      <c r="M100" s="578"/>
      <c r="N100" s="578"/>
      <c r="O100" s="578"/>
      <c r="P100" s="578"/>
      <c r="Q100" s="578"/>
      <c r="R100" s="578"/>
      <c r="S100" s="578"/>
      <c r="T100" s="578"/>
    </row>
    <row r="101" spans="1:25" ht="15.75" thickBot="1">
      <c r="A101" s="629"/>
      <c r="B101" s="580"/>
      <c r="C101" s="580"/>
      <c r="D101" s="487"/>
      <c r="E101" s="578"/>
      <c r="F101" s="578"/>
      <c r="G101" s="578"/>
      <c r="H101" s="578"/>
      <c r="I101" s="578"/>
      <c r="J101" s="578"/>
      <c r="K101" s="578"/>
      <c r="L101" s="578"/>
      <c r="M101" s="578"/>
      <c r="N101" s="578"/>
      <c r="O101" s="578"/>
      <c r="P101" s="578"/>
      <c r="Q101" s="578"/>
      <c r="R101" s="578"/>
      <c r="S101" s="578"/>
      <c r="T101" s="578"/>
    </row>
    <row r="102" spans="1:25" ht="30.75" customHeight="1">
      <c r="B102" s="590"/>
      <c r="C102" s="2076"/>
      <c r="D102" s="685" t="s">
        <v>218</v>
      </c>
      <c r="E102" s="686" t="s">
        <v>217</v>
      </c>
    </row>
    <row r="103" spans="1:25">
      <c r="B103" s="591" t="s">
        <v>208</v>
      </c>
      <c r="C103" s="2077"/>
      <c r="D103" s="677" t="e">
        <f>IF(D105=1,29.4*D104,IF(D105=2,22.8*D104,IF(D105=3,20.6*D104,IF(D105=4,19.5*D104,IF(D105=5,18.9*Proposed!D104,18.5*Proposed!D104)))))+17*'Prescriptive Path'!$H$31+7*'Prescriptive Path'!$H$30</f>
        <v>#DIV/0!</v>
      </c>
      <c r="E103" s="678" t="e">
        <f>IF(D105=1,29.4*D104,IF(D105=2,22.8*D104,IF(D105=3,20.6*D104,IF(D105=4,19.5*D104,IF(D105=5,18.9*Proposed!D104,18.5*Proposed!D104)))))*((0.36+0.54*(1.75/2.5)+0.1*(1/2.5)))+8*'Prescriptive Path'!$H$31+3*'Prescriptive Path'!$H$30-2*'Prescriptive Path'!$H$29</f>
        <v>#DIV/0!</v>
      </c>
      <c r="F103" s="124"/>
      <c r="G103" s="124"/>
      <c r="M103" s="10"/>
    </row>
    <row r="104" spans="1:25">
      <c r="B104" s="591" t="s">
        <v>393</v>
      </c>
      <c r="C104" s="2077"/>
      <c r="D104" s="397">
        <f>('Prescriptive Path'!$H$90-'Prescriptive Path'!$H$41)+2*'Prescriptive Path'!$H$41</f>
        <v>0</v>
      </c>
      <c r="E104" s="574"/>
    </row>
    <row r="105" spans="1:25" ht="15.75" thickBot="1">
      <c r="B105" s="684" t="s">
        <v>394</v>
      </c>
      <c r="C105" s="2078"/>
      <c r="D105" s="593" t="e">
        <f>ROUND(D104/'Prescriptive Path'!H41,0)</f>
        <v>#DIV/0!</v>
      </c>
      <c r="E105" s="575"/>
    </row>
    <row r="106" spans="1:25" ht="15.75" thickBot="1"/>
    <row r="107" spans="1:25" ht="30">
      <c r="B107" s="681" t="s">
        <v>397</v>
      </c>
      <c r="C107" s="2079"/>
      <c r="D107" s="549">
        <f>IF(G108=0,11.1,SUM(I37:I71)/G108)</f>
        <v>11.1</v>
      </c>
      <c r="F107" s="687" t="s">
        <v>402</v>
      </c>
      <c r="G107" s="688" t="s">
        <v>403</v>
      </c>
    </row>
    <row r="108" spans="1:25" ht="15.75" thickBot="1">
      <c r="B108" s="682" t="s">
        <v>398</v>
      </c>
      <c r="C108" s="2080"/>
      <c r="D108" s="550">
        <f>D107/0.875</f>
        <v>12.685714285714285</v>
      </c>
      <c r="F108" s="679">
        <f>SUM('Prescriptive Path'!H52:H54,'Prescriptive Path'!H62:H63)+SUM('Prescriptive Path'!H64/1000000,'Prescriptive Path'!H68:H83,'Prescriptive Path'!H57:H61)*12000/1000000</f>
        <v>0</v>
      </c>
      <c r="G108" s="680">
        <f>SUMIF('Prescriptive Path'!H43:H51,"&gt;0",'Prescriptive Path'!H43:H51)*12000/1000000+SUMIF('Prescriptive Path'!H55:H61,"&gt;0",'Prescriptive Path'!H55:H61)*12000/1000000+IF('Prescriptive Path'!H65&gt;0,'Prescriptive Path'!H65/1000000)+SUMIF('Prescriptive Path'!H66:H83,"&gt;0",'Prescriptive Path'!H66:H83)*12000/1000000</f>
        <v>0</v>
      </c>
    </row>
    <row r="109" spans="1:25" ht="15.75" thickBot="1">
      <c r="B109" s="683" t="s">
        <v>399</v>
      </c>
      <c r="C109" s="2081"/>
      <c r="D109" s="551">
        <f>IF(F108=0,0.78,SUM(J45:J71)/F108)</f>
        <v>0.78</v>
      </c>
    </row>
  </sheetData>
  <mergeCells count="279">
    <mergeCell ref="K2:O2"/>
    <mergeCell ref="K3:O3"/>
    <mergeCell ref="P30:Q30"/>
    <mergeCell ref="P31:Q31"/>
    <mergeCell ref="P32:Q32"/>
    <mergeCell ref="A17:A20"/>
    <mergeCell ref="K1:O1"/>
    <mergeCell ref="P1:T1"/>
    <mergeCell ref="A7:A12"/>
    <mergeCell ref="A14:A16"/>
    <mergeCell ref="D1:I1"/>
    <mergeCell ref="D7:I7"/>
    <mergeCell ref="K7:O7"/>
    <mergeCell ref="P7:T7"/>
    <mergeCell ref="A2:A6"/>
    <mergeCell ref="D2:I2"/>
    <mergeCell ref="D3:I3"/>
    <mergeCell ref="P2:T2"/>
    <mergeCell ref="P3:T3"/>
    <mergeCell ref="P4:T4"/>
    <mergeCell ref="P5:T5"/>
    <mergeCell ref="D4:I4"/>
    <mergeCell ref="D5:I5"/>
    <mergeCell ref="D6:I6"/>
    <mergeCell ref="A26:A27"/>
    <mergeCell ref="K26:O26"/>
    <mergeCell ref="P26:T26"/>
    <mergeCell ref="F28:G28"/>
    <mergeCell ref="D28:E28"/>
    <mergeCell ref="A21:A22"/>
    <mergeCell ref="K22:O22"/>
    <mergeCell ref="P22:T22"/>
    <mergeCell ref="A23:A25"/>
    <mergeCell ref="D21:E21"/>
    <mergeCell ref="D23:E23"/>
    <mergeCell ref="D24:E24"/>
    <mergeCell ref="D25:E25"/>
    <mergeCell ref="F21:G21"/>
    <mergeCell ref="F23:G23"/>
    <mergeCell ref="F24:G24"/>
    <mergeCell ref="F25:G25"/>
    <mergeCell ref="M21:N21"/>
    <mergeCell ref="M23:N23"/>
    <mergeCell ref="M24:N24"/>
    <mergeCell ref="K4:O4"/>
    <mergeCell ref="K5:O5"/>
    <mergeCell ref="K6:O6"/>
    <mergeCell ref="K8:O8"/>
    <mergeCell ref="K9:O9"/>
    <mergeCell ref="K10:O10"/>
    <mergeCell ref="K11:O11"/>
    <mergeCell ref="K12:O12"/>
    <mergeCell ref="P6:T6"/>
    <mergeCell ref="D8:I8"/>
    <mergeCell ref="D9:I9"/>
    <mergeCell ref="D10:I10"/>
    <mergeCell ref="D11:I11"/>
    <mergeCell ref="P8:T8"/>
    <mergeCell ref="P9:T9"/>
    <mergeCell ref="P10:T10"/>
    <mergeCell ref="P11:T11"/>
    <mergeCell ref="F18:G18"/>
    <mergeCell ref="R13:S13"/>
    <mergeCell ref="R14:S14"/>
    <mergeCell ref="R15:S15"/>
    <mergeCell ref="R16:S16"/>
    <mergeCell ref="R17:S17"/>
    <mergeCell ref="R18:S18"/>
    <mergeCell ref="F19:G19"/>
    <mergeCell ref="F20:G20"/>
    <mergeCell ref="D16:E16"/>
    <mergeCell ref="D17:E17"/>
    <mergeCell ref="D18:E18"/>
    <mergeCell ref="D19:E19"/>
    <mergeCell ref="D20:E20"/>
    <mergeCell ref="P12:T12"/>
    <mergeCell ref="D13:E13"/>
    <mergeCell ref="F13:G13"/>
    <mergeCell ref="D14:E14"/>
    <mergeCell ref="D15:E15"/>
    <mergeCell ref="F14:G14"/>
    <mergeCell ref="F15:G15"/>
    <mergeCell ref="M13:N13"/>
    <mergeCell ref="M14:N14"/>
    <mergeCell ref="M15:N15"/>
    <mergeCell ref="P13:Q13"/>
    <mergeCell ref="P14:Q14"/>
    <mergeCell ref="P15:Q15"/>
    <mergeCell ref="D12:I12"/>
    <mergeCell ref="P16:Q16"/>
    <mergeCell ref="P17:Q17"/>
    <mergeCell ref="P18:Q18"/>
    <mergeCell ref="P19:Q19"/>
    <mergeCell ref="P20:Q20"/>
    <mergeCell ref="M25:N25"/>
    <mergeCell ref="M28:N28"/>
    <mergeCell ref="M29:N29"/>
    <mergeCell ref="K28:L28"/>
    <mergeCell ref="K29:L29"/>
    <mergeCell ref="M16:N16"/>
    <mergeCell ref="M17:N17"/>
    <mergeCell ref="M18:N18"/>
    <mergeCell ref="M19:N19"/>
    <mergeCell ref="M20:N20"/>
    <mergeCell ref="K16:L16"/>
    <mergeCell ref="K17:L17"/>
    <mergeCell ref="K18:L18"/>
    <mergeCell ref="K19:L19"/>
    <mergeCell ref="K20:L20"/>
    <mergeCell ref="K21:L21"/>
    <mergeCell ref="K23:L23"/>
    <mergeCell ref="K24:L24"/>
    <mergeCell ref="K25:L25"/>
    <mergeCell ref="K27:O27"/>
    <mergeCell ref="P27:T27"/>
    <mergeCell ref="R19:S19"/>
    <mergeCell ref="R20:S20"/>
    <mergeCell ref="R21:S21"/>
    <mergeCell ref="R28:S28"/>
    <mergeCell ref="R29:S29"/>
    <mergeCell ref="P28:Q28"/>
    <mergeCell ref="P29:Q29"/>
    <mergeCell ref="D30:E30"/>
    <mergeCell ref="H30:I30"/>
    <mergeCell ref="M30:N30"/>
    <mergeCell ref="R30:S30"/>
    <mergeCell ref="P21:Q21"/>
    <mergeCell ref="P23:Q23"/>
    <mergeCell ref="P24:Q24"/>
    <mergeCell ref="P25:Q25"/>
    <mergeCell ref="R23:S23"/>
    <mergeCell ref="R24:S24"/>
    <mergeCell ref="R25:S25"/>
    <mergeCell ref="D27:I27"/>
    <mergeCell ref="D29:E29"/>
    <mergeCell ref="F29:G29"/>
    <mergeCell ref="D22:I22"/>
    <mergeCell ref="D26:I26"/>
    <mergeCell ref="H31:I31"/>
    <mergeCell ref="H32:I32"/>
    <mergeCell ref="H33:I33"/>
    <mergeCell ref="H34:I34"/>
    <mergeCell ref="K30:L30"/>
    <mergeCell ref="K31:L31"/>
    <mergeCell ref="K32:L32"/>
    <mergeCell ref="K33:L33"/>
    <mergeCell ref="K34:L34"/>
    <mergeCell ref="R31:S31"/>
    <mergeCell ref="R32:S32"/>
    <mergeCell ref="R33:S33"/>
    <mergeCell ref="R34:S34"/>
    <mergeCell ref="P35:Q35"/>
    <mergeCell ref="R35:S35"/>
    <mergeCell ref="M31:N31"/>
    <mergeCell ref="M32:N32"/>
    <mergeCell ref="M33:N33"/>
    <mergeCell ref="M34:N34"/>
    <mergeCell ref="P33:Q33"/>
    <mergeCell ref="P34:Q34"/>
    <mergeCell ref="A1:B1"/>
    <mergeCell ref="A36:A37"/>
    <mergeCell ref="D77:F77"/>
    <mergeCell ref="D78:F78"/>
    <mergeCell ref="D79:F79"/>
    <mergeCell ref="M35:N35"/>
    <mergeCell ref="K35:L35"/>
    <mergeCell ref="F35:G35"/>
    <mergeCell ref="D35:E35"/>
    <mergeCell ref="H35:I35"/>
    <mergeCell ref="D31:E31"/>
    <mergeCell ref="D32:E32"/>
    <mergeCell ref="D33:E33"/>
    <mergeCell ref="D34:E34"/>
    <mergeCell ref="F30:G30"/>
    <mergeCell ref="F31:G31"/>
    <mergeCell ref="F32:G32"/>
    <mergeCell ref="F33:G33"/>
    <mergeCell ref="F34:G34"/>
    <mergeCell ref="K13:L13"/>
    <mergeCell ref="K14:L14"/>
    <mergeCell ref="K15:L15"/>
    <mergeCell ref="F16:G16"/>
    <mergeCell ref="F17:G17"/>
    <mergeCell ref="K77:M77"/>
    <mergeCell ref="K78:M78"/>
    <mergeCell ref="K79:M79"/>
    <mergeCell ref="K80:M80"/>
    <mergeCell ref="K81:M81"/>
    <mergeCell ref="D85:F85"/>
    <mergeCell ref="G77:H77"/>
    <mergeCell ref="G78:H78"/>
    <mergeCell ref="G79:H79"/>
    <mergeCell ref="G80:H80"/>
    <mergeCell ref="G81:H81"/>
    <mergeCell ref="G82:H82"/>
    <mergeCell ref="G83:H83"/>
    <mergeCell ref="G84:H84"/>
    <mergeCell ref="G85:H85"/>
    <mergeCell ref="D80:F80"/>
    <mergeCell ref="D81:F81"/>
    <mergeCell ref="D82:F82"/>
    <mergeCell ref="D83:F83"/>
    <mergeCell ref="D84:F84"/>
    <mergeCell ref="K82:M82"/>
    <mergeCell ref="K83:M83"/>
    <mergeCell ref="K84:M84"/>
    <mergeCell ref="K85:M85"/>
    <mergeCell ref="N77:O77"/>
    <mergeCell ref="N78:O78"/>
    <mergeCell ref="N79:O79"/>
    <mergeCell ref="N80:O80"/>
    <mergeCell ref="N81:O81"/>
    <mergeCell ref="N82:O82"/>
    <mergeCell ref="N83:O83"/>
    <mergeCell ref="N84:O84"/>
    <mergeCell ref="N85:O85"/>
    <mergeCell ref="S82:T82"/>
    <mergeCell ref="S83:T83"/>
    <mergeCell ref="S84:T84"/>
    <mergeCell ref="S85:T85"/>
    <mergeCell ref="S86:T86"/>
    <mergeCell ref="P82:R82"/>
    <mergeCell ref="P83:R83"/>
    <mergeCell ref="P84:R84"/>
    <mergeCell ref="P85:R85"/>
    <mergeCell ref="P86:R86"/>
    <mergeCell ref="S77:T77"/>
    <mergeCell ref="S78:T78"/>
    <mergeCell ref="S79:T79"/>
    <mergeCell ref="S80:T80"/>
    <mergeCell ref="S81:T81"/>
    <mergeCell ref="P77:R77"/>
    <mergeCell ref="P78:R78"/>
    <mergeCell ref="P79:R79"/>
    <mergeCell ref="P80:R80"/>
    <mergeCell ref="P81:R81"/>
    <mergeCell ref="G86:H86"/>
    <mergeCell ref="N86:O86"/>
    <mergeCell ref="G89:H89"/>
    <mergeCell ref="K89:M89"/>
    <mergeCell ref="N89:O89"/>
    <mergeCell ref="P89:R89"/>
    <mergeCell ref="P87:R87"/>
    <mergeCell ref="S87:T87"/>
    <mergeCell ref="D88:F88"/>
    <mergeCell ref="G88:H88"/>
    <mergeCell ref="K88:M88"/>
    <mergeCell ref="N88:O88"/>
    <mergeCell ref="P88:R88"/>
    <mergeCell ref="S88:T88"/>
    <mergeCell ref="D87:F87"/>
    <mergeCell ref="G87:H87"/>
    <mergeCell ref="K87:M87"/>
    <mergeCell ref="N87:O87"/>
    <mergeCell ref="K86:M86"/>
    <mergeCell ref="A93:A99"/>
    <mergeCell ref="A87:A92"/>
    <mergeCell ref="A77:A86"/>
    <mergeCell ref="S91:T91"/>
    <mergeCell ref="D92:F92"/>
    <mergeCell ref="G92:H92"/>
    <mergeCell ref="K92:M92"/>
    <mergeCell ref="N92:O92"/>
    <mergeCell ref="P92:R92"/>
    <mergeCell ref="S92:T92"/>
    <mergeCell ref="D91:F91"/>
    <mergeCell ref="G91:H91"/>
    <mergeCell ref="K91:M91"/>
    <mergeCell ref="N91:O91"/>
    <mergeCell ref="P91:R91"/>
    <mergeCell ref="S89:T89"/>
    <mergeCell ref="D90:F90"/>
    <mergeCell ref="G90:H90"/>
    <mergeCell ref="K90:M90"/>
    <mergeCell ref="N90:O90"/>
    <mergeCell ref="P90:R90"/>
    <mergeCell ref="S90:T90"/>
    <mergeCell ref="D89:F89"/>
    <mergeCell ref="D86:F86"/>
  </mergeCells>
  <hyperlinks>
    <hyperlink ref="C37:C38" r:id="rId1" display="https://www.energystar.gov/index.cfm?c=roomac.pr_crit_room_ac"/>
  </hyperlinks>
  <pageMargins left="0.7" right="0.7" top="0.75" bottom="0.75" header="0.3" footer="0.3"/>
  <pageSetup orientation="portrait" horizontalDpi="200" verticalDpi="200"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0" tint="-0.14999847407452621"/>
  </sheetPr>
  <dimension ref="A1:BN86"/>
  <sheetViews>
    <sheetView zoomScaleNormal="100" workbookViewId="0">
      <pane xSplit="1" ySplit="3" topLeftCell="AT4" activePane="bottomRight" state="frozen"/>
      <selection pane="topRight" activeCell="B1" sqref="B1"/>
      <selection pane="bottomLeft" activeCell="A3" sqref="A3"/>
      <selection pane="bottomRight" activeCell="AT4" sqref="AT4"/>
    </sheetView>
  </sheetViews>
  <sheetFormatPr defaultRowHeight="12.75" customHeight="1"/>
  <cols>
    <col min="1" max="1" width="13.42578125" customWidth="1"/>
    <col min="2" max="2" width="16.85546875" customWidth="1"/>
    <col min="3" max="3" width="16" customWidth="1"/>
    <col min="4" max="4" width="13.140625" customWidth="1"/>
    <col min="5" max="5" width="14.42578125" customWidth="1"/>
    <col min="6" max="6" width="12" customWidth="1"/>
    <col min="7" max="7" width="12.140625" customWidth="1"/>
    <col min="8" max="8" width="12.85546875" customWidth="1"/>
    <col min="9" max="9" width="9.140625" customWidth="1"/>
    <col min="10" max="10" width="16.42578125" customWidth="1"/>
    <col min="11" max="11" width="14.42578125" customWidth="1"/>
    <col min="12" max="12" width="12.28515625" customWidth="1"/>
    <col min="13" max="13" width="12.42578125" customWidth="1"/>
    <col min="14" max="14" width="9.140625" customWidth="1"/>
    <col min="15" max="15" width="9.5703125" style="39" customWidth="1"/>
    <col min="16" max="16" width="28.5703125" style="39" customWidth="1"/>
    <col min="17" max="17" width="12.7109375" customWidth="1"/>
    <col min="18" max="18" width="15.42578125" customWidth="1"/>
    <col min="19" max="43" width="15.42578125" style="39" customWidth="1"/>
    <col min="44" max="45" width="15.42578125" style="235" customWidth="1"/>
    <col min="46" max="46" width="15.42578125" style="241" customWidth="1"/>
    <col min="47" max="47" width="14" bestFit="1" customWidth="1"/>
    <col min="48" max="49" width="14" style="241" customWidth="1"/>
    <col min="50" max="50" width="14" style="39" customWidth="1"/>
    <col min="52" max="52" width="12.85546875" bestFit="1" customWidth="1"/>
    <col min="54" max="54" width="12" bestFit="1" customWidth="1"/>
    <col min="55" max="55" width="12.28515625" bestFit="1" customWidth="1"/>
  </cols>
  <sheetData>
    <row r="1" spans="1:66" s="235" customFormat="1" ht="12.75" customHeight="1">
      <c r="A1" s="65">
        <v>1</v>
      </c>
      <c r="B1" s="65">
        <f t="shared" ref="B1:AS1" si="0">A1+1</f>
        <v>2</v>
      </c>
      <c r="C1" s="65">
        <f t="shared" si="0"/>
        <v>3</v>
      </c>
      <c r="D1" s="65">
        <f t="shared" si="0"/>
        <v>4</v>
      </c>
      <c r="E1" s="65">
        <f t="shared" si="0"/>
        <v>5</v>
      </c>
      <c r="F1" s="65">
        <f t="shared" si="0"/>
        <v>6</v>
      </c>
      <c r="G1" s="65">
        <f t="shared" si="0"/>
        <v>7</v>
      </c>
      <c r="H1" s="65">
        <f t="shared" si="0"/>
        <v>8</v>
      </c>
      <c r="I1" s="65">
        <f t="shared" si="0"/>
        <v>9</v>
      </c>
      <c r="J1" s="65">
        <f t="shared" si="0"/>
        <v>10</v>
      </c>
      <c r="K1" s="65">
        <f t="shared" si="0"/>
        <v>11</v>
      </c>
      <c r="L1" s="65">
        <f t="shared" si="0"/>
        <v>12</v>
      </c>
      <c r="M1" s="65">
        <f t="shared" si="0"/>
        <v>13</v>
      </c>
      <c r="N1" s="65">
        <f t="shared" si="0"/>
        <v>14</v>
      </c>
      <c r="O1" s="65">
        <f t="shared" si="0"/>
        <v>15</v>
      </c>
      <c r="P1" s="65">
        <f t="shared" si="0"/>
        <v>16</v>
      </c>
      <c r="Q1" s="65">
        <f t="shared" si="0"/>
        <v>17</v>
      </c>
      <c r="R1" s="65">
        <f t="shared" si="0"/>
        <v>18</v>
      </c>
      <c r="S1" s="65">
        <f t="shared" si="0"/>
        <v>19</v>
      </c>
      <c r="T1" s="65">
        <f t="shared" si="0"/>
        <v>20</v>
      </c>
      <c r="U1" s="65">
        <f t="shared" si="0"/>
        <v>21</v>
      </c>
      <c r="V1" s="65">
        <f t="shared" si="0"/>
        <v>22</v>
      </c>
      <c r="W1" s="65">
        <f t="shared" si="0"/>
        <v>23</v>
      </c>
      <c r="X1" s="65">
        <f t="shared" si="0"/>
        <v>24</v>
      </c>
      <c r="Y1" s="65">
        <f t="shared" si="0"/>
        <v>25</v>
      </c>
      <c r="Z1" s="65">
        <f t="shared" si="0"/>
        <v>26</v>
      </c>
      <c r="AA1" s="65">
        <f t="shared" si="0"/>
        <v>27</v>
      </c>
      <c r="AB1" s="65">
        <f t="shared" si="0"/>
        <v>28</v>
      </c>
      <c r="AC1" s="65">
        <f t="shared" si="0"/>
        <v>29</v>
      </c>
      <c r="AD1" s="65">
        <f t="shared" si="0"/>
        <v>30</v>
      </c>
      <c r="AE1" s="65">
        <f t="shared" si="0"/>
        <v>31</v>
      </c>
      <c r="AF1" s="65">
        <f t="shared" si="0"/>
        <v>32</v>
      </c>
      <c r="AG1" s="65">
        <f t="shared" si="0"/>
        <v>33</v>
      </c>
      <c r="AH1" s="65">
        <f t="shared" si="0"/>
        <v>34</v>
      </c>
      <c r="AI1" s="65">
        <f t="shared" si="0"/>
        <v>35</v>
      </c>
      <c r="AJ1" s="65">
        <f t="shared" si="0"/>
        <v>36</v>
      </c>
      <c r="AK1" s="65">
        <f t="shared" si="0"/>
        <v>37</v>
      </c>
      <c r="AL1" s="65">
        <f t="shared" si="0"/>
        <v>38</v>
      </c>
      <c r="AM1" s="65">
        <f t="shared" si="0"/>
        <v>39</v>
      </c>
      <c r="AN1" s="65">
        <f t="shared" si="0"/>
        <v>40</v>
      </c>
      <c r="AO1" s="65">
        <f t="shared" si="0"/>
        <v>41</v>
      </c>
      <c r="AP1" s="65">
        <f t="shared" si="0"/>
        <v>42</v>
      </c>
      <c r="AQ1" s="65">
        <f t="shared" si="0"/>
        <v>43</v>
      </c>
      <c r="AR1" s="65">
        <f t="shared" si="0"/>
        <v>44</v>
      </c>
      <c r="AS1" s="65">
        <f t="shared" si="0"/>
        <v>45</v>
      </c>
      <c r="AT1" s="65">
        <v>46</v>
      </c>
      <c r="AU1" s="65">
        <v>47</v>
      </c>
      <c r="AV1" s="65">
        <v>48</v>
      </c>
      <c r="AW1" s="65">
        <v>49</v>
      </c>
    </row>
    <row r="2" spans="1:66" ht="12.75" customHeight="1">
      <c r="A2" s="517" t="s">
        <v>165</v>
      </c>
      <c r="B2" s="2515" t="s">
        <v>166</v>
      </c>
      <c r="C2" s="2515" t="s">
        <v>167</v>
      </c>
      <c r="D2" s="2515" t="s">
        <v>168</v>
      </c>
      <c r="E2" s="2515" t="s">
        <v>169</v>
      </c>
      <c r="F2" s="2513" t="s">
        <v>170</v>
      </c>
      <c r="G2" s="2513"/>
      <c r="H2" s="2512" t="s">
        <v>205</v>
      </c>
      <c r="I2" s="2512" t="s">
        <v>207</v>
      </c>
      <c r="J2" s="2512" t="s">
        <v>209</v>
      </c>
      <c r="K2" s="2515" t="s">
        <v>219</v>
      </c>
      <c r="L2" s="2515" t="s">
        <v>230</v>
      </c>
      <c r="M2" s="2515" t="s">
        <v>231</v>
      </c>
      <c r="N2" s="2515" t="s">
        <v>232</v>
      </c>
      <c r="O2" s="2515" t="s">
        <v>386</v>
      </c>
      <c r="P2" s="2515" t="s">
        <v>387</v>
      </c>
      <c r="Q2" s="2514" t="s">
        <v>255</v>
      </c>
      <c r="R2" s="2514"/>
      <c r="S2" s="2514"/>
      <c r="T2" s="2514" t="s">
        <v>101</v>
      </c>
      <c r="U2" s="2514"/>
      <c r="V2" s="2514"/>
      <c r="W2" s="2514" t="s">
        <v>415</v>
      </c>
      <c r="X2" s="2514"/>
      <c r="Y2" s="2514"/>
      <c r="Z2" s="2514" t="s">
        <v>53</v>
      </c>
      <c r="AA2" s="2514"/>
      <c r="AB2" s="2514"/>
      <c r="AC2" s="2514" t="s">
        <v>99</v>
      </c>
      <c r="AD2" s="2514"/>
      <c r="AE2" s="2514"/>
      <c r="AF2" s="2514" t="s">
        <v>414</v>
      </c>
      <c r="AG2" s="2514"/>
      <c r="AH2" s="2514"/>
      <c r="AI2" s="2514" t="s">
        <v>252</v>
      </c>
      <c r="AJ2" s="2514"/>
      <c r="AK2" s="2514"/>
      <c r="AL2" s="2513" t="s">
        <v>277</v>
      </c>
      <c r="AM2" s="2513"/>
      <c r="AN2" s="2513"/>
      <c r="AO2" s="2513" t="s">
        <v>422</v>
      </c>
      <c r="AP2" s="2513"/>
      <c r="AQ2" s="2513"/>
      <c r="AR2" s="2515" t="s">
        <v>432</v>
      </c>
      <c r="AS2" s="2515" t="s">
        <v>433</v>
      </c>
      <c r="AT2" s="2515" t="s">
        <v>447</v>
      </c>
      <c r="AU2" s="2510" t="s">
        <v>404</v>
      </c>
      <c r="AV2" s="2129" t="s">
        <v>2513</v>
      </c>
      <c r="AW2" s="2129" t="s">
        <v>2513</v>
      </c>
      <c r="BJ2" s="39"/>
    </row>
    <row r="3" spans="1:66" ht="12.75" customHeight="1">
      <c r="A3" s="519"/>
      <c r="B3" s="2516"/>
      <c r="C3" s="2516"/>
      <c r="D3" s="2516"/>
      <c r="E3" s="2516"/>
      <c r="F3" s="520" t="s">
        <v>171</v>
      </c>
      <c r="G3" s="520" t="s">
        <v>172</v>
      </c>
      <c r="H3" s="2513"/>
      <c r="I3" s="2513"/>
      <c r="J3" s="2513"/>
      <c r="K3" s="2516"/>
      <c r="L3" s="2514"/>
      <c r="M3" s="2516"/>
      <c r="N3" s="2514"/>
      <c r="O3" s="2516"/>
      <c r="P3" s="2516"/>
      <c r="Q3" s="518" t="s">
        <v>256</v>
      </c>
      <c r="R3" s="518" t="s">
        <v>257</v>
      </c>
      <c r="S3" s="518" t="s">
        <v>411</v>
      </c>
      <c r="T3" s="520" t="s">
        <v>256</v>
      </c>
      <c r="U3" s="520" t="s">
        <v>411</v>
      </c>
      <c r="V3" s="520" t="s">
        <v>413</v>
      </c>
      <c r="W3" s="520" t="s">
        <v>256</v>
      </c>
      <c r="X3" s="520" t="s">
        <v>411</v>
      </c>
      <c r="Y3" s="520" t="s">
        <v>413</v>
      </c>
      <c r="Z3" s="520" t="s">
        <v>256</v>
      </c>
      <c r="AA3" s="520" t="s">
        <v>411</v>
      </c>
      <c r="AB3" s="520" t="s">
        <v>413</v>
      </c>
      <c r="AC3" s="520" t="s">
        <v>256</v>
      </c>
      <c r="AD3" s="520" t="s">
        <v>411</v>
      </c>
      <c r="AE3" s="520" t="s">
        <v>413</v>
      </c>
      <c r="AF3" s="520" t="s">
        <v>256</v>
      </c>
      <c r="AG3" s="520" t="s">
        <v>411</v>
      </c>
      <c r="AH3" s="520" t="s">
        <v>413</v>
      </c>
      <c r="AI3" s="520" t="s">
        <v>256</v>
      </c>
      <c r="AJ3" s="520" t="s">
        <v>411</v>
      </c>
      <c r="AK3" s="520" t="s">
        <v>413</v>
      </c>
      <c r="AL3" s="520" t="s">
        <v>256</v>
      </c>
      <c r="AM3" s="520" t="s">
        <v>411</v>
      </c>
      <c r="AN3" s="520" t="s">
        <v>413</v>
      </c>
      <c r="AO3" s="520" t="s">
        <v>419</v>
      </c>
      <c r="AP3" s="520" t="s">
        <v>420</v>
      </c>
      <c r="AQ3" s="520" t="s">
        <v>421</v>
      </c>
      <c r="AR3" s="2516"/>
      <c r="AS3" s="2516"/>
      <c r="AT3" s="2516"/>
      <c r="AU3" s="2511"/>
      <c r="AV3" s="2129" t="s">
        <v>2512</v>
      </c>
      <c r="AW3" s="2129" t="s">
        <v>2514</v>
      </c>
      <c r="AX3" s="222"/>
      <c r="AY3" t="s">
        <v>242</v>
      </c>
      <c r="AZ3" s="28" t="s">
        <v>251</v>
      </c>
      <c r="BB3" s="39" t="s">
        <v>275</v>
      </c>
      <c r="BG3" t="s">
        <v>497</v>
      </c>
      <c r="BL3" t="s">
        <v>1907</v>
      </c>
      <c r="BM3" t="s">
        <v>1915</v>
      </c>
      <c r="BN3" t="s">
        <v>1917</v>
      </c>
    </row>
    <row r="4" spans="1:66" s="241" customFormat="1" ht="12.75" customHeight="1">
      <c r="A4" s="521" t="s">
        <v>104</v>
      </c>
      <c r="B4" s="337">
        <v>-7</v>
      </c>
      <c r="C4" s="337">
        <v>86</v>
      </c>
      <c r="D4" s="337">
        <v>70</v>
      </c>
      <c r="E4" s="337">
        <v>6894</v>
      </c>
      <c r="F4" s="337">
        <v>5</v>
      </c>
      <c r="G4" s="337" t="s">
        <v>173</v>
      </c>
      <c r="H4" s="337">
        <v>181</v>
      </c>
      <c r="I4" s="337">
        <v>786</v>
      </c>
      <c r="J4" s="337">
        <v>54.2</v>
      </c>
      <c r="K4" s="337">
        <v>507</v>
      </c>
      <c r="L4" s="337">
        <v>0.113</v>
      </c>
      <c r="M4" s="337">
        <v>0.08</v>
      </c>
      <c r="N4" s="337">
        <v>-2.5000000000000001E-2</v>
      </c>
      <c r="O4" s="337"/>
      <c r="P4" s="337">
        <v>9.6999999999999993</v>
      </c>
      <c r="Q4" s="337">
        <v>22</v>
      </c>
      <c r="R4" s="337">
        <v>16</v>
      </c>
      <c r="S4" s="337">
        <v>9.9000000000000005E-2</v>
      </c>
      <c r="T4" s="337">
        <v>6.3</v>
      </c>
      <c r="U4" s="337">
        <v>1.7999999999999999E-2</v>
      </c>
      <c r="V4" s="337">
        <v>39.200000000000003</v>
      </c>
      <c r="W4" s="337">
        <v>6.3</v>
      </c>
      <c r="X4" s="337">
        <v>1.7999999999999999E-2</v>
      </c>
      <c r="Y4" s="337">
        <v>39.200000000000003</v>
      </c>
      <c r="Z4" s="337">
        <v>1.8</v>
      </c>
      <c r="AA4" s="337">
        <v>1.7999999999999999E-2</v>
      </c>
      <c r="AB4" s="337">
        <v>14.1</v>
      </c>
      <c r="AC4" s="337">
        <v>4.3</v>
      </c>
      <c r="AD4" s="337">
        <v>5.0000000000000001E-3</v>
      </c>
      <c r="AE4" s="337">
        <v>15.7</v>
      </c>
      <c r="AF4" s="337">
        <f>(2.1+7.9)/2</f>
        <v>5</v>
      </c>
      <c r="AG4" s="337">
        <f>0.004</f>
        <v>4.0000000000000001E-3</v>
      </c>
      <c r="AH4" s="337">
        <f>(8.1+29.9)/2</f>
        <v>19</v>
      </c>
      <c r="AI4" s="337">
        <v>12.2</v>
      </c>
      <c r="AJ4" s="337">
        <v>1.0999999999999999E-2</v>
      </c>
      <c r="AK4" s="337">
        <v>45.6</v>
      </c>
      <c r="AL4" s="337">
        <f>(9.6+3.8)/2</f>
        <v>6.6999999999999993</v>
      </c>
      <c r="AM4" s="337">
        <f>0.065</f>
        <v>6.5000000000000002E-2</v>
      </c>
      <c r="AN4" s="337">
        <f>(14.7+36.5)/2</f>
        <v>25.6</v>
      </c>
      <c r="AO4" s="337">
        <f>2*6.4</f>
        <v>12.8</v>
      </c>
      <c r="AP4" s="337">
        <f>2*0.003</f>
        <v>6.0000000000000001E-3</v>
      </c>
      <c r="AQ4" s="337">
        <f>2*11.3</f>
        <v>22.6</v>
      </c>
      <c r="AR4" s="337">
        <v>1934</v>
      </c>
      <c r="AS4" s="337">
        <v>6.0999999999999999E-2</v>
      </c>
      <c r="AT4" s="337">
        <v>1</v>
      </c>
      <c r="AU4" s="236" t="s">
        <v>405</v>
      </c>
      <c r="AV4" s="2130">
        <f>IF(F4=4,0.15,IF(F4=5,0.06,0.03))</f>
        <v>0.06</v>
      </c>
      <c r="AW4" s="2130">
        <f>IF(F4=4,0.85,IF(F4=5,0.94,0.97))</f>
        <v>0.94</v>
      </c>
      <c r="AY4" s="27" t="s">
        <v>237</v>
      </c>
      <c r="AZ4" s="27">
        <v>1</v>
      </c>
      <c r="BB4" s="241" t="s">
        <v>238</v>
      </c>
      <c r="BC4" s="241">
        <v>2</v>
      </c>
      <c r="BE4" s="241" t="s">
        <v>363</v>
      </c>
      <c r="BG4" s="241" t="s">
        <v>494</v>
      </c>
      <c r="BL4" s="241" t="s">
        <v>1916</v>
      </c>
      <c r="BM4" s="241" t="s">
        <v>1916</v>
      </c>
      <c r="BN4" s="241" t="s">
        <v>1918</v>
      </c>
    </row>
    <row r="5" spans="1:66" ht="12.75" customHeight="1">
      <c r="A5" s="522" t="s">
        <v>105</v>
      </c>
      <c r="B5" s="337">
        <v>1</v>
      </c>
      <c r="C5" s="337">
        <v>86</v>
      </c>
      <c r="D5" s="337">
        <v>71</v>
      </c>
      <c r="E5" s="337">
        <v>7484</v>
      </c>
      <c r="F5" s="337">
        <v>6</v>
      </c>
      <c r="G5" s="337">
        <v>15</v>
      </c>
      <c r="H5" s="337">
        <f t="shared" ref="H5:J6" si="1">IF($AU5="Albany",H$4,IF($AU5="Binghamton",H$7,IF($AU5="Buffalo",H$18,IF($AU5="Massena",H$48,IF($AU5="NYC",H$34,IF($AU5="Poughkeepsie",H$17,H$37))))))</f>
        <v>120</v>
      </c>
      <c r="I5" s="337">
        <f t="shared" si="1"/>
        <v>1006</v>
      </c>
      <c r="J5" s="337">
        <f t="shared" si="1"/>
        <v>52.9</v>
      </c>
      <c r="K5" s="337">
        <v>438</v>
      </c>
      <c r="L5" s="337">
        <f t="shared" ref="L5:U6" si="2">IF($AU5="Albany",L$4,IF($AU5="Binghamton",L$7,IF($AU5="Buffalo",L$18,IF($AU5="Massena",L$48,IF($AU5="NYC",L$34,IF($AU5="Poughkeepsie",L$17,L$37))))))</f>
        <v>7.2999999999999995E-2</v>
      </c>
      <c r="M5" s="337">
        <f t="shared" si="2"/>
        <v>6.8000000000000005E-2</v>
      </c>
      <c r="N5" s="337">
        <f t="shared" si="2"/>
        <v>-2.7E-2</v>
      </c>
      <c r="O5" s="337">
        <f t="shared" si="2"/>
        <v>0</v>
      </c>
      <c r="P5" s="337">
        <f t="shared" si="2"/>
        <v>9.6</v>
      </c>
      <c r="Q5" s="337">
        <f t="shared" si="2"/>
        <v>11</v>
      </c>
      <c r="R5" s="337">
        <f t="shared" si="2"/>
        <v>17</v>
      </c>
      <c r="S5" s="337">
        <f t="shared" si="2"/>
        <v>8.5000000000000006E-2</v>
      </c>
      <c r="T5" s="337">
        <f t="shared" si="2"/>
        <v>6</v>
      </c>
      <c r="U5" s="337">
        <f t="shared" si="2"/>
        <v>2.5999999999999999E-2</v>
      </c>
      <c r="V5" s="337">
        <f t="shared" ref="V5:AE6" si="3">IF($AU5="Albany",V$4,IF($AU5="Binghamton",V$7,IF($AU5="Buffalo",V$18,IF($AU5="Massena",V$48,IF($AU5="NYC",V$34,IF($AU5="Poughkeepsie",V$17,V$37))))))</f>
        <v>42.7</v>
      </c>
      <c r="W5" s="337">
        <f t="shared" si="3"/>
        <v>6</v>
      </c>
      <c r="X5" s="337">
        <f t="shared" si="3"/>
        <v>2.5999999999999999E-2</v>
      </c>
      <c r="Y5" s="337">
        <f t="shared" si="3"/>
        <v>42.7</v>
      </c>
      <c r="Z5" s="337">
        <f t="shared" si="3"/>
        <v>1.8</v>
      </c>
      <c r="AA5" s="337">
        <f t="shared" si="3"/>
        <v>8.9999999999999993E-3</v>
      </c>
      <c r="AB5" s="337">
        <f t="shared" si="3"/>
        <v>14.9</v>
      </c>
      <c r="AC5" s="337">
        <f t="shared" si="3"/>
        <v>2.8</v>
      </c>
      <c r="AD5" s="337">
        <f t="shared" si="3"/>
        <v>0</v>
      </c>
      <c r="AE5" s="337">
        <f t="shared" si="3"/>
        <v>17.2</v>
      </c>
      <c r="AF5" s="337">
        <f t="shared" ref="AF5:AQ6" si="4">IF($AU5="Albany",AF$4,IF($AU5="Binghamton",AF$7,IF($AU5="Buffalo",AF$18,IF($AU5="Massena",AF$48,IF($AU5="NYC",AF$34,IF($AU5="Poughkeepsie",AF$17,AF$37))))))</f>
        <v>3.1</v>
      </c>
      <c r="AG5" s="337">
        <f t="shared" si="4"/>
        <v>1.5E-3</v>
      </c>
      <c r="AH5" s="337">
        <f t="shared" si="4"/>
        <v>20.650000000000002</v>
      </c>
      <c r="AI5" s="337">
        <f t="shared" si="4"/>
        <v>7.7</v>
      </c>
      <c r="AJ5" s="337">
        <f t="shared" si="4"/>
        <v>3.0000000000000001E-3</v>
      </c>
      <c r="AK5" s="337">
        <f t="shared" si="4"/>
        <v>49.9</v>
      </c>
      <c r="AL5" s="337">
        <f t="shared" si="4"/>
        <v>4.1500000000000004</v>
      </c>
      <c r="AM5" s="337">
        <f t="shared" si="4"/>
        <v>4.0000000000000001E-3</v>
      </c>
      <c r="AN5" s="337">
        <f t="shared" si="4"/>
        <v>27.85</v>
      </c>
      <c r="AO5" s="337">
        <f t="shared" si="4"/>
        <v>13.6</v>
      </c>
      <c r="AP5" s="337">
        <f t="shared" si="4"/>
        <v>6.0000000000000001E-3</v>
      </c>
      <c r="AQ5" s="337">
        <f t="shared" si="4"/>
        <v>24.2</v>
      </c>
      <c r="AR5" s="337">
        <v>1934</v>
      </c>
      <c r="AS5" s="337">
        <v>6.0999999999999999E-2</v>
      </c>
      <c r="AT5" s="337">
        <f>IF($AU5="Albany",AT$4,IF($AU5="Binghamton",AT$7,IF($AU5="Buffalo",AT$18,IF($AU5="Massena",AT$48,IF($AU5="NYC",AT$34,IF($AU5="Poughkeepsie",AT$17,AT$37))))))</f>
        <v>1.008</v>
      </c>
      <c r="AU5" s="236" t="s">
        <v>406</v>
      </c>
      <c r="AV5" s="2130">
        <f t="shared" ref="AV5:AV65" si="5">IF(F5=4,0.15,IF(F5=5,0.06,0.03))</f>
        <v>0.03</v>
      </c>
      <c r="AW5" s="2130">
        <f t="shared" ref="AW5:AW65" si="6">IF(F5=4,0.85,IF(F5=5,0.94,0.97))</f>
        <v>0.97</v>
      </c>
      <c r="AY5" s="27" t="s">
        <v>238</v>
      </c>
      <c r="AZ5" s="27">
        <v>2</v>
      </c>
      <c r="BB5" s="39" t="s">
        <v>240</v>
      </c>
      <c r="BC5">
        <v>5</v>
      </c>
      <c r="BE5" s="39" t="s">
        <v>362</v>
      </c>
      <c r="BG5" s="241" t="s">
        <v>495</v>
      </c>
      <c r="BL5" s="241" t="s">
        <v>1908</v>
      </c>
      <c r="BM5" s="241" t="s">
        <v>1908</v>
      </c>
      <c r="BN5" t="s">
        <v>1919</v>
      </c>
    </row>
    <row r="6" spans="1:66" ht="12.75" customHeight="1">
      <c r="A6" s="522" t="s">
        <v>106</v>
      </c>
      <c r="B6" s="337">
        <v>13</v>
      </c>
      <c r="C6" s="337">
        <v>89</v>
      </c>
      <c r="D6" s="337">
        <v>73</v>
      </c>
      <c r="E6" s="337">
        <v>4910</v>
      </c>
      <c r="F6" s="337">
        <v>4</v>
      </c>
      <c r="G6" s="337" t="s">
        <v>174</v>
      </c>
      <c r="H6" s="337">
        <f t="shared" si="1"/>
        <v>382</v>
      </c>
      <c r="I6" s="337">
        <f t="shared" si="1"/>
        <v>526</v>
      </c>
      <c r="J6" s="337">
        <f t="shared" si="1"/>
        <v>55</v>
      </c>
      <c r="K6" s="337">
        <v>1096</v>
      </c>
      <c r="L6" s="337">
        <f t="shared" si="2"/>
        <v>0.19400000000000001</v>
      </c>
      <c r="M6" s="337">
        <f t="shared" si="2"/>
        <v>0.10100000000000001</v>
      </c>
      <c r="N6" s="337">
        <f t="shared" si="2"/>
        <v>-2.1000000000000001E-2</v>
      </c>
      <c r="O6" s="337">
        <f t="shared" si="2"/>
        <v>0</v>
      </c>
      <c r="P6" s="337">
        <f t="shared" si="2"/>
        <v>10.7</v>
      </c>
      <c r="Q6" s="337">
        <f t="shared" si="2"/>
        <v>56</v>
      </c>
      <c r="R6" s="337">
        <f t="shared" si="2"/>
        <v>17</v>
      </c>
      <c r="S6" s="337">
        <f t="shared" si="2"/>
        <v>9.8000000000000004E-2</v>
      </c>
      <c r="T6" s="337">
        <f t="shared" si="2"/>
        <v>20.3</v>
      </c>
      <c r="U6" s="337">
        <f t="shared" si="2"/>
        <v>2.5999999999999999E-2</v>
      </c>
      <c r="V6" s="337">
        <f t="shared" si="3"/>
        <v>28.3</v>
      </c>
      <c r="W6" s="337">
        <f t="shared" si="3"/>
        <v>20.3</v>
      </c>
      <c r="X6" s="337">
        <f t="shared" si="3"/>
        <v>2.5999999999999999E-2</v>
      </c>
      <c r="Y6" s="337">
        <f t="shared" si="3"/>
        <v>28.3</v>
      </c>
      <c r="Z6" s="337">
        <f t="shared" si="3"/>
        <v>6.7</v>
      </c>
      <c r="AA6" s="337">
        <f t="shared" si="3"/>
        <v>8.9999999999999993E-3</v>
      </c>
      <c r="AB6" s="337">
        <f t="shared" si="3"/>
        <v>9.4</v>
      </c>
      <c r="AC6" s="337">
        <f t="shared" si="3"/>
        <v>11</v>
      </c>
      <c r="AD6" s="337">
        <f t="shared" si="3"/>
        <v>3.0000000000000001E-3</v>
      </c>
      <c r="AE6" s="337">
        <f t="shared" si="3"/>
        <v>10.7</v>
      </c>
      <c r="AF6" s="337">
        <f t="shared" si="4"/>
        <v>13.05</v>
      </c>
      <c r="AG6" s="337">
        <f t="shared" si="4"/>
        <v>2.5000000000000001E-3</v>
      </c>
      <c r="AH6" s="337">
        <f t="shared" si="4"/>
        <v>12.75</v>
      </c>
      <c r="AI6" s="337">
        <f t="shared" si="4"/>
        <v>31.7</v>
      </c>
      <c r="AJ6" s="337">
        <f t="shared" si="4"/>
        <v>8.0000000000000002E-3</v>
      </c>
      <c r="AK6" s="337">
        <f t="shared" si="4"/>
        <v>30.9</v>
      </c>
      <c r="AL6" s="337">
        <f t="shared" si="4"/>
        <v>17.600000000000001</v>
      </c>
      <c r="AM6" s="337">
        <f t="shared" si="4"/>
        <v>5.4999999999999997E-3</v>
      </c>
      <c r="AN6" s="337">
        <f t="shared" si="4"/>
        <v>17.350000000000001</v>
      </c>
      <c r="AO6" s="337">
        <f t="shared" si="4"/>
        <v>9.1999999999999993</v>
      </c>
      <c r="AP6" s="337">
        <f t="shared" si="4"/>
        <v>6.0000000000000001E-3</v>
      </c>
      <c r="AQ6" s="337">
        <f t="shared" si="4"/>
        <v>17.399999999999999</v>
      </c>
      <c r="AR6" s="337">
        <v>1934</v>
      </c>
      <c r="AS6" s="337">
        <v>6.0999999999999999E-2</v>
      </c>
      <c r="AT6" s="337">
        <f>IF($AU6="Albany",AT$4,IF($AU6="Binghamton",AT$7,IF($AU6="Buffalo",AT$18,IF($AU6="Massena",AT$48,IF($AU6="NYC",AT$34,IF($AU6="Poughkeepsie",AT$17,AT$37))))))</f>
        <v>1.34</v>
      </c>
      <c r="AU6" s="236" t="s">
        <v>361</v>
      </c>
      <c r="AV6" s="2130">
        <f t="shared" si="5"/>
        <v>0.15</v>
      </c>
      <c r="AW6" s="2130">
        <f t="shared" si="6"/>
        <v>0.85</v>
      </c>
      <c r="AY6" s="27" t="s">
        <v>542</v>
      </c>
      <c r="AZ6" s="27">
        <v>3</v>
      </c>
      <c r="BB6" s="39" t="s">
        <v>274</v>
      </c>
      <c r="BC6">
        <v>7</v>
      </c>
      <c r="BE6" s="39" t="s">
        <v>364</v>
      </c>
      <c r="BG6" s="241" t="s">
        <v>496</v>
      </c>
      <c r="BL6" t="s">
        <v>1909</v>
      </c>
      <c r="BM6" t="s">
        <v>1909</v>
      </c>
      <c r="BN6" t="s">
        <v>1920</v>
      </c>
    </row>
    <row r="7" spans="1:66" ht="12.75" customHeight="1">
      <c r="A7" s="521" t="s">
        <v>107</v>
      </c>
      <c r="B7" s="337">
        <v>-2</v>
      </c>
      <c r="C7" s="337">
        <v>82</v>
      </c>
      <c r="D7" s="337">
        <v>69</v>
      </c>
      <c r="E7" s="337">
        <v>7273</v>
      </c>
      <c r="F7" s="337">
        <v>6</v>
      </c>
      <c r="G7" s="337">
        <v>15</v>
      </c>
      <c r="H7" s="337">
        <v>120</v>
      </c>
      <c r="I7" s="337">
        <v>1006</v>
      </c>
      <c r="J7" s="337">
        <v>52.9</v>
      </c>
      <c r="K7" s="337">
        <v>438</v>
      </c>
      <c r="L7" s="337">
        <v>7.2999999999999995E-2</v>
      </c>
      <c r="M7" s="337">
        <v>6.8000000000000005E-2</v>
      </c>
      <c r="N7" s="337">
        <v>-2.7E-2</v>
      </c>
      <c r="O7" s="337"/>
      <c r="P7" s="337">
        <v>9.6</v>
      </c>
      <c r="Q7" s="337">
        <v>11</v>
      </c>
      <c r="R7" s="337">
        <v>17</v>
      </c>
      <c r="S7" s="337">
        <v>8.5000000000000006E-2</v>
      </c>
      <c r="T7" s="337">
        <v>6</v>
      </c>
      <c r="U7" s="337">
        <v>2.5999999999999999E-2</v>
      </c>
      <c r="V7" s="337">
        <v>42.7</v>
      </c>
      <c r="W7" s="337">
        <v>6</v>
      </c>
      <c r="X7" s="337">
        <v>2.5999999999999999E-2</v>
      </c>
      <c r="Y7" s="337">
        <v>42.7</v>
      </c>
      <c r="Z7" s="337">
        <v>1.8</v>
      </c>
      <c r="AA7" s="337">
        <v>8.9999999999999993E-3</v>
      </c>
      <c r="AB7" s="337">
        <v>14.9</v>
      </c>
      <c r="AC7" s="337">
        <v>2.8</v>
      </c>
      <c r="AD7" s="337">
        <v>0</v>
      </c>
      <c r="AE7" s="337">
        <v>17.2</v>
      </c>
      <c r="AF7" s="337">
        <f>(4.9+1.3)/2</f>
        <v>3.1</v>
      </c>
      <c r="AG7" s="337">
        <v>1.5E-3</v>
      </c>
      <c r="AH7" s="337">
        <f>(8.6+32.7)/2</f>
        <v>20.650000000000002</v>
      </c>
      <c r="AI7" s="337">
        <v>7.7</v>
      </c>
      <c r="AJ7" s="337">
        <v>3.0000000000000001E-3</v>
      </c>
      <c r="AK7" s="337">
        <v>49.9</v>
      </c>
      <c r="AL7" s="337">
        <f>(6+2.3)/2</f>
        <v>4.1500000000000004</v>
      </c>
      <c r="AM7" s="337">
        <v>4.0000000000000001E-3</v>
      </c>
      <c r="AN7" s="337">
        <f>(39.9+15.8)/2</f>
        <v>27.85</v>
      </c>
      <c r="AO7" s="337">
        <f>2*6.8</f>
        <v>13.6</v>
      </c>
      <c r="AP7" s="337">
        <f>2*0.003</f>
        <v>6.0000000000000001E-3</v>
      </c>
      <c r="AQ7" s="337">
        <f>2*12.1</f>
        <v>24.2</v>
      </c>
      <c r="AR7" s="337">
        <v>1934</v>
      </c>
      <c r="AS7" s="337">
        <v>6.0999999999999999E-2</v>
      </c>
      <c r="AT7" s="337">
        <v>1.008</v>
      </c>
      <c r="AU7" s="236" t="s">
        <v>406</v>
      </c>
      <c r="AV7" s="2130">
        <f t="shared" si="5"/>
        <v>0.03</v>
      </c>
      <c r="AW7" s="2130">
        <f t="shared" si="6"/>
        <v>0.97</v>
      </c>
      <c r="AY7" s="27" t="s">
        <v>239</v>
      </c>
      <c r="AZ7" s="27">
        <v>4</v>
      </c>
      <c r="BB7" t="s">
        <v>543</v>
      </c>
      <c r="BC7">
        <v>1</v>
      </c>
      <c r="BG7" s="241" t="s">
        <v>482</v>
      </c>
      <c r="BL7" t="s">
        <v>1910</v>
      </c>
      <c r="BM7" t="s">
        <v>1912</v>
      </c>
      <c r="BN7" t="s">
        <v>1921</v>
      </c>
    </row>
    <row r="8" spans="1:66" ht="12.75" customHeight="1">
      <c r="A8" s="522" t="s">
        <v>108</v>
      </c>
      <c r="B8" s="337">
        <v>2</v>
      </c>
      <c r="C8" s="337">
        <v>85</v>
      </c>
      <c r="D8" s="337">
        <v>73</v>
      </c>
      <c r="E8" s="337">
        <v>6747</v>
      </c>
      <c r="F8" s="337">
        <v>6</v>
      </c>
      <c r="G8" s="337">
        <v>15</v>
      </c>
      <c r="H8" s="337">
        <f t="shared" ref="H8:J16" si="7">IF($AU8="Albany",H$4,IF($AU8="Binghamton",H$7,IF($AU8="Buffalo",H$18,IF($AU8="Massena",H$48,IF($AU8="NYC",H$34,IF($AU8="Poughkeepsie",H$17,H$37))))))</f>
        <v>151</v>
      </c>
      <c r="I8" s="337">
        <f t="shared" si="7"/>
        <v>966</v>
      </c>
      <c r="J8" s="337">
        <f t="shared" si="7"/>
        <v>54.3</v>
      </c>
      <c r="K8" s="337">
        <v>438</v>
      </c>
      <c r="L8" s="337">
        <f t="shared" ref="L8:U16" si="8">IF($AU8="Albany",L$4,IF($AU8="Binghamton",L$7,IF($AU8="Buffalo",L$18,IF($AU8="Massena",L$48,IF($AU8="NYC",L$34,IF($AU8="Poughkeepsie",L$17,L$37))))))</f>
        <v>0.113</v>
      </c>
      <c r="M8" s="337">
        <f t="shared" si="8"/>
        <v>7.1999999999999995E-2</v>
      </c>
      <c r="N8" s="337">
        <f t="shared" si="8"/>
        <v>-2.5999999999999999E-2</v>
      </c>
      <c r="O8" s="337">
        <f t="shared" si="8"/>
        <v>0</v>
      </c>
      <c r="P8" s="337">
        <f t="shared" si="8"/>
        <v>9.9</v>
      </c>
      <c r="Q8" s="337">
        <f t="shared" si="8"/>
        <v>20</v>
      </c>
      <c r="R8" s="337">
        <f t="shared" si="8"/>
        <v>19</v>
      </c>
      <c r="S8" s="337">
        <f t="shared" si="8"/>
        <v>7.9000000000000001E-2</v>
      </c>
      <c r="T8" s="337">
        <f t="shared" si="8"/>
        <v>3.1</v>
      </c>
      <c r="U8" s="337">
        <f t="shared" si="8"/>
        <v>1.8E-3</v>
      </c>
      <c r="V8" s="337">
        <f t="shared" ref="V8:AE16" si="9">IF($AU8="Albany",V$4,IF($AU8="Binghamton",V$7,IF($AU8="Buffalo",V$18,IF($AU8="Massena",V$48,IF($AU8="NYC",V$34,IF($AU8="Poughkeepsie",V$17,V$37))))))</f>
        <v>38.6</v>
      </c>
      <c r="W8" s="337">
        <f t="shared" si="9"/>
        <v>3.1</v>
      </c>
      <c r="X8" s="337">
        <f t="shared" si="9"/>
        <v>1.7999999999999999E-2</v>
      </c>
      <c r="Y8" s="337">
        <f t="shared" si="9"/>
        <v>38.6</v>
      </c>
      <c r="Z8" s="337">
        <f t="shared" si="9"/>
        <v>0.7</v>
      </c>
      <c r="AA8" s="337">
        <f t="shared" si="9"/>
        <v>0</v>
      </c>
      <c r="AB8" s="337">
        <f t="shared" si="9"/>
        <v>13.9</v>
      </c>
      <c r="AC8" s="337">
        <f t="shared" si="9"/>
        <v>3</v>
      </c>
      <c r="AD8" s="337">
        <f t="shared" si="9"/>
        <v>3.0000000000000001E-3</v>
      </c>
      <c r="AE8" s="337">
        <f t="shared" si="9"/>
        <v>16.5</v>
      </c>
      <c r="AF8" s="337">
        <f t="shared" ref="AF8:AQ16" si="10">IF($AU8="Albany",AF$4,IF($AU8="Binghamton",AF$7,IF($AU8="Buffalo",AF$18,IF($AU8="Massena",AF$48,IF($AU8="NYC",AF$34,IF($AU8="Poughkeepsie",AF$17,AF$37))))))</f>
        <v>3.45</v>
      </c>
      <c r="AG8" s="337">
        <f t="shared" si="10"/>
        <v>1.5E-3</v>
      </c>
      <c r="AH8" s="337">
        <f t="shared" si="10"/>
        <v>19.7</v>
      </c>
      <c r="AI8" s="337">
        <f t="shared" si="10"/>
        <v>8.5</v>
      </c>
      <c r="AJ8" s="337">
        <f t="shared" si="10"/>
        <v>5.0000000000000001E-3</v>
      </c>
      <c r="AK8" s="337">
        <f t="shared" si="10"/>
        <v>47.7</v>
      </c>
      <c r="AL8" s="337">
        <f t="shared" si="10"/>
        <v>4.6500000000000004</v>
      </c>
      <c r="AM8" s="337">
        <f t="shared" si="10"/>
        <v>4.0000000000000001E-3</v>
      </c>
      <c r="AN8" s="337">
        <f t="shared" si="10"/>
        <v>26.5</v>
      </c>
      <c r="AO8" s="337">
        <f t="shared" si="10"/>
        <v>11.2</v>
      </c>
      <c r="AP8" s="337">
        <f t="shared" si="10"/>
        <v>6.0000000000000001E-3</v>
      </c>
      <c r="AQ8" s="337">
        <f t="shared" si="10"/>
        <v>24</v>
      </c>
      <c r="AR8" s="337">
        <v>1934</v>
      </c>
      <c r="AS8" s="337">
        <v>6.0999999999999999E-2</v>
      </c>
      <c r="AT8" s="337">
        <f t="shared" ref="AT8:AT16" si="11">IF($AU8="Albany",AT$4,IF($AU8="Binghamton",AT$7,IF($AU8="Buffalo",AT$18,IF($AU8="Massena",AT$48,IF($AU8="NYC",AT$34,IF($AU8="Poughkeepsie",AT$17,AT$37))))))</f>
        <v>1.036</v>
      </c>
      <c r="AU8" s="236" t="s">
        <v>407</v>
      </c>
      <c r="AV8" s="2130">
        <f t="shared" si="5"/>
        <v>0.03</v>
      </c>
      <c r="AW8" s="2130">
        <f t="shared" si="6"/>
        <v>0.97</v>
      </c>
      <c r="AY8" s="28" t="s">
        <v>240</v>
      </c>
      <c r="AZ8" s="28">
        <v>5</v>
      </c>
      <c r="BB8" s="39" t="s">
        <v>276</v>
      </c>
      <c r="BC8">
        <v>6</v>
      </c>
      <c r="BL8" t="s">
        <v>1911</v>
      </c>
      <c r="BM8" t="s">
        <v>1913</v>
      </c>
      <c r="BN8" t="s">
        <v>363</v>
      </c>
    </row>
    <row r="9" spans="1:66" ht="12.75" customHeight="1">
      <c r="A9" s="522" t="s">
        <v>109</v>
      </c>
      <c r="B9" s="337">
        <v>-3</v>
      </c>
      <c r="C9" s="337">
        <v>85</v>
      </c>
      <c r="D9" s="337">
        <v>71</v>
      </c>
      <c r="E9" s="337">
        <v>6834</v>
      </c>
      <c r="F9" s="337">
        <v>5</v>
      </c>
      <c r="G9" s="337" t="s">
        <v>173</v>
      </c>
      <c r="H9" s="337">
        <f t="shared" si="7"/>
        <v>186</v>
      </c>
      <c r="I9" s="337">
        <f t="shared" si="7"/>
        <v>889</v>
      </c>
      <c r="J9" s="337">
        <f t="shared" si="7"/>
        <v>54.6</v>
      </c>
      <c r="K9" s="337">
        <v>507</v>
      </c>
      <c r="L9" s="337">
        <f t="shared" si="8"/>
        <v>0.113</v>
      </c>
      <c r="M9" s="337">
        <f t="shared" si="8"/>
        <v>0.08</v>
      </c>
      <c r="N9" s="337">
        <f t="shared" si="8"/>
        <v>-2.4E-2</v>
      </c>
      <c r="O9" s="337">
        <f t="shared" si="8"/>
        <v>0</v>
      </c>
      <c r="P9" s="337">
        <f t="shared" si="8"/>
        <v>9.6999999999999993</v>
      </c>
      <c r="Q9" s="337">
        <f t="shared" si="8"/>
        <v>23</v>
      </c>
      <c r="R9" s="337">
        <f t="shared" si="8"/>
        <v>16</v>
      </c>
      <c r="S9" s="337">
        <f t="shared" si="8"/>
        <v>9.1999999999999998E-2</v>
      </c>
      <c r="T9" s="337">
        <f t="shared" si="8"/>
        <v>6.1</v>
      </c>
      <c r="U9" s="337">
        <f t="shared" si="8"/>
        <v>4.3999999999999997E-2</v>
      </c>
      <c r="V9" s="337">
        <f t="shared" si="9"/>
        <v>37.799999999999997</v>
      </c>
      <c r="W9" s="337">
        <f t="shared" si="9"/>
        <v>6.1</v>
      </c>
      <c r="X9" s="337">
        <f t="shared" si="9"/>
        <v>4.3999999999999997E-2</v>
      </c>
      <c r="Y9" s="337">
        <f t="shared" si="9"/>
        <v>37.799999999999997</v>
      </c>
      <c r="Z9" s="337">
        <f t="shared" si="9"/>
        <v>1.7</v>
      </c>
      <c r="AA9" s="337">
        <f t="shared" si="9"/>
        <v>2.5999999999999999E-2</v>
      </c>
      <c r="AB9" s="337">
        <f t="shared" si="9"/>
        <v>15</v>
      </c>
      <c r="AC9" s="337">
        <f t="shared" si="9"/>
        <v>4.8</v>
      </c>
      <c r="AD9" s="337">
        <f t="shared" si="9"/>
        <v>5.0000000000000001E-3</v>
      </c>
      <c r="AE9" s="337">
        <f t="shared" si="9"/>
        <v>15.5</v>
      </c>
      <c r="AF9" s="337">
        <f t="shared" si="10"/>
        <v>5.5500000000000007</v>
      </c>
      <c r="AG9" s="337">
        <f t="shared" si="10"/>
        <v>5.4999999999999997E-3</v>
      </c>
      <c r="AH9" s="337">
        <f t="shared" si="10"/>
        <v>18.599999999999998</v>
      </c>
      <c r="AI9" s="337">
        <f t="shared" si="10"/>
        <v>13.5</v>
      </c>
      <c r="AJ9" s="337">
        <f t="shared" si="10"/>
        <v>1.4E-2</v>
      </c>
      <c r="AK9" s="337">
        <f t="shared" si="10"/>
        <v>44.9</v>
      </c>
      <c r="AL9" s="337">
        <f t="shared" si="10"/>
        <v>7.4</v>
      </c>
      <c r="AM9" s="337">
        <f t="shared" si="10"/>
        <v>8.0000000000000002E-3</v>
      </c>
      <c r="AN9" s="337">
        <f t="shared" si="10"/>
        <v>25.1</v>
      </c>
      <c r="AO9" s="337">
        <f t="shared" si="10"/>
        <v>13.2</v>
      </c>
      <c r="AP9" s="337">
        <f t="shared" si="10"/>
        <v>1.4E-2</v>
      </c>
      <c r="AQ9" s="337">
        <f t="shared" si="10"/>
        <v>23.4</v>
      </c>
      <c r="AR9" s="337">
        <v>1934</v>
      </c>
      <c r="AS9" s="337">
        <v>6.0999999999999999E-2</v>
      </c>
      <c r="AT9" s="337">
        <f t="shared" si="11"/>
        <v>0.99099999999999999</v>
      </c>
      <c r="AU9" s="236" t="s">
        <v>408</v>
      </c>
      <c r="AV9" s="2130">
        <f t="shared" si="5"/>
        <v>0.06</v>
      </c>
      <c r="AW9" s="2130">
        <f t="shared" si="6"/>
        <v>0.94</v>
      </c>
      <c r="AY9" s="28" t="s">
        <v>241</v>
      </c>
      <c r="AZ9" s="28">
        <v>6</v>
      </c>
      <c r="BL9" t="s">
        <v>1912</v>
      </c>
      <c r="BM9" t="s">
        <v>1914</v>
      </c>
    </row>
    <row r="10" spans="1:66" ht="12.75" customHeight="1">
      <c r="A10" s="522" t="s">
        <v>110</v>
      </c>
      <c r="B10" s="337">
        <v>2</v>
      </c>
      <c r="C10" s="337">
        <v>85</v>
      </c>
      <c r="D10" s="337">
        <v>73</v>
      </c>
      <c r="E10" s="337">
        <v>6747</v>
      </c>
      <c r="F10" s="337">
        <v>5</v>
      </c>
      <c r="G10" s="337" t="s">
        <v>173</v>
      </c>
      <c r="H10" s="337">
        <f t="shared" si="7"/>
        <v>151</v>
      </c>
      <c r="I10" s="337">
        <f t="shared" si="7"/>
        <v>966</v>
      </c>
      <c r="J10" s="337">
        <f t="shared" si="7"/>
        <v>54.3</v>
      </c>
      <c r="K10" s="337">
        <v>507</v>
      </c>
      <c r="L10" s="337">
        <f t="shared" si="8"/>
        <v>0.113</v>
      </c>
      <c r="M10" s="337">
        <f t="shared" si="8"/>
        <v>7.1999999999999995E-2</v>
      </c>
      <c r="N10" s="337">
        <f t="shared" si="8"/>
        <v>-2.5999999999999999E-2</v>
      </c>
      <c r="O10" s="337">
        <f t="shared" si="8"/>
        <v>0</v>
      </c>
      <c r="P10" s="337">
        <f t="shared" si="8"/>
        <v>9.9</v>
      </c>
      <c r="Q10" s="337">
        <f t="shared" si="8"/>
        <v>20</v>
      </c>
      <c r="R10" s="337">
        <f t="shared" si="8"/>
        <v>19</v>
      </c>
      <c r="S10" s="337">
        <f t="shared" si="8"/>
        <v>7.9000000000000001E-2</v>
      </c>
      <c r="T10" s="337">
        <f t="shared" si="8"/>
        <v>3.1</v>
      </c>
      <c r="U10" s="337">
        <f t="shared" si="8"/>
        <v>1.8E-3</v>
      </c>
      <c r="V10" s="337">
        <f t="shared" si="9"/>
        <v>38.6</v>
      </c>
      <c r="W10" s="337">
        <f t="shared" si="9"/>
        <v>3.1</v>
      </c>
      <c r="X10" s="337">
        <f t="shared" si="9"/>
        <v>1.7999999999999999E-2</v>
      </c>
      <c r="Y10" s="337">
        <f t="shared" si="9"/>
        <v>38.6</v>
      </c>
      <c r="Z10" s="337">
        <f t="shared" si="9"/>
        <v>0.7</v>
      </c>
      <c r="AA10" s="337">
        <f t="shared" si="9"/>
        <v>0</v>
      </c>
      <c r="AB10" s="337">
        <f t="shared" si="9"/>
        <v>13.9</v>
      </c>
      <c r="AC10" s="337">
        <f t="shared" si="9"/>
        <v>3</v>
      </c>
      <c r="AD10" s="337">
        <f t="shared" si="9"/>
        <v>3.0000000000000001E-3</v>
      </c>
      <c r="AE10" s="337">
        <f t="shared" si="9"/>
        <v>16.5</v>
      </c>
      <c r="AF10" s="337">
        <f t="shared" si="10"/>
        <v>3.45</v>
      </c>
      <c r="AG10" s="337">
        <f t="shared" si="10"/>
        <v>1.5E-3</v>
      </c>
      <c r="AH10" s="337">
        <f t="shared" si="10"/>
        <v>19.7</v>
      </c>
      <c r="AI10" s="337">
        <f t="shared" si="10"/>
        <v>8.5</v>
      </c>
      <c r="AJ10" s="337">
        <f t="shared" si="10"/>
        <v>5.0000000000000001E-3</v>
      </c>
      <c r="AK10" s="337">
        <f t="shared" si="10"/>
        <v>47.7</v>
      </c>
      <c r="AL10" s="337">
        <f t="shared" si="10"/>
        <v>4.6500000000000004</v>
      </c>
      <c r="AM10" s="337">
        <f t="shared" si="10"/>
        <v>4.0000000000000001E-3</v>
      </c>
      <c r="AN10" s="337">
        <f t="shared" si="10"/>
        <v>26.5</v>
      </c>
      <c r="AO10" s="337">
        <f t="shared" si="10"/>
        <v>11.2</v>
      </c>
      <c r="AP10" s="337">
        <f t="shared" si="10"/>
        <v>6.0000000000000001E-3</v>
      </c>
      <c r="AQ10" s="337">
        <f t="shared" si="10"/>
        <v>24</v>
      </c>
      <c r="AR10" s="337">
        <v>1934</v>
      </c>
      <c r="AS10" s="337">
        <v>6.0999999999999999E-2</v>
      </c>
      <c r="AT10" s="337">
        <f t="shared" si="11"/>
        <v>1.036</v>
      </c>
      <c r="AU10" s="236" t="s">
        <v>407</v>
      </c>
      <c r="AV10" s="2130">
        <f t="shared" si="5"/>
        <v>0.06</v>
      </c>
      <c r="AW10" s="2130">
        <f t="shared" si="6"/>
        <v>0.94</v>
      </c>
      <c r="BL10" t="s">
        <v>363</v>
      </c>
      <c r="BM10" t="s">
        <v>363</v>
      </c>
    </row>
    <row r="11" spans="1:66" ht="12.75" customHeight="1">
      <c r="A11" s="522" t="s">
        <v>111</v>
      </c>
      <c r="B11" s="337">
        <v>-2</v>
      </c>
      <c r="C11" s="337">
        <v>87</v>
      </c>
      <c r="D11" s="337">
        <v>71</v>
      </c>
      <c r="E11" s="337">
        <v>6845</v>
      </c>
      <c r="F11" s="337">
        <v>5</v>
      </c>
      <c r="G11" s="337">
        <v>15</v>
      </c>
      <c r="H11" s="337">
        <f t="shared" si="7"/>
        <v>120</v>
      </c>
      <c r="I11" s="337">
        <f t="shared" si="7"/>
        <v>1006</v>
      </c>
      <c r="J11" s="337">
        <f t="shared" si="7"/>
        <v>52.9</v>
      </c>
      <c r="K11" s="337">
        <v>507</v>
      </c>
      <c r="L11" s="337">
        <f t="shared" si="8"/>
        <v>7.2999999999999995E-2</v>
      </c>
      <c r="M11" s="337">
        <f t="shared" si="8"/>
        <v>6.8000000000000005E-2</v>
      </c>
      <c r="N11" s="337">
        <f t="shared" si="8"/>
        <v>-2.7E-2</v>
      </c>
      <c r="O11" s="337">
        <f t="shared" si="8"/>
        <v>0</v>
      </c>
      <c r="P11" s="337">
        <f t="shared" si="8"/>
        <v>9.6</v>
      </c>
      <c r="Q11" s="337">
        <f t="shared" si="8"/>
        <v>11</v>
      </c>
      <c r="R11" s="337">
        <f t="shared" si="8"/>
        <v>17</v>
      </c>
      <c r="S11" s="337">
        <f t="shared" si="8"/>
        <v>8.5000000000000006E-2</v>
      </c>
      <c r="T11" s="337">
        <f t="shared" si="8"/>
        <v>6</v>
      </c>
      <c r="U11" s="337">
        <f t="shared" si="8"/>
        <v>2.5999999999999999E-2</v>
      </c>
      <c r="V11" s="337">
        <f t="shared" si="9"/>
        <v>42.7</v>
      </c>
      <c r="W11" s="337">
        <f t="shared" si="9"/>
        <v>6</v>
      </c>
      <c r="X11" s="337">
        <f t="shared" si="9"/>
        <v>2.5999999999999999E-2</v>
      </c>
      <c r="Y11" s="337">
        <f t="shared" si="9"/>
        <v>42.7</v>
      </c>
      <c r="Z11" s="337">
        <f t="shared" si="9"/>
        <v>1.8</v>
      </c>
      <c r="AA11" s="337">
        <f t="shared" si="9"/>
        <v>8.9999999999999993E-3</v>
      </c>
      <c r="AB11" s="337">
        <f t="shared" si="9"/>
        <v>14.9</v>
      </c>
      <c r="AC11" s="337">
        <f t="shared" si="9"/>
        <v>2.8</v>
      </c>
      <c r="AD11" s="337">
        <f t="shared" si="9"/>
        <v>0</v>
      </c>
      <c r="AE11" s="337">
        <f t="shared" si="9"/>
        <v>17.2</v>
      </c>
      <c r="AF11" s="337">
        <f t="shared" si="10"/>
        <v>3.1</v>
      </c>
      <c r="AG11" s="337">
        <f t="shared" si="10"/>
        <v>1.5E-3</v>
      </c>
      <c r="AH11" s="337">
        <f t="shared" si="10"/>
        <v>20.650000000000002</v>
      </c>
      <c r="AI11" s="337">
        <f t="shared" si="10"/>
        <v>7.7</v>
      </c>
      <c r="AJ11" s="337">
        <f t="shared" si="10"/>
        <v>3.0000000000000001E-3</v>
      </c>
      <c r="AK11" s="337">
        <f t="shared" si="10"/>
        <v>49.9</v>
      </c>
      <c r="AL11" s="337">
        <f t="shared" si="10"/>
        <v>4.1500000000000004</v>
      </c>
      <c r="AM11" s="337">
        <f t="shared" si="10"/>
        <v>4.0000000000000001E-3</v>
      </c>
      <c r="AN11" s="337">
        <f t="shared" si="10"/>
        <v>27.85</v>
      </c>
      <c r="AO11" s="337">
        <f t="shared" si="10"/>
        <v>13.6</v>
      </c>
      <c r="AP11" s="337">
        <f t="shared" si="10"/>
        <v>6.0000000000000001E-3</v>
      </c>
      <c r="AQ11" s="337">
        <f t="shared" si="10"/>
        <v>24.2</v>
      </c>
      <c r="AR11" s="337">
        <v>1934</v>
      </c>
      <c r="AS11" s="337">
        <v>6.0999999999999999E-2</v>
      </c>
      <c r="AT11" s="337">
        <f t="shared" si="11"/>
        <v>1.008</v>
      </c>
      <c r="AU11" s="236" t="s">
        <v>406</v>
      </c>
      <c r="AV11" s="2130">
        <f t="shared" si="5"/>
        <v>0.06</v>
      </c>
      <c r="AW11" s="2130">
        <f t="shared" si="6"/>
        <v>0.94</v>
      </c>
    </row>
    <row r="12" spans="1:66" ht="12.75" customHeight="1">
      <c r="A12" s="522" t="s">
        <v>112</v>
      </c>
      <c r="B12" s="337">
        <v>-2</v>
      </c>
      <c r="C12" s="337">
        <v>82</v>
      </c>
      <c r="D12" s="337">
        <v>69</v>
      </c>
      <c r="E12" s="337">
        <v>7273</v>
      </c>
      <c r="F12" s="337">
        <v>6</v>
      </c>
      <c r="G12" s="337">
        <v>15</v>
      </c>
      <c r="H12" s="337">
        <f t="shared" si="7"/>
        <v>120</v>
      </c>
      <c r="I12" s="337">
        <f t="shared" si="7"/>
        <v>1006</v>
      </c>
      <c r="J12" s="337">
        <f t="shared" si="7"/>
        <v>52.9</v>
      </c>
      <c r="K12" s="337">
        <v>438</v>
      </c>
      <c r="L12" s="337">
        <f t="shared" si="8"/>
        <v>7.2999999999999995E-2</v>
      </c>
      <c r="M12" s="337">
        <f t="shared" si="8"/>
        <v>6.8000000000000005E-2</v>
      </c>
      <c r="N12" s="337">
        <f t="shared" si="8"/>
        <v>-2.7E-2</v>
      </c>
      <c r="O12" s="337">
        <f t="shared" si="8"/>
        <v>0</v>
      </c>
      <c r="P12" s="337">
        <f t="shared" si="8"/>
        <v>9.6</v>
      </c>
      <c r="Q12" s="337">
        <f t="shared" si="8"/>
        <v>11</v>
      </c>
      <c r="R12" s="337">
        <f t="shared" si="8"/>
        <v>17</v>
      </c>
      <c r="S12" s="337">
        <f t="shared" si="8"/>
        <v>8.5000000000000006E-2</v>
      </c>
      <c r="T12" s="337">
        <f t="shared" si="8"/>
        <v>6</v>
      </c>
      <c r="U12" s="337">
        <f t="shared" si="8"/>
        <v>2.5999999999999999E-2</v>
      </c>
      <c r="V12" s="337">
        <f t="shared" si="9"/>
        <v>42.7</v>
      </c>
      <c r="W12" s="337">
        <f t="shared" si="9"/>
        <v>6</v>
      </c>
      <c r="X12" s="337">
        <f t="shared" si="9"/>
        <v>2.5999999999999999E-2</v>
      </c>
      <c r="Y12" s="337">
        <f t="shared" si="9"/>
        <v>42.7</v>
      </c>
      <c r="Z12" s="337">
        <f t="shared" si="9"/>
        <v>1.8</v>
      </c>
      <c r="AA12" s="337">
        <f t="shared" si="9"/>
        <v>8.9999999999999993E-3</v>
      </c>
      <c r="AB12" s="337">
        <f t="shared" si="9"/>
        <v>14.9</v>
      </c>
      <c r="AC12" s="337">
        <f t="shared" si="9"/>
        <v>2.8</v>
      </c>
      <c r="AD12" s="337">
        <f t="shared" si="9"/>
        <v>0</v>
      </c>
      <c r="AE12" s="337">
        <f t="shared" si="9"/>
        <v>17.2</v>
      </c>
      <c r="AF12" s="337">
        <f t="shared" si="10"/>
        <v>3.1</v>
      </c>
      <c r="AG12" s="337">
        <f t="shared" si="10"/>
        <v>1.5E-3</v>
      </c>
      <c r="AH12" s="337">
        <f t="shared" si="10"/>
        <v>20.650000000000002</v>
      </c>
      <c r="AI12" s="337">
        <f t="shared" si="10"/>
        <v>7.7</v>
      </c>
      <c r="AJ12" s="337">
        <f t="shared" si="10"/>
        <v>3.0000000000000001E-3</v>
      </c>
      <c r="AK12" s="337">
        <f t="shared" si="10"/>
        <v>49.9</v>
      </c>
      <c r="AL12" s="337">
        <f t="shared" si="10"/>
        <v>4.1500000000000004</v>
      </c>
      <c r="AM12" s="337">
        <f t="shared" si="10"/>
        <v>4.0000000000000001E-3</v>
      </c>
      <c r="AN12" s="337">
        <f t="shared" si="10"/>
        <v>27.85</v>
      </c>
      <c r="AO12" s="337">
        <f t="shared" si="10"/>
        <v>13.6</v>
      </c>
      <c r="AP12" s="337">
        <f t="shared" si="10"/>
        <v>6.0000000000000001E-3</v>
      </c>
      <c r="AQ12" s="337">
        <f t="shared" si="10"/>
        <v>24.2</v>
      </c>
      <c r="AR12" s="337">
        <v>1934</v>
      </c>
      <c r="AS12" s="337">
        <v>6.0999999999999999E-2</v>
      </c>
      <c r="AT12" s="337">
        <f t="shared" si="11"/>
        <v>1.008</v>
      </c>
      <c r="AU12" s="236" t="s">
        <v>406</v>
      </c>
      <c r="AV12" s="2130">
        <f t="shared" si="5"/>
        <v>0.03</v>
      </c>
      <c r="AW12" s="2130">
        <f t="shared" si="6"/>
        <v>0.97</v>
      </c>
    </row>
    <row r="13" spans="1:66" ht="12.75" customHeight="1">
      <c r="A13" s="522" t="s">
        <v>113</v>
      </c>
      <c r="B13" s="337">
        <v>-9</v>
      </c>
      <c r="C13" s="337">
        <v>83</v>
      </c>
      <c r="D13" s="337">
        <v>69</v>
      </c>
      <c r="E13" s="337">
        <v>7837</v>
      </c>
      <c r="F13" s="337">
        <v>6</v>
      </c>
      <c r="G13" s="337">
        <v>15</v>
      </c>
      <c r="H13" s="337">
        <f t="shared" si="7"/>
        <v>143</v>
      </c>
      <c r="I13" s="337">
        <f t="shared" si="7"/>
        <v>1016</v>
      </c>
      <c r="J13" s="337">
        <f t="shared" si="7"/>
        <v>50.7</v>
      </c>
      <c r="K13" s="337">
        <v>438</v>
      </c>
      <c r="L13" s="337">
        <f t="shared" si="8"/>
        <v>9.4E-2</v>
      </c>
      <c r="M13" s="337">
        <f t="shared" si="8"/>
        <v>7.2999999999999995E-2</v>
      </c>
      <c r="N13" s="337">
        <f t="shared" si="8"/>
        <v>-2.5999999999999999E-2</v>
      </c>
      <c r="O13" s="337">
        <f t="shared" si="8"/>
        <v>0</v>
      </c>
      <c r="P13" s="337">
        <f t="shared" si="8"/>
        <v>9.3000000000000007</v>
      </c>
      <c r="Q13" s="337">
        <f t="shared" si="8"/>
        <v>20</v>
      </c>
      <c r="R13" s="337">
        <f t="shared" si="8"/>
        <v>17</v>
      </c>
      <c r="S13" s="337">
        <f t="shared" si="8"/>
        <v>9.8000000000000004E-2</v>
      </c>
      <c r="T13" s="337">
        <f t="shared" si="8"/>
        <v>5.0999999999999996</v>
      </c>
      <c r="U13" s="337">
        <f t="shared" si="8"/>
        <v>1.7999999999999999E-2</v>
      </c>
      <c r="V13" s="337">
        <f t="shared" si="9"/>
        <v>45.1</v>
      </c>
      <c r="W13" s="337">
        <f t="shared" si="9"/>
        <v>5.0999999999999996</v>
      </c>
      <c r="X13" s="337">
        <f t="shared" si="9"/>
        <v>1.7999999999999999E-2</v>
      </c>
      <c r="Y13" s="337">
        <f t="shared" si="9"/>
        <v>45.1</v>
      </c>
      <c r="Z13" s="337">
        <f t="shared" si="9"/>
        <v>1.5</v>
      </c>
      <c r="AA13" s="337">
        <f t="shared" si="9"/>
        <v>8.9999999999999993E-3</v>
      </c>
      <c r="AB13" s="337">
        <f t="shared" si="9"/>
        <v>16</v>
      </c>
      <c r="AC13" s="337">
        <f t="shared" si="9"/>
        <v>5.3</v>
      </c>
      <c r="AD13" s="337">
        <f t="shared" si="9"/>
        <v>8.0000000000000002E-3</v>
      </c>
      <c r="AE13" s="337">
        <f t="shared" si="9"/>
        <v>19</v>
      </c>
      <c r="AF13" s="337">
        <f t="shared" si="10"/>
        <v>6.25</v>
      </c>
      <c r="AG13" s="337">
        <f t="shared" si="10"/>
        <v>7.0000000000000001E-3</v>
      </c>
      <c r="AH13" s="337">
        <f t="shared" si="10"/>
        <v>22.349999999999998</v>
      </c>
      <c r="AI13" s="337">
        <f t="shared" si="10"/>
        <v>15.2</v>
      </c>
      <c r="AJ13" s="337">
        <f t="shared" si="10"/>
        <v>1.9E-2</v>
      </c>
      <c r="AK13" s="337">
        <f t="shared" si="10"/>
        <v>54.3</v>
      </c>
      <c r="AL13" s="337">
        <f t="shared" si="10"/>
        <v>8.4499999999999993</v>
      </c>
      <c r="AM13" s="337">
        <f t="shared" si="10"/>
        <v>9.4999999999999998E-3</v>
      </c>
      <c r="AN13" s="337">
        <f t="shared" si="10"/>
        <v>30.299999999999997</v>
      </c>
      <c r="AO13" s="337">
        <f t="shared" si="10"/>
        <v>11.4</v>
      </c>
      <c r="AP13" s="337">
        <f t="shared" si="10"/>
        <v>6.0000000000000001E-3</v>
      </c>
      <c r="AQ13" s="337">
        <f t="shared" si="10"/>
        <v>25.8</v>
      </c>
      <c r="AR13" s="337">
        <v>1934</v>
      </c>
      <c r="AS13" s="337">
        <v>6.0999999999999999E-2</v>
      </c>
      <c r="AT13" s="337">
        <f t="shared" si="11"/>
        <v>0.94899999999999995</v>
      </c>
      <c r="AU13" s="236" t="s">
        <v>409</v>
      </c>
      <c r="AV13" s="2130">
        <f t="shared" si="5"/>
        <v>0.03</v>
      </c>
      <c r="AW13" s="2130">
        <f t="shared" si="6"/>
        <v>0.97</v>
      </c>
    </row>
    <row r="14" spans="1:66" ht="12.75" customHeight="1">
      <c r="A14" s="522" t="s">
        <v>114</v>
      </c>
      <c r="B14" s="337">
        <v>-7</v>
      </c>
      <c r="C14" s="337">
        <v>86</v>
      </c>
      <c r="D14" s="337">
        <v>70</v>
      </c>
      <c r="E14" s="337">
        <v>6894</v>
      </c>
      <c r="F14" s="337">
        <v>5</v>
      </c>
      <c r="G14" s="337" t="s">
        <v>173</v>
      </c>
      <c r="H14" s="337">
        <f t="shared" si="7"/>
        <v>181</v>
      </c>
      <c r="I14" s="337">
        <f t="shared" si="7"/>
        <v>786</v>
      </c>
      <c r="J14" s="337">
        <f t="shared" si="7"/>
        <v>54.2</v>
      </c>
      <c r="K14" s="337">
        <v>507</v>
      </c>
      <c r="L14" s="337">
        <f t="shared" si="8"/>
        <v>0.113</v>
      </c>
      <c r="M14" s="337">
        <f t="shared" si="8"/>
        <v>0.08</v>
      </c>
      <c r="N14" s="337">
        <f t="shared" si="8"/>
        <v>-2.5000000000000001E-2</v>
      </c>
      <c r="O14" s="337">
        <f t="shared" si="8"/>
        <v>0</v>
      </c>
      <c r="P14" s="337">
        <f t="shared" si="8"/>
        <v>9.6999999999999993</v>
      </c>
      <c r="Q14" s="337">
        <f t="shared" si="8"/>
        <v>22</v>
      </c>
      <c r="R14" s="337">
        <f t="shared" si="8"/>
        <v>16</v>
      </c>
      <c r="S14" s="337">
        <f t="shared" si="8"/>
        <v>9.9000000000000005E-2</v>
      </c>
      <c r="T14" s="337">
        <f t="shared" si="8"/>
        <v>6.3</v>
      </c>
      <c r="U14" s="337">
        <f t="shared" si="8"/>
        <v>1.7999999999999999E-2</v>
      </c>
      <c r="V14" s="337">
        <f t="shared" si="9"/>
        <v>39.200000000000003</v>
      </c>
      <c r="W14" s="337">
        <f t="shared" si="9"/>
        <v>6.3</v>
      </c>
      <c r="X14" s="337">
        <f t="shared" si="9"/>
        <v>1.7999999999999999E-2</v>
      </c>
      <c r="Y14" s="337">
        <f t="shared" si="9"/>
        <v>39.200000000000003</v>
      </c>
      <c r="Z14" s="337">
        <f t="shared" si="9"/>
        <v>1.8</v>
      </c>
      <c r="AA14" s="337">
        <f t="shared" si="9"/>
        <v>1.7999999999999999E-2</v>
      </c>
      <c r="AB14" s="337">
        <f t="shared" si="9"/>
        <v>14.1</v>
      </c>
      <c r="AC14" s="337">
        <f t="shared" si="9"/>
        <v>4.3</v>
      </c>
      <c r="AD14" s="337">
        <f t="shared" si="9"/>
        <v>5.0000000000000001E-3</v>
      </c>
      <c r="AE14" s="337">
        <f t="shared" si="9"/>
        <v>15.7</v>
      </c>
      <c r="AF14" s="337">
        <f t="shared" si="10"/>
        <v>5</v>
      </c>
      <c r="AG14" s="337">
        <f t="shared" si="10"/>
        <v>4.0000000000000001E-3</v>
      </c>
      <c r="AH14" s="337">
        <f t="shared" si="10"/>
        <v>19</v>
      </c>
      <c r="AI14" s="337">
        <f t="shared" si="10"/>
        <v>12.2</v>
      </c>
      <c r="AJ14" s="337">
        <f t="shared" si="10"/>
        <v>1.0999999999999999E-2</v>
      </c>
      <c r="AK14" s="337">
        <f t="shared" si="10"/>
        <v>45.6</v>
      </c>
      <c r="AL14" s="337">
        <f t="shared" si="10"/>
        <v>6.6999999999999993</v>
      </c>
      <c r="AM14" s="337">
        <f t="shared" si="10"/>
        <v>6.5000000000000002E-2</v>
      </c>
      <c r="AN14" s="337">
        <f t="shared" si="10"/>
        <v>25.6</v>
      </c>
      <c r="AO14" s="337">
        <f t="shared" si="10"/>
        <v>12.8</v>
      </c>
      <c r="AP14" s="337">
        <f t="shared" si="10"/>
        <v>6.0000000000000001E-3</v>
      </c>
      <c r="AQ14" s="337">
        <f t="shared" si="10"/>
        <v>22.6</v>
      </c>
      <c r="AR14" s="337">
        <v>1934</v>
      </c>
      <c r="AS14" s="337">
        <v>6.0999999999999999E-2</v>
      </c>
      <c r="AT14" s="337">
        <f t="shared" si="11"/>
        <v>1</v>
      </c>
      <c r="AU14" s="236" t="s">
        <v>405</v>
      </c>
      <c r="AV14" s="2130">
        <f t="shared" si="5"/>
        <v>0.06</v>
      </c>
      <c r="AW14" s="2130">
        <f t="shared" si="6"/>
        <v>0.94</v>
      </c>
      <c r="AY14" s="39" t="s">
        <v>380</v>
      </c>
    </row>
    <row r="15" spans="1:66" ht="12.75" customHeight="1">
      <c r="A15" s="522" t="s">
        <v>115</v>
      </c>
      <c r="B15" s="337">
        <v>-2</v>
      </c>
      <c r="C15" s="337">
        <v>82</v>
      </c>
      <c r="D15" s="337">
        <v>69</v>
      </c>
      <c r="E15" s="337">
        <v>7273</v>
      </c>
      <c r="F15" s="337">
        <v>5</v>
      </c>
      <c r="G15" s="337">
        <v>15</v>
      </c>
      <c r="H15" s="337">
        <f t="shared" si="7"/>
        <v>120</v>
      </c>
      <c r="I15" s="337">
        <f t="shared" si="7"/>
        <v>1006</v>
      </c>
      <c r="J15" s="337">
        <f t="shared" si="7"/>
        <v>52.9</v>
      </c>
      <c r="K15" s="337">
        <v>507</v>
      </c>
      <c r="L15" s="337">
        <f t="shared" si="8"/>
        <v>7.2999999999999995E-2</v>
      </c>
      <c r="M15" s="337">
        <f t="shared" si="8"/>
        <v>6.8000000000000005E-2</v>
      </c>
      <c r="N15" s="337">
        <f t="shared" si="8"/>
        <v>-2.7E-2</v>
      </c>
      <c r="O15" s="337">
        <f t="shared" si="8"/>
        <v>0</v>
      </c>
      <c r="P15" s="337">
        <f t="shared" si="8"/>
        <v>9.6</v>
      </c>
      <c r="Q15" s="337">
        <f t="shared" si="8"/>
        <v>11</v>
      </c>
      <c r="R15" s="337">
        <f t="shared" si="8"/>
        <v>17</v>
      </c>
      <c r="S15" s="337">
        <f t="shared" si="8"/>
        <v>8.5000000000000006E-2</v>
      </c>
      <c r="T15" s="337">
        <f t="shared" si="8"/>
        <v>6</v>
      </c>
      <c r="U15" s="337">
        <f t="shared" si="8"/>
        <v>2.5999999999999999E-2</v>
      </c>
      <c r="V15" s="337">
        <f t="shared" si="9"/>
        <v>42.7</v>
      </c>
      <c r="W15" s="337">
        <f t="shared" si="9"/>
        <v>6</v>
      </c>
      <c r="X15" s="337">
        <f t="shared" si="9"/>
        <v>2.5999999999999999E-2</v>
      </c>
      <c r="Y15" s="337">
        <f t="shared" si="9"/>
        <v>42.7</v>
      </c>
      <c r="Z15" s="337">
        <f t="shared" si="9"/>
        <v>1.8</v>
      </c>
      <c r="AA15" s="337">
        <f t="shared" si="9"/>
        <v>8.9999999999999993E-3</v>
      </c>
      <c r="AB15" s="337">
        <f t="shared" si="9"/>
        <v>14.9</v>
      </c>
      <c r="AC15" s="337">
        <f t="shared" si="9"/>
        <v>2.8</v>
      </c>
      <c r="AD15" s="337">
        <f t="shared" si="9"/>
        <v>0</v>
      </c>
      <c r="AE15" s="337">
        <f t="shared" si="9"/>
        <v>17.2</v>
      </c>
      <c r="AF15" s="337">
        <f t="shared" si="10"/>
        <v>3.1</v>
      </c>
      <c r="AG15" s="337">
        <f t="shared" si="10"/>
        <v>1.5E-3</v>
      </c>
      <c r="AH15" s="337">
        <f t="shared" si="10"/>
        <v>20.650000000000002</v>
      </c>
      <c r="AI15" s="337">
        <f t="shared" si="10"/>
        <v>7.7</v>
      </c>
      <c r="AJ15" s="337">
        <f t="shared" si="10"/>
        <v>3.0000000000000001E-3</v>
      </c>
      <c r="AK15" s="337">
        <f t="shared" si="10"/>
        <v>49.9</v>
      </c>
      <c r="AL15" s="337">
        <f t="shared" si="10"/>
        <v>4.1500000000000004</v>
      </c>
      <c r="AM15" s="337">
        <f t="shared" si="10"/>
        <v>4.0000000000000001E-3</v>
      </c>
      <c r="AN15" s="337">
        <f t="shared" si="10"/>
        <v>27.85</v>
      </c>
      <c r="AO15" s="337">
        <f t="shared" si="10"/>
        <v>13.6</v>
      </c>
      <c r="AP15" s="337">
        <f t="shared" si="10"/>
        <v>6.0000000000000001E-3</v>
      </c>
      <c r="AQ15" s="337">
        <f t="shared" si="10"/>
        <v>24.2</v>
      </c>
      <c r="AR15" s="337">
        <v>1934</v>
      </c>
      <c r="AS15" s="337">
        <v>6.0999999999999999E-2</v>
      </c>
      <c r="AT15" s="337">
        <f t="shared" si="11"/>
        <v>1.008</v>
      </c>
      <c r="AU15" s="236" t="s">
        <v>406</v>
      </c>
      <c r="AV15" s="2130">
        <f t="shared" si="5"/>
        <v>0.06</v>
      </c>
      <c r="AW15" s="2130">
        <f t="shared" si="6"/>
        <v>0.94</v>
      </c>
      <c r="AY15" s="39" t="s">
        <v>379</v>
      </c>
    </row>
    <row r="16" spans="1:66" ht="12.75" customHeight="1">
      <c r="A16" s="522" t="s">
        <v>116</v>
      </c>
      <c r="B16" s="337">
        <v>-5</v>
      </c>
      <c r="C16" s="337">
        <v>86</v>
      </c>
      <c r="D16" s="337">
        <v>70</v>
      </c>
      <c r="E16" s="337">
        <v>7244</v>
      </c>
      <c r="F16" s="337">
        <v>6</v>
      </c>
      <c r="G16" s="337">
        <v>15</v>
      </c>
      <c r="H16" s="337">
        <f t="shared" si="7"/>
        <v>120</v>
      </c>
      <c r="I16" s="337">
        <f t="shared" si="7"/>
        <v>1006</v>
      </c>
      <c r="J16" s="337">
        <f t="shared" si="7"/>
        <v>52.9</v>
      </c>
      <c r="K16" s="337">
        <v>438</v>
      </c>
      <c r="L16" s="337">
        <f t="shared" si="8"/>
        <v>7.2999999999999995E-2</v>
      </c>
      <c r="M16" s="337">
        <f t="shared" si="8"/>
        <v>6.8000000000000005E-2</v>
      </c>
      <c r="N16" s="337">
        <f t="shared" si="8"/>
        <v>-2.7E-2</v>
      </c>
      <c r="O16" s="337">
        <f t="shared" si="8"/>
        <v>0</v>
      </c>
      <c r="P16" s="337">
        <f t="shared" si="8"/>
        <v>9.6</v>
      </c>
      <c r="Q16" s="337">
        <f t="shared" si="8"/>
        <v>11</v>
      </c>
      <c r="R16" s="337">
        <f t="shared" si="8"/>
        <v>17</v>
      </c>
      <c r="S16" s="337">
        <f t="shared" si="8"/>
        <v>8.5000000000000006E-2</v>
      </c>
      <c r="T16" s="337">
        <f t="shared" si="8"/>
        <v>6</v>
      </c>
      <c r="U16" s="337">
        <f t="shared" si="8"/>
        <v>2.5999999999999999E-2</v>
      </c>
      <c r="V16" s="337">
        <f t="shared" si="9"/>
        <v>42.7</v>
      </c>
      <c r="W16" s="337">
        <f t="shared" si="9"/>
        <v>6</v>
      </c>
      <c r="X16" s="337">
        <f t="shared" si="9"/>
        <v>2.5999999999999999E-2</v>
      </c>
      <c r="Y16" s="337">
        <f t="shared" si="9"/>
        <v>42.7</v>
      </c>
      <c r="Z16" s="337">
        <f t="shared" si="9"/>
        <v>1.8</v>
      </c>
      <c r="AA16" s="337">
        <f t="shared" si="9"/>
        <v>8.9999999999999993E-3</v>
      </c>
      <c r="AB16" s="337">
        <f t="shared" si="9"/>
        <v>14.9</v>
      </c>
      <c r="AC16" s="337">
        <f t="shared" si="9"/>
        <v>2.8</v>
      </c>
      <c r="AD16" s="337">
        <f t="shared" si="9"/>
        <v>0</v>
      </c>
      <c r="AE16" s="337">
        <f t="shared" si="9"/>
        <v>17.2</v>
      </c>
      <c r="AF16" s="337">
        <f t="shared" si="10"/>
        <v>3.1</v>
      </c>
      <c r="AG16" s="337">
        <f t="shared" si="10"/>
        <v>1.5E-3</v>
      </c>
      <c r="AH16" s="337">
        <f t="shared" si="10"/>
        <v>20.650000000000002</v>
      </c>
      <c r="AI16" s="337">
        <f t="shared" si="10"/>
        <v>7.7</v>
      </c>
      <c r="AJ16" s="337">
        <f t="shared" si="10"/>
        <v>3.0000000000000001E-3</v>
      </c>
      <c r="AK16" s="337">
        <f t="shared" si="10"/>
        <v>49.9</v>
      </c>
      <c r="AL16" s="337">
        <f t="shared" si="10"/>
        <v>4.1500000000000004</v>
      </c>
      <c r="AM16" s="337">
        <f t="shared" si="10"/>
        <v>4.0000000000000001E-3</v>
      </c>
      <c r="AN16" s="337">
        <f t="shared" si="10"/>
        <v>27.85</v>
      </c>
      <c r="AO16" s="337">
        <f t="shared" si="10"/>
        <v>13.6</v>
      </c>
      <c r="AP16" s="337">
        <f t="shared" si="10"/>
        <v>6.0000000000000001E-3</v>
      </c>
      <c r="AQ16" s="337">
        <f t="shared" si="10"/>
        <v>24.2</v>
      </c>
      <c r="AR16" s="337">
        <v>1934</v>
      </c>
      <c r="AS16" s="337">
        <v>6.0999999999999999E-2</v>
      </c>
      <c r="AT16" s="337">
        <f t="shared" si="11"/>
        <v>1.008</v>
      </c>
      <c r="AU16" s="236" t="s">
        <v>406</v>
      </c>
      <c r="AV16" s="2130">
        <f t="shared" si="5"/>
        <v>0.03</v>
      </c>
      <c r="AW16" s="2130">
        <f t="shared" si="6"/>
        <v>0.97</v>
      </c>
    </row>
    <row r="17" spans="1:49" ht="12.75" customHeight="1">
      <c r="A17" s="521" t="s">
        <v>117</v>
      </c>
      <c r="B17" s="337">
        <v>2</v>
      </c>
      <c r="C17" s="337">
        <v>88</v>
      </c>
      <c r="D17" s="337">
        <v>72</v>
      </c>
      <c r="E17" s="337">
        <v>6391</v>
      </c>
      <c r="F17" s="337">
        <v>5</v>
      </c>
      <c r="G17" s="337" t="s">
        <v>175</v>
      </c>
      <c r="H17" s="337">
        <v>208</v>
      </c>
      <c r="I17" s="337">
        <v>656</v>
      </c>
      <c r="J17" s="337">
        <v>62.5</v>
      </c>
      <c r="K17" s="337">
        <v>507</v>
      </c>
      <c r="L17" s="337">
        <v>0.16800000000000001</v>
      </c>
      <c r="M17" s="337">
        <v>9.1999999999999998E-2</v>
      </c>
      <c r="N17" s="337">
        <v>-2.3E-2</v>
      </c>
      <c r="O17" s="337"/>
      <c r="P17" s="337">
        <v>10.7</v>
      </c>
      <c r="Q17" s="337">
        <v>56</v>
      </c>
      <c r="R17" s="337">
        <v>17</v>
      </c>
      <c r="S17" s="337">
        <v>9.8000000000000004E-2</v>
      </c>
      <c r="T17" s="337">
        <v>-0.3</v>
      </c>
      <c r="U17" s="337">
        <v>1.7999999999999999E-2</v>
      </c>
      <c r="V17" s="337">
        <v>38.700000000000003</v>
      </c>
      <c r="W17" s="337">
        <v>-0.3</v>
      </c>
      <c r="X17" s="337">
        <v>1.7999999999999999E-2</v>
      </c>
      <c r="Y17" s="337">
        <v>38.700000000000003</v>
      </c>
      <c r="Z17" s="337">
        <v>-0.9</v>
      </c>
      <c r="AA17" s="337">
        <v>8.9999999999999993E-3</v>
      </c>
      <c r="AB17" s="337">
        <v>13.4</v>
      </c>
      <c r="AC17" s="337">
        <v>3.6</v>
      </c>
      <c r="AD17" s="337">
        <v>3.0000000000000001E-3</v>
      </c>
      <c r="AE17" s="337">
        <v>13</v>
      </c>
      <c r="AF17" s="337">
        <f>(6.3+1.6)/2</f>
        <v>3.95</v>
      </c>
      <c r="AG17" s="337">
        <v>1.5E-3</v>
      </c>
      <c r="AH17" s="337">
        <f>(25.1+6.7)/2</f>
        <v>15.9</v>
      </c>
      <c r="AI17" s="337">
        <v>9.9</v>
      </c>
      <c r="AJ17" s="337">
        <v>5.0000000000000001E-3</v>
      </c>
      <c r="AK17" s="337">
        <v>38.1</v>
      </c>
      <c r="AL17" s="337">
        <f>(7.6+2.9)/2</f>
        <v>5.25</v>
      </c>
      <c r="AM17" s="337">
        <v>4.0000000000000001E-3</v>
      </c>
      <c r="AN17" s="337">
        <f>(30.3+11.9)/2</f>
        <v>21.1</v>
      </c>
      <c r="AO17" s="337">
        <f>2*5.8</f>
        <v>11.6</v>
      </c>
      <c r="AP17" s="337">
        <f>2*0</f>
        <v>0</v>
      </c>
      <c r="AQ17" s="337">
        <f>2*11.8</f>
        <v>23.6</v>
      </c>
      <c r="AR17" s="337">
        <v>1934</v>
      </c>
      <c r="AS17" s="337">
        <v>6.0999999999999999E-2</v>
      </c>
      <c r="AT17" s="337">
        <v>1.145</v>
      </c>
      <c r="AU17" s="236" t="s">
        <v>410</v>
      </c>
      <c r="AV17" s="2130">
        <f t="shared" si="5"/>
        <v>0.06</v>
      </c>
      <c r="AW17" s="2130">
        <f t="shared" si="6"/>
        <v>0.94</v>
      </c>
    </row>
    <row r="18" spans="1:49" ht="12.75" customHeight="1">
      <c r="A18" s="521" t="s">
        <v>118</v>
      </c>
      <c r="B18" s="337">
        <v>2</v>
      </c>
      <c r="C18" s="337">
        <v>85</v>
      </c>
      <c r="D18" s="337">
        <v>73</v>
      </c>
      <c r="E18" s="337">
        <v>6747</v>
      </c>
      <c r="F18" s="337">
        <v>5</v>
      </c>
      <c r="G18" s="337" t="s">
        <v>173</v>
      </c>
      <c r="H18" s="337">
        <v>151</v>
      </c>
      <c r="I18" s="337">
        <v>966</v>
      </c>
      <c r="J18" s="337">
        <v>54.3</v>
      </c>
      <c r="K18" s="337">
        <v>507</v>
      </c>
      <c r="L18" s="337">
        <v>0.113</v>
      </c>
      <c r="M18" s="337">
        <v>7.1999999999999995E-2</v>
      </c>
      <c r="N18" s="337">
        <v>-2.5999999999999999E-2</v>
      </c>
      <c r="O18" s="337"/>
      <c r="P18" s="337">
        <v>9.9</v>
      </c>
      <c r="Q18" s="337">
        <v>20</v>
      </c>
      <c r="R18" s="337">
        <v>19</v>
      </c>
      <c r="S18" s="337">
        <v>7.9000000000000001E-2</v>
      </c>
      <c r="T18" s="337">
        <v>3.1</v>
      </c>
      <c r="U18" s="337">
        <v>1.8E-3</v>
      </c>
      <c r="V18" s="337">
        <v>38.6</v>
      </c>
      <c r="W18" s="337">
        <v>3.1</v>
      </c>
      <c r="X18" s="337">
        <v>1.7999999999999999E-2</v>
      </c>
      <c r="Y18" s="337">
        <v>38.6</v>
      </c>
      <c r="Z18" s="337">
        <v>0.7</v>
      </c>
      <c r="AA18" s="337">
        <v>0</v>
      </c>
      <c r="AB18" s="337">
        <v>13.9</v>
      </c>
      <c r="AC18" s="337">
        <v>3</v>
      </c>
      <c r="AD18" s="337">
        <v>3.0000000000000001E-3</v>
      </c>
      <c r="AE18" s="337">
        <v>16.5</v>
      </c>
      <c r="AF18" s="337">
        <f>(5.5+1.4)/2</f>
        <v>3.45</v>
      </c>
      <c r="AG18" s="337">
        <v>1.5E-3</v>
      </c>
      <c r="AH18" s="337">
        <f>(31.2+8.2)/2</f>
        <v>19.7</v>
      </c>
      <c r="AI18" s="337">
        <v>8.5</v>
      </c>
      <c r="AJ18" s="337">
        <v>5.0000000000000001E-3</v>
      </c>
      <c r="AK18" s="337">
        <v>47.7</v>
      </c>
      <c r="AL18" s="337">
        <f>(6.7+2.6)/2</f>
        <v>4.6500000000000004</v>
      </c>
      <c r="AM18" s="337">
        <v>4.0000000000000001E-3</v>
      </c>
      <c r="AN18" s="337">
        <f>(15+38)/2</f>
        <v>26.5</v>
      </c>
      <c r="AO18" s="337">
        <f>2*5.6</f>
        <v>11.2</v>
      </c>
      <c r="AP18" s="337">
        <f>2*0.003</f>
        <v>6.0000000000000001E-3</v>
      </c>
      <c r="AQ18" s="337">
        <f>2*12</f>
        <v>24</v>
      </c>
      <c r="AR18" s="337">
        <v>1934</v>
      </c>
      <c r="AS18" s="337">
        <v>6.0999999999999999E-2</v>
      </c>
      <c r="AT18" s="337">
        <v>1.036</v>
      </c>
      <c r="AU18" s="236" t="s">
        <v>407</v>
      </c>
      <c r="AV18" s="2130">
        <f t="shared" si="5"/>
        <v>0.06</v>
      </c>
      <c r="AW18" s="2130">
        <f t="shared" si="6"/>
        <v>0.94</v>
      </c>
    </row>
    <row r="19" spans="1:49" ht="12.75" customHeight="1">
      <c r="A19" s="522" t="s">
        <v>119</v>
      </c>
      <c r="B19" s="337">
        <v>-15</v>
      </c>
      <c r="C19" s="337">
        <v>84</v>
      </c>
      <c r="D19" s="337">
        <v>71</v>
      </c>
      <c r="E19" s="337">
        <v>8255</v>
      </c>
      <c r="F19" s="337">
        <v>6</v>
      </c>
      <c r="G19" s="337">
        <v>16</v>
      </c>
      <c r="H19" s="337">
        <f t="shared" ref="H19:J33" si="12">IF($AU19="Albany",H$4,IF($AU19="Binghamton",H$7,IF($AU19="Buffalo",H$18,IF($AU19="Massena",H$48,IF($AU19="NYC",H$34,IF($AU19="Poughkeepsie",H$17,H$37))))))</f>
        <v>143</v>
      </c>
      <c r="I19" s="337">
        <f t="shared" si="12"/>
        <v>1016</v>
      </c>
      <c r="J19" s="337">
        <f t="shared" si="12"/>
        <v>50.7</v>
      </c>
      <c r="K19" s="337">
        <v>438</v>
      </c>
      <c r="L19" s="337">
        <f t="shared" ref="L19:U33" si="13">IF($AU19="Albany",L$4,IF($AU19="Binghamton",L$7,IF($AU19="Buffalo",L$18,IF($AU19="Massena",L$48,IF($AU19="NYC",L$34,IF($AU19="Poughkeepsie",L$17,L$37))))))</f>
        <v>9.4E-2</v>
      </c>
      <c r="M19" s="337">
        <f t="shared" si="13"/>
        <v>7.2999999999999995E-2</v>
      </c>
      <c r="N19" s="337">
        <f t="shared" si="13"/>
        <v>-2.5999999999999999E-2</v>
      </c>
      <c r="O19" s="337">
        <f t="shared" si="13"/>
        <v>0</v>
      </c>
      <c r="P19" s="337">
        <f t="shared" si="13"/>
        <v>9.3000000000000007</v>
      </c>
      <c r="Q19" s="337">
        <f t="shared" si="13"/>
        <v>20</v>
      </c>
      <c r="R19" s="337">
        <f t="shared" si="13"/>
        <v>17</v>
      </c>
      <c r="S19" s="337">
        <f t="shared" si="13"/>
        <v>9.8000000000000004E-2</v>
      </c>
      <c r="T19" s="337">
        <f t="shared" si="13"/>
        <v>5.0999999999999996</v>
      </c>
      <c r="U19" s="337">
        <f t="shared" si="13"/>
        <v>1.7999999999999999E-2</v>
      </c>
      <c r="V19" s="337">
        <f t="shared" ref="V19:AE33" si="14">IF($AU19="Albany",V$4,IF($AU19="Binghamton",V$7,IF($AU19="Buffalo",V$18,IF($AU19="Massena",V$48,IF($AU19="NYC",V$34,IF($AU19="Poughkeepsie",V$17,V$37))))))</f>
        <v>45.1</v>
      </c>
      <c r="W19" s="337">
        <f t="shared" si="14"/>
        <v>5.0999999999999996</v>
      </c>
      <c r="X19" s="337">
        <f t="shared" si="14"/>
        <v>1.7999999999999999E-2</v>
      </c>
      <c r="Y19" s="337">
        <f t="shared" si="14"/>
        <v>45.1</v>
      </c>
      <c r="Z19" s="337">
        <f t="shared" si="14"/>
        <v>1.5</v>
      </c>
      <c r="AA19" s="337">
        <f t="shared" si="14"/>
        <v>8.9999999999999993E-3</v>
      </c>
      <c r="AB19" s="337">
        <f t="shared" si="14"/>
        <v>16</v>
      </c>
      <c r="AC19" s="337">
        <f t="shared" si="14"/>
        <v>5.3</v>
      </c>
      <c r="AD19" s="337">
        <f t="shared" si="14"/>
        <v>8.0000000000000002E-3</v>
      </c>
      <c r="AE19" s="337">
        <f t="shared" si="14"/>
        <v>19</v>
      </c>
      <c r="AF19" s="337">
        <f t="shared" ref="AF19:AQ33" si="15">IF($AU19="Albany",AF$4,IF($AU19="Binghamton",AF$7,IF($AU19="Buffalo",AF$18,IF($AU19="Massena",AF$48,IF($AU19="NYC",AF$34,IF($AU19="Poughkeepsie",AF$17,AF$37))))))</f>
        <v>6.25</v>
      </c>
      <c r="AG19" s="337">
        <f t="shared" si="15"/>
        <v>7.0000000000000001E-3</v>
      </c>
      <c r="AH19" s="337">
        <f t="shared" si="15"/>
        <v>22.349999999999998</v>
      </c>
      <c r="AI19" s="337">
        <f t="shared" si="15"/>
        <v>15.2</v>
      </c>
      <c r="AJ19" s="337">
        <f t="shared" si="15"/>
        <v>1.9E-2</v>
      </c>
      <c r="AK19" s="337">
        <f t="shared" si="15"/>
        <v>54.3</v>
      </c>
      <c r="AL19" s="337">
        <f t="shared" si="15"/>
        <v>8.4499999999999993</v>
      </c>
      <c r="AM19" s="337">
        <f t="shared" si="15"/>
        <v>9.4999999999999998E-3</v>
      </c>
      <c r="AN19" s="337">
        <f t="shared" si="15"/>
        <v>30.299999999999997</v>
      </c>
      <c r="AO19" s="337">
        <f t="shared" si="15"/>
        <v>11.4</v>
      </c>
      <c r="AP19" s="337">
        <f t="shared" si="15"/>
        <v>6.0000000000000001E-3</v>
      </c>
      <c r="AQ19" s="337">
        <f t="shared" si="15"/>
        <v>25.8</v>
      </c>
      <c r="AR19" s="337">
        <v>1934</v>
      </c>
      <c r="AS19" s="337">
        <v>6.0999999999999999E-2</v>
      </c>
      <c r="AT19" s="337">
        <f t="shared" ref="AT19:AT33" si="16">IF($AU19="Albany",AT$4,IF($AU19="Binghamton",AT$7,IF($AU19="Buffalo",AT$18,IF($AU19="Massena",AT$48,IF($AU19="NYC",AT$34,IF($AU19="Poughkeepsie",AT$17,AT$37))))))</f>
        <v>0.94899999999999995</v>
      </c>
      <c r="AU19" s="236" t="s">
        <v>409</v>
      </c>
      <c r="AV19" s="2130">
        <f t="shared" si="5"/>
        <v>0.03</v>
      </c>
      <c r="AW19" s="2130">
        <f t="shared" si="6"/>
        <v>0.97</v>
      </c>
    </row>
    <row r="20" spans="1:49" ht="12.75" customHeight="1">
      <c r="A20" s="522" t="s">
        <v>120</v>
      </c>
      <c r="B20" s="337">
        <v>-15</v>
      </c>
      <c r="C20" s="337">
        <v>84</v>
      </c>
      <c r="D20" s="337">
        <v>71</v>
      </c>
      <c r="E20" s="337">
        <v>8255</v>
      </c>
      <c r="F20" s="337">
        <v>6</v>
      </c>
      <c r="G20" s="337">
        <v>16</v>
      </c>
      <c r="H20" s="337">
        <f t="shared" si="12"/>
        <v>143</v>
      </c>
      <c r="I20" s="337">
        <f t="shared" si="12"/>
        <v>1016</v>
      </c>
      <c r="J20" s="337">
        <f t="shared" si="12"/>
        <v>50.7</v>
      </c>
      <c r="K20" s="337">
        <v>438</v>
      </c>
      <c r="L20" s="337">
        <f t="shared" si="13"/>
        <v>9.4E-2</v>
      </c>
      <c r="M20" s="337">
        <f t="shared" si="13"/>
        <v>7.2999999999999995E-2</v>
      </c>
      <c r="N20" s="337">
        <f t="shared" si="13"/>
        <v>-2.5999999999999999E-2</v>
      </c>
      <c r="O20" s="337">
        <f t="shared" si="13"/>
        <v>0</v>
      </c>
      <c r="P20" s="337">
        <f t="shared" si="13"/>
        <v>9.3000000000000007</v>
      </c>
      <c r="Q20" s="337">
        <f t="shared" si="13"/>
        <v>20</v>
      </c>
      <c r="R20" s="337">
        <f t="shared" si="13"/>
        <v>17</v>
      </c>
      <c r="S20" s="337">
        <f t="shared" si="13"/>
        <v>9.8000000000000004E-2</v>
      </c>
      <c r="T20" s="337">
        <f t="shared" si="13"/>
        <v>5.0999999999999996</v>
      </c>
      <c r="U20" s="337">
        <f t="shared" si="13"/>
        <v>1.7999999999999999E-2</v>
      </c>
      <c r="V20" s="337">
        <f t="shared" si="14"/>
        <v>45.1</v>
      </c>
      <c r="W20" s="337">
        <f t="shared" si="14"/>
        <v>5.0999999999999996</v>
      </c>
      <c r="X20" s="337">
        <f t="shared" si="14"/>
        <v>1.7999999999999999E-2</v>
      </c>
      <c r="Y20" s="337">
        <f t="shared" si="14"/>
        <v>45.1</v>
      </c>
      <c r="Z20" s="337">
        <f t="shared" si="14"/>
        <v>1.5</v>
      </c>
      <c r="AA20" s="337">
        <f t="shared" si="14"/>
        <v>8.9999999999999993E-3</v>
      </c>
      <c r="AB20" s="337">
        <f t="shared" si="14"/>
        <v>16</v>
      </c>
      <c r="AC20" s="337">
        <f t="shared" si="14"/>
        <v>5.3</v>
      </c>
      <c r="AD20" s="337">
        <f t="shared" si="14"/>
        <v>8.0000000000000002E-3</v>
      </c>
      <c r="AE20" s="337">
        <f t="shared" si="14"/>
        <v>19</v>
      </c>
      <c r="AF20" s="337">
        <f t="shared" si="15"/>
        <v>6.25</v>
      </c>
      <c r="AG20" s="337">
        <f t="shared" si="15"/>
        <v>7.0000000000000001E-3</v>
      </c>
      <c r="AH20" s="337">
        <f t="shared" si="15"/>
        <v>22.349999999999998</v>
      </c>
      <c r="AI20" s="337">
        <f t="shared" si="15"/>
        <v>15.2</v>
      </c>
      <c r="AJ20" s="337">
        <f t="shared" si="15"/>
        <v>1.9E-2</v>
      </c>
      <c r="AK20" s="337">
        <f t="shared" si="15"/>
        <v>54.3</v>
      </c>
      <c r="AL20" s="337">
        <f t="shared" si="15"/>
        <v>8.4499999999999993</v>
      </c>
      <c r="AM20" s="337">
        <f t="shared" si="15"/>
        <v>9.4999999999999998E-3</v>
      </c>
      <c r="AN20" s="337">
        <f t="shared" si="15"/>
        <v>30.299999999999997</v>
      </c>
      <c r="AO20" s="337">
        <f t="shared" si="15"/>
        <v>11.4</v>
      </c>
      <c r="AP20" s="337">
        <f t="shared" si="15"/>
        <v>6.0000000000000001E-3</v>
      </c>
      <c r="AQ20" s="337">
        <f t="shared" si="15"/>
        <v>25.8</v>
      </c>
      <c r="AR20" s="337">
        <v>1934</v>
      </c>
      <c r="AS20" s="337">
        <v>6.0999999999999999E-2</v>
      </c>
      <c r="AT20" s="337">
        <f t="shared" si="16"/>
        <v>0.94899999999999995</v>
      </c>
      <c r="AU20" s="236" t="s">
        <v>409</v>
      </c>
      <c r="AV20" s="2130">
        <f t="shared" si="5"/>
        <v>0.03</v>
      </c>
      <c r="AW20" s="2130">
        <f t="shared" si="6"/>
        <v>0.97</v>
      </c>
    </row>
    <row r="21" spans="1:49" ht="12.75" customHeight="1">
      <c r="A21" s="522" t="s">
        <v>121</v>
      </c>
      <c r="B21" s="337">
        <v>-7</v>
      </c>
      <c r="C21" s="337">
        <v>86</v>
      </c>
      <c r="D21" s="337">
        <v>70</v>
      </c>
      <c r="E21" s="337">
        <v>6894</v>
      </c>
      <c r="F21" s="337">
        <v>6</v>
      </c>
      <c r="G21" s="337">
        <v>15</v>
      </c>
      <c r="H21" s="337">
        <f t="shared" si="12"/>
        <v>181</v>
      </c>
      <c r="I21" s="337">
        <f t="shared" si="12"/>
        <v>786</v>
      </c>
      <c r="J21" s="337">
        <f t="shared" si="12"/>
        <v>54.2</v>
      </c>
      <c r="K21" s="337">
        <v>438</v>
      </c>
      <c r="L21" s="337">
        <f t="shared" si="13"/>
        <v>0.113</v>
      </c>
      <c r="M21" s="337">
        <f t="shared" si="13"/>
        <v>0.08</v>
      </c>
      <c r="N21" s="337">
        <f t="shared" si="13"/>
        <v>-2.5000000000000001E-2</v>
      </c>
      <c r="O21" s="337">
        <f t="shared" si="13"/>
        <v>0</v>
      </c>
      <c r="P21" s="337">
        <f t="shared" si="13"/>
        <v>9.6999999999999993</v>
      </c>
      <c r="Q21" s="337">
        <f t="shared" si="13"/>
        <v>22</v>
      </c>
      <c r="R21" s="337">
        <f t="shared" si="13"/>
        <v>16</v>
      </c>
      <c r="S21" s="337">
        <f t="shared" si="13"/>
        <v>9.9000000000000005E-2</v>
      </c>
      <c r="T21" s="337">
        <f t="shared" si="13"/>
        <v>6.3</v>
      </c>
      <c r="U21" s="337">
        <f t="shared" si="13"/>
        <v>1.7999999999999999E-2</v>
      </c>
      <c r="V21" s="337">
        <f t="shared" si="14"/>
        <v>39.200000000000003</v>
      </c>
      <c r="W21" s="337">
        <f t="shared" si="14"/>
        <v>6.3</v>
      </c>
      <c r="X21" s="337">
        <f t="shared" si="14"/>
        <v>1.7999999999999999E-2</v>
      </c>
      <c r="Y21" s="337">
        <f t="shared" si="14"/>
        <v>39.200000000000003</v>
      </c>
      <c r="Z21" s="337">
        <f t="shared" si="14"/>
        <v>1.8</v>
      </c>
      <c r="AA21" s="337">
        <f t="shared" si="14"/>
        <v>1.7999999999999999E-2</v>
      </c>
      <c r="AB21" s="337">
        <f t="shared" si="14"/>
        <v>14.1</v>
      </c>
      <c r="AC21" s="337">
        <f t="shared" si="14"/>
        <v>4.3</v>
      </c>
      <c r="AD21" s="337">
        <f t="shared" si="14"/>
        <v>5.0000000000000001E-3</v>
      </c>
      <c r="AE21" s="337">
        <f t="shared" si="14"/>
        <v>15.7</v>
      </c>
      <c r="AF21" s="337">
        <f t="shared" si="15"/>
        <v>5</v>
      </c>
      <c r="AG21" s="337">
        <f t="shared" si="15"/>
        <v>4.0000000000000001E-3</v>
      </c>
      <c r="AH21" s="337">
        <f t="shared" si="15"/>
        <v>19</v>
      </c>
      <c r="AI21" s="337">
        <f t="shared" si="15"/>
        <v>12.2</v>
      </c>
      <c r="AJ21" s="337">
        <f t="shared" si="15"/>
        <v>1.0999999999999999E-2</v>
      </c>
      <c r="AK21" s="337">
        <f t="shared" si="15"/>
        <v>45.6</v>
      </c>
      <c r="AL21" s="337">
        <f t="shared" si="15"/>
        <v>6.6999999999999993</v>
      </c>
      <c r="AM21" s="337">
        <f t="shared" si="15"/>
        <v>6.5000000000000002E-2</v>
      </c>
      <c r="AN21" s="337">
        <f t="shared" si="15"/>
        <v>25.6</v>
      </c>
      <c r="AO21" s="337">
        <f t="shared" si="15"/>
        <v>12.8</v>
      </c>
      <c r="AP21" s="337">
        <f t="shared" si="15"/>
        <v>6.0000000000000001E-3</v>
      </c>
      <c r="AQ21" s="337">
        <f t="shared" si="15"/>
        <v>22.6</v>
      </c>
      <c r="AR21" s="337">
        <v>1934</v>
      </c>
      <c r="AS21" s="337">
        <v>6.0999999999999999E-2</v>
      </c>
      <c r="AT21" s="337">
        <f t="shared" si="16"/>
        <v>1</v>
      </c>
      <c r="AU21" s="236" t="s">
        <v>405</v>
      </c>
      <c r="AV21" s="2130">
        <f t="shared" si="5"/>
        <v>0.03</v>
      </c>
      <c r="AW21" s="2130">
        <f t="shared" si="6"/>
        <v>0.97</v>
      </c>
    </row>
    <row r="22" spans="1:49" ht="12.75" customHeight="1">
      <c r="A22" s="522" t="s">
        <v>122</v>
      </c>
      <c r="B22" s="337">
        <v>1</v>
      </c>
      <c r="C22" s="337">
        <v>86</v>
      </c>
      <c r="D22" s="337">
        <v>71</v>
      </c>
      <c r="E22" s="337">
        <v>6734</v>
      </c>
      <c r="F22" s="337">
        <v>5</v>
      </c>
      <c r="G22" s="337" t="s">
        <v>173</v>
      </c>
      <c r="H22" s="337">
        <f t="shared" si="12"/>
        <v>151</v>
      </c>
      <c r="I22" s="337">
        <f t="shared" si="12"/>
        <v>966</v>
      </c>
      <c r="J22" s="337">
        <f t="shared" si="12"/>
        <v>54.3</v>
      </c>
      <c r="K22" s="337">
        <v>507</v>
      </c>
      <c r="L22" s="337">
        <f t="shared" si="13"/>
        <v>0.113</v>
      </c>
      <c r="M22" s="337">
        <f t="shared" si="13"/>
        <v>7.1999999999999995E-2</v>
      </c>
      <c r="N22" s="337">
        <f t="shared" si="13"/>
        <v>-2.5999999999999999E-2</v>
      </c>
      <c r="O22" s="337">
        <f t="shared" si="13"/>
        <v>0</v>
      </c>
      <c r="P22" s="337">
        <f t="shared" si="13"/>
        <v>9.9</v>
      </c>
      <c r="Q22" s="337">
        <f t="shared" si="13"/>
        <v>20</v>
      </c>
      <c r="R22" s="337">
        <f t="shared" si="13"/>
        <v>19</v>
      </c>
      <c r="S22" s="337">
        <f t="shared" si="13"/>
        <v>7.9000000000000001E-2</v>
      </c>
      <c r="T22" s="337">
        <f t="shared" si="13"/>
        <v>3.1</v>
      </c>
      <c r="U22" s="337">
        <f t="shared" si="13"/>
        <v>1.8E-3</v>
      </c>
      <c r="V22" s="337">
        <f t="shared" si="14"/>
        <v>38.6</v>
      </c>
      <c r="W22" s="337">
        <f t="shared" si="14"/>
        <v>3.1</v>
      </c>
      <c r="X22" s="337">
        <f t="shared" si="14"/>
        <v>1.7999999999999999E-2</v>
      </c>
      <c r="Y22" s="337">
        <f t="shared" si="14"/>
        <v>38.6</v>
      </c>
      <c r="Z22" s="337">
        <f t="shared" si="14"/>
        <v>0.7</v>
      </c>
      <c r="AA22" s="337">
        <f t="shared" si="14"/>
        <v>0</v>
      </c>
      <c r="AB22" s="337">
        <f t="shared" si="14"/>
        <v>13.9</v>
      </c>
      <c r="AC22" s="337">
        <f t="shared" si="14"/>
        <v>3</v>
      </c>
      <c r="AD22" s="337">
        <f t="shared" si="14"/>
        <v>3.0000000000000001E-3</v>
      </c>
      <c r="AE22" s="337">
        <f t="shared" si="14"/>
        <v>16.5</v>
      </c>
      <c r="AF22" s="337">
        <f t="shared" si="15"/>
        <v>3.45</v>
      </c>
      <c r="AG22" s="337">
        <f t="shared" si="15"/>
        <v>1.5E-3</v>
      </c>
      <c r="AH22" s="337">
        <f t="shared" si="15"/>
        <v>19.7</v>
      </c>
      <c r="AI22" s="337">
        <f t="shared" si="15"/>
        <v>8.5</v>
      </c>
      <c r="AJ22" s="337">
        <f t="shared" si="15"/>
        <v>5.0000000000000001E-3</v>
      </c>
      <c r="AK22" s="337">
        <f t="shared" si="15"/>
        <v>47.7</v>
      </c>
      <c r="AL22" s="337">
        <f t="shared" si="15"/>
        <v>4.6500000000000004</v>
      </c>
      <c r="AM22" s="337">
        <f t="shared" si="15"/>
        <v>4.0000000000000001E-3</v>
      </c>
      <c r="AN22" s="337">
        <f t="shared" si="15"/>
        <v>26.5</v>
      </c>
      <c r="AO22" s="337">
        <f t="shared" si="15"/>
        <v>11.2</v>
      </c>
      <c r="AP22" s="337">
        <f t="shared" si="15"/>
        <v>6.0000000000000001E-3</v>
      </c>
      <c r="AQ22" s="337">
        <f t="shared" si="15"/>
        <v>24</v>
      </c>
      <c r="AR22" s="337">
        <v>1934</v>
      </c>
      <c r="AS22" s="337">
        <v>6.0999999999999999E-2</v>
      </c>
      <c r="AT22" s="337">
        <f t="shared" si="16"/>
        <v>1.036</v>
      </c>
      <c r="AU22" s="236" t="s">
        <v>407</v>
      </c>
      <c r="AV22" s="2130">
        <f t="shared" si="5"/>
        <v>0.06</v>
      </c>
      <c r="AW22" s="2130">
        <f t="shared" si="6"/>
        <v>0.94</v>
      </c>
    </row>
    <row r="23" spans="1:49" ht="12.75" customHeight="1">
      <c r="A23" s="522" t="s">
        <v>123</v>
      </c>
      <c r="B23" s="337">
        <v>-7</v>
      </c>
      <c r="C23" s="337">
        <v>86</v>
      </c>
      <c r="D23" s="337">
        <v>70</v>
      </c>
      <c r="E23" s="337">
        <v>6894</v>
      </c>
      <c r="F23" s="337">
        <v>5</v>
      </c>
      <c r="G23" s="337" t="s">
        <v>173</v>
      </c>
      <c r="H23" s="337">
        <f t="shared" si="12"/>
        <v>181</v>
      </c>
      <c r="I23" s="337">
        <f t="shared" si="12"/>
        <v>786</v>
      </c>
      <c r="J23" s="337">
        <f t="shared" si="12"/>
        <v>54.2</v>
      </c>
      <c r="K23" s="337">
        <v>507</v>
      </c>
      <c r="L23" s="337">
        <f t="shared" si="13"/>
        <v>0.113</v>
      </c>
      <c r="M23" s="337">
        <f t="shared" si="13"/>
        <v>0.08</v>
      </c>
      <c r="N23" s="337">
        <f t="shared" si="13"/>
        <v>-2.5000000000000001E-2</v>
      </c>
      <c r="O23" s="337">
        <f t="shared" si="13"/>
        <v>0</v>
      </c>
      <c r="P23" s="337">
        <f t="shared" si="13"/>
        <v>9.6999999999999993</v>
      </c>
      <c r="Q23" s="337">
        <f t="shared" si="13"/>
        <v>22</v>
      </c>
      <c r="R23" s="337">
        <f t="shared" si="13"/>
        <v>16</v>
      </c>
      <c r="S23" s="337">
        <f t="shared" si="13"/>
        <v>9.9000000000000005E-2</v>
      </c>
      <c r="T23" s="337">
        <f t="shared" si="13"/>
        <v>6.3</v>
      </c>
      <c r="U23" s="337">
        <f t="shared" si="13"/>
        <v>1.7999999999999999E-2</v>
      </c>
      <c r="V23" s="337">
        <f t="shared" si="14"/>
        <v>39.200000000000003</v>
      </c>
      <c r="W23" s="337">
        <f t="shared" si="14"/>
        <v>6.3</v>
      </c>
      <c r="X23" s="337">
        <f t="shared" si="14"/>
        <v>1.7999999999999999E-2</v>
      </c>
      <c r="Y23" s="337">
        <f t="shared" si="14"/>
        <v>39.200000000000003</v>
      </c>
      <c r="Z23" s="337">
        <f t="shared" si="14"/>
        <v>1.8</v>
      </c>
      <c r="AA23" s="337">
        <f t="shared" si="14"/>
        <v>1.7999999999999999E-2</v>
      </c>
      <c r="AB23" s="337">
        <f t="shared" si="14"/>
        <v>14.1</v>
      </c>
      <c r="AC23" s="337">
        <f t="shared" si="14"/>
        <v>4.3</v>
      </c>
      <c r="AD23" s="337">
        <f t="shared" si="14"/>
        <v>5.0000000000000001E-3</v>
      </c>
      <c r="AE23" s="337">
        <f t="shared" si="14"/>
        <v>15.7</v>
      </c>
      <c r="AF23" s="337">
        <f t="shared" si="15"/>
        <v>5</v>
      </c>
      <c r="AG23" s="337">
        <f t="shared" si="15"/>
        <v>4.0000000000000001E-3</v>
      </c>
      <c r="AH23" s="337">
        <f t="shared" si="15"/>
        <v>19</v>
      </c>
      <c r="AI23" s="337">
        <f t="shared" si="15"/>
        <v>12.2</v>
      </c>
      <c r="AJ23" s="337">
        <f t="shared" si="15"/>
        <v>1.0999999999999999E-2</v>
      </c>
      <c r="AK23" s="337">
        <f t="shared" si="15"/>
        <v>45.6</v>
      </c>
      <c r="AL23" s="337">
        <f t="shared" si="15"/>
        <v>6.6999999999999993</v>
      </c>
      <c r="AM23" s="337">
        <f t="shared" si="15"/>
        <v>6.5000000000000002E-2</v>
      </c>
      <c r="AN23" s="337">
        <f t="shared" si="15"/>
        <v>25.6</v>
      </c>
      <c r="AO23" s="337">
        <f t="shared" si="15"/>
        <v>12.8</v>
      </c>
      <c r="AP23" s="337">
        <f t="shared" si="15"/>
        <v>6.0000000000000001E-3</v>
      </c>
      <c r="AQ23" s="337">
        <f t="shared" si="15"/>
        <v>22.6</v>
      </c>
      <c r="AR23" s="337">
        <v>1934</v>
      </c>
      <c r="AS23" s="337">
        <v>6.0999999999999999E-2</v>
      </c>
      <c r="AT23" s="337">
        <f t="shared" si="16"/>
        <v>1</v>
      </c>
      <c r="AU23" s="236" t="s">
        <v>405</v>
      </c>
      <c r="AV23" s="2130">
        <f t="shared" si="5"/>
        <v>0.06</v>
      </c>
      <c r="AW23" s="2130">
        <f t="shared" si="6"/>
        <v>0.94</v>
      </c>
    </row>
    <row r="24" spans="1:49" ht="12.75" customHeight="1">
      <c r="A24" s="522" t="s">
        <v>124</v>
      </c>
      <c r="B24" s="337">
        <v>-10</v>
      </c>
      <c r="C24" s="337">
        <v>85</v>
      </c>
      <c r="D24" s="337">
        <v>71</v>
      </c>
      <c r="E24" s="337">
        <v>7635</v>
      </c>
      <c r="F24" s="337">
        <v>6</v>
      </c>
      <c r="G24" s="337">
        <v>16</v>
      </c>
      <c r="H24" s="337">
        <f t="shared" si="12"/>
        <v>143</v>
      </c>
      <c r="I24" s="337">
        <f t="shared" si="12"/>
        <v>1016</v>
      </c>
      <c r="J24" s="337">
        <f t="shared" si="12"/>
        <v>50.7</v>
      </c>
      <c r="K24" s="337">
        <v>438</v>
      </c>
      <c r="L24" s="337">
        <f t="shared" si="13"/>
        <v>9.4E-2</v>
      </c>
      <c r="M24" s="337">
        <f t="shared" si="13"/>
        <v>7.2999999999999995E-2</v>
      </c>
      <c r="N24" s="337">
        <f t="shared" si="13"/>
        <v>-2.5999999999999999E-2</v>
      </c>
      <c r="O24" s="337">
        <f t="shared" si="13"/>
        <v>0</v>
      </c>
      <c r="P24" s="337">
        <f t="shared" si="13"/>
        <v>9.3000000000000007</v>
      </c>
      <c r="Q24" s="337">
        <f t="shared" si="13"/>
        <v>20</v>
      </c>
      <c r="R24" s="337">
        <f t="shared" si="13"/>
        <v>17</v>
      </c>
      <c r="S24" s="337">
        <f t="shared" si="13"/>
        <v>9.8000000000000004E-2</v>
      </c>
      <c r="T24" s="337">
        <f t="shared" si="13"/>
        <v>5.0999999999999996</v>
      </c>
      <c r="U24" s="337">
        <f t="shared" si="13"/>
        <v>1.7999999999999999E-2</v>
      </c>
      <c r="V24" s="337">
        <f t="shared" si="14"/>
        <v>45.1</v>
      </c>
      <c r="W24" s="337">
        <f t="shared" si="14"/>
        <v>5.0999999999999996</v>
      </c>
      <c r="X24" s="337">
        <f t="shared" si="14"/>
        <v>1.7999999999999999E-2</v>
      </c>
      <c r="Y24" s="337">
        <f t="shared" si="14"/>
        <v>45.1</v>
      </c>
      <c r="Z24" s="337">
        <f t="shared" si="14"/>
        <v>1.5</v>
      </c>
      <c r="AA24" s="337">
        <f t="shared" si="14"/>
        <v>8.9999999999999993E-3</v>
      </c>
      <c r="AB24" s="337">
        <f t="shared" si="14"/>
        <v>16</v>
      </c>
      <c r="AC24" s="337">
        <f t="shared" si="14"/>
        <v>5.3</v>
      </c>
      <c r="AD24" s="337">
        <f t="shared" si="14"/>
        <v>8.0000000000000002E-3</v>
      </c>
      <c r="AE24" s="337">
        <f t="shared" si="14"/>
        <v>19</v>
      </c>
      <c r="AF24" s="337">
        <f t="shared" si="15"/>
        <v>6.25</v>
      </c>
      <c r="AG24" s="337">
        <f t="shared" si="15"/>
        <v>7.0000000000000001E-3</v>
      </c>
      <c r="AH24" s="337">
        <f t="shared" si="15"/>
        <v>22.349999999999998</v>
      </c>
      <c r="AI24" s="337">
        <f t="shared" si="15"/>
        <v>15.2</v>
      </c>
      <c r="AJ24" s="337">
        <f t="shared" si="15"/>
        <v>1.9E-2</v>
      </c>
      <c r="AK24" s="337">
        <f t="shared" si="15"/>
        <v>54.3</v>
      </c>
      <c r="AL24" s="337">
        <f t="shared" si="15"/>
        <v>8.4499999999999993</v>
      </c>
      <c r="AM24" s="337">
        <f t="shared" si="15"/>
        <v>9.4999999999999998E-3</v>
      </c>
      <c r="AN24" s="337">
        <f t="shared" si="15"/>
        <v>30.299999999999997</v>
      </c>
      <c r="AO24" s="337">
        <f t="shared" si="15"/>
        <v>11.4</v>
      </c>
      <c r="AP24" s="337">
        <f t="shared" si="15"/>
        <v>6.0000000000000001E-3</v>
      </c>
      <c r="AQ24" s="337">
        <f t="shared" si="15"/>
        <v>25.8</v>
      </c>
      <c r="AR24" s="337">
        <v>1934</v>
      </c>
      <c r="AS24" s="337">
        <v>6.0999999999999999E-2</v>
      </c>
      <c r="AT24" s="337">
        <f t="shared" si="16"/>
        <v>0.94899999999999995</v>
      </c>
      <c r="AU24" s="236" t="s">
        <v>409</v>
      </c>
      <c r="AV24" s="2130">
        <f t="shared" si="5"/>
        <v>0.03</v>
      </c>
      <c r="AW24" s="2130">
        <f t="shared" si="6"/>
        <v>0.97</v>
      </c>
    </row>
    <row r="25" spans="1:49" ht="12.75" customHeight="1">
      <c r="A25" s="522" t="s">
        <v>125</v>
      </c>
      <c r="B25" s="337">
        <v>-5</v>
      </c>
      <c r="C25" s="337">
        <v>86</v>
      </c>
      <c r="D25" s="337">
        <v>70</v>
      </c>
      <c r="E25" s="337">
        <v>7244</v>
      </c>
      <c r="F25" s="337">
        <v>6</v>
      </c>
      <c r="G25" s="337">
        <v>15</v>
      </c>
      <c r="H25" s="337">
        <f t="shared" si="12"/>
        <v>181</v>
      </c>
      <c r="I25" s="337">
        <f t="shared" si="12"/>
        <v>786</v>
      </c>
      <c r="J25" s="337">
        <f t="shared" si="12"/>
        <v>54.2</v>
      </c>
      <c r="K25" s="337">
        <v>438</v>
      </c>
      <c r="L25" s="337">
        <f t="shared" si="13"/>
        <v>0.113</v>
      </c>
      <c r="M25" s="337">
        <f t="shared" si="13"/>
        <v>0.08</v>
      </c>
      <c r="N25" s="337">
        <f t="shared" si="13"/>
        <v>-2.5000000000000001E-2</v>
      </c>
      <c r="O25" s="337">
        <f t="shared" si="13"/>
        <v>0</v>
      </c>
      <c r="P25" s="337">
        <f t="shared" si="13"/>
        <v>9.6999999999999993</v>
      </c>
      <c r="Q25" s="337">
        <f t="shared" si="13"/>
        <v>22</v>
      </c>
      <c r="R25" s="337">
        <f t="shared" si="13"/>
        <v>16</v>
      </c>
      <c r="S25" s="337">
        <f t="shared" si="13"/>
        <v>9.9000000000000005E-2</v>
      </c>
      <c r="T25" s="337">
        <f t="shared" si="13"/>
        <v>6.3</v>
      </c>
      <c r="U25" s="337">
        <f t="shared" si="13"/>
        <v>1.7999999999999999E-2</v>
      </c>
      <c r="V25" s="337">
        <f t="shared" si="14"/>
        <v>39.200000000000003</v>
      </c>
      <c r="W25" s="337">
        <f t="shared" si="14"/>
        <v>6.3</v>
      </c>
      <c r="X25" s="337">
        <f t="shared" si="14"/>
        <v>1.7999999999999999E-2</v>
      </c>
      <c r="Y25" s="337">
        <f t="shared" si="14"/>
        <v>39.200000000000003</v>
      </c>
      <c r="Z25" s="337">
        <f t="shared" si="14"/>
        <v>1.8</v>
      </c>
      <c r="AA25" s="337">
        <f t="shared" si="14"/>
        <v>1.7999999999999999E-2</v>
      </c>
      <c r="AB25" s="337">
        <f t="shared" si="14"/>
        <v>14.1</v>
      </c>
      <c r="AC25" s="337">
        <f t="shared" si="14"/>
        <v>4.3</v>
      </c>
      <c r="AD25" s="337">
        <f t="shared" si="14"/>
        <v>5.0000000000000001E-3</v>
      </c>
      <c r="AE25" s="337">
        <f t="shared" si="14"/>
        <v>15.7</v>
      </c>
      <c r="AF25" s="337">
        <f t="shared" si="15"/>
        <v>5</v>
      </c>
      <c r="AG25" s="337">
        <f t="shared" si="15"/>
        <v>4.0000000000000001E-3</v>
      </c>
      <c r="AH25" s="337">
        <f t="shared" si="15"/>
        <v>19</v>
      </c>
      <c r="AI25" s="337">
        <f t="shared" si="15"/>
        <v>12.2</v>
      </c>
      <c r="AJ25" s="337">
        <f t="shared" si="15"/>
        <v>1.0999999999999999E-2</v>
      </c>
      <c r="AK25" s="337">
        <f t="shared" si="15"/>
        <v>45.6</v>
      </c>
      <c r="AL25" s="337">
        <f t="shared" si="15"/>
        <v>6.6999999999999993</v>
      </c>
      <c r="AM25" s="337">
        <f t="shared" si="15"/>
        <v>6.5000000000000002E-2</v>
      </c>
      <c r="AN25" s="337">
        <f t="shared" si="15"/>
        <v>25.6</v>
      </c>
      <c r="AO25" s="337">
        <f t="shared" si="15"/>
        <v>12.8</v>
      </c>
      <c r="AP25" s="337">
        <f t="shared" si="15"/>
        <v>6.0000000000000001E-3</v>
      </c>
      <c r="AQ25" s="337">
        <f t="shared" si="15"/>
        <v>22.6</v>
      </c>
      <c r="AR25" s="337">
        <v>1934</v>
      </c>
      <c r="AS25" s="337">
        <v>6.0999999999999999E-2</v>
      </c>
      <c r="AT25" s="337">
        <f t="shared" si="16"/>
        <v>1</v>
      </c>
      <c r="AU25" s="236" t="s">
        <v>405</v>
      </c>
      <c r="AV25" s="2130">
        <f t="shared" si="5"/>
        <v>0.03</v>
      </c>
      <c r="AW25" s="2130">
        <f t="shared" si="6"/>
        <v>0.97</v>
      </c>
    </row>
    <row r="26" spans="1:49" ht="12.75" customHeight="1">
      <c r="A26" s="522" t="s">
        <v>126</v>
      </c>
      <c r="B26" s="337">
        <v>-12</v>
      </c>
      <c r="C26" s="337">
        <v>83</v>
      </c>
      <c r="D26" s="337">
        <v>70</v>
      </c>
      <c r="E26" s="337">
        <v>7540</v>
      </c>
      <c r="F26" s="337">
        <v>6</v>
      </c>
      <c r="G26" s="337">
        <v>15</v>
      </c>
      <c r="H26" s="337">
        <f t="shared" si="12"/>
        <v>143</v>
      </c>
      <c r="I26" s="337">
        <f t="shared" si="12"/>
        <v>1016</v>
      </c>
      <c r="J26" s="337">
        <f t="shared" si="12"/>
        <v>50.7</v>
      </c>
      <c r="K26" s="337">
        <v>438</v>
      </c>
      <c r="L26" s="337">
        <f t="shared" si="13"/>
        <v>9.4E-2</v>
      </c>
      <c r="M26" s="337">
        <f t="shared" si="13"/>
        <v>7.2999999999999995E-2</v>
      </c>
      <c r="N26" s="337">
        <f t="shared" si="13"/>
        <v>-2.5999999999999999E-2</v>
      </c>
      <c r="O26" s="337">
        <f t="shared" si="13"/>
        <v>0</v>
      </c>
      <c r="P26" s="337">
        <f t="shared" si="13"/>
        <v>9.3000000000000007</v>
      </c>
      <c r="Q26" s="337">
        <f t="shared" si="13"/>
        <v>20</v>
      </c>
      <c r="R26" s="337">
        <f t="shared" si="13"/>
        <v>17</v>
      </c>
      <c r="S26" s="337">
        <f t="shared" si="13"/>
        <v>9.8000000000000004E-2</v>
      </c>
      <c r="T26" s="337">
        <f t="shared" si="13"/>
        <v>5.0999999999999996</v>
      </c>
      <c r="U26" s="337">
        <f t="shared" si="13"/>
        <v>1.7999999999999999E-2</v>
      </c>
      <c r="V26" s="337">
        <f t="shared" si="14"/>
        <v>45.1</v>
      </c>
      <c r="W26" s="337">
        <f t="shared" si="14"/>
        <v>5.0999999999999996</v>
      </c>
      <c r="X26" s="337">
        <f t="shared" si="14"/>
        <v>1.7999999999999999E-2</v>
      </c>
      <c r="Y26" s="337">
        <f t="shared" si="14"/>
        <v>45.1</v>
      </c>
      <c r="Z26" s="337">
        <f t="shared" si="14"/>
        <v>1.5</v>
      </c>
      <c r="AA26" s="337">
        <f t="shared" si="14"/>
        <v>8.9999999999999993E-3</v>
      </c>
      <c r="AB26" s="337">
        <f t="shared" si="14"/>
        <v>16</v>
      </c>
      <c r="AC26" s="337">
        <f t="shared" si="14"/>
        <v>5.3</v>
      </c>
      <c r="AD26" s="337">
        <f t="shared" si="14"/>
        <v>8.0000000000000002E-3</v>
      </c>
      <c r="AE26" s="337">
        <f t="shared" si="14"/>
        <v>19</v>
      </c>
      <c r="AF26" s="337">
        <f t="shared" si="15"/>
        <v>6.25</v>
      </c>
      <c r="AG26" s="337">
        <f t="shared" si="15"/>
        <v>7.0000000000000001E-3</v>
      </c>
      <c r="AH26" s="337">
        <f t="shared" si="15"/>
        <v>22.349999999999998</v>
      </c>
      <c r="AI26" s="337">
        <f t="shared" si="15"/>
        <v>15.2</v>
      </c>
      <c r="AJ26" s="337">
        <f t="shared" si="15"/>
        <v>1.9E-2</v>
      </c>
      <c r="AK26" s="337">
        <f t="shared" si="15"/>
        <v>54.3</v>
      </c>
      <c r="AL26" s="337">
        <f t="shared" si="15"/>
        <v>8.4499999999999993</v>
      </c>
      <c r="AM26" s="337">
        <f t="shared" si="15"/>
        <v>9.4999999999999998E-3</v>
      </c>
      <c r="AN26" s="337">
        <f t="shared" si="15"/>
        <v>30.299999999999997</v>
      </c>
      <c r="AO26" s="337">
        <f t="shared" si="15"/>
        <v>11.4</v>
      </c>
      <c r="AP26" s="337">
        <f t="shared" si="15"/>
        <v>6.0000000000000001E-3</v>
      </c>
      <c r="AQ26" s="337">
        <f t="shared" si="15"/>
        <v>25.8</v>
      </c>
      <c r="AR26" s="337">
        <v>1934</v>
      </c>
      <c r="AS26" s="337">
        <v>6.0999999999999999E-2</v>
      </c>
      <c r="AT26" s="337">
        <f t="shared" si="16"/>
        <v>0.94899999999999995</v>
      </c>
      <c r="AU26" s="236" t="s">
        <v>409</v>
      </c>
      <c r="AV26" s="2130">
        <f t="shared" si="5"/>
        <v>0.03</v>
      </c>
      <c r="AW26" s="2130">
        <f t="shared" si="6"/>
        <v>0.97</v>
      </c>
    </row>
    <row r="27" spans="1:49" ht="12.75" customHeight="1">
      <c r="A27" s="522" t="s">
        <v>127</v>
      </c>
      <c r="B27" s="337">
        <v>13</v>
      </c>
      <c r="C27" s="337">
        <v>89</v>
      </c>
      <c r="D27" s="337">
        <v>73</v>
      </c>
      <c r="E27" s="337">
        <v>4910</v>
      </c>
      <c r="F27" s="337">
        <v>4</v>
      </c>
      <c r="G27" s="337" t="s">
        <v>176</v>
      </c>
      <c r="H27" s="337">
        <f t="shared" si="12"/>
        <v>382</v>
      </c>
      <c r="I27" s="337">
        <f t="shared" si="12"/>
        <v>526</v>
      </c>
      <c r="J27" s="337">
        <f t="shared" si="12"/>
        <v>55</v>
      </c>
      <c r="K27" s="337">
        <v>1096</v>
      </c>
      <c r="L27" s="337">
        <f t="shared" si="13"/>
        <v>0.19400000000000001</v>
      </c>
      <c r="M27" s="337">
        <f t="shared" si="13"/>
        <v>0.10100000000000001</v>
      </c>
      <c r="N27" s="337">
        <f t="shared" si="13"/>
        <v>-2.1000000000000001E-2</v>
      </c>
      <c r="O27" s="337">
        <f t="shared" si="13"/>
        <v>0</v>
      </c>
      <c r="P27" s="337">
        <f t="shared" si="13"/>
        <v>10.7</v>
      </c>
      <c r="Q27" s="337">
        <f t="shared" si="13"/>
        <v>56</v>
      </c>
      <c r="R27" s="337">
        <f t="shared" si="13"/>
        <v>17</v>
      </c>
      <c r="S27" s="337">
        <f t="shared" si="13"/>
        <v>9.8000000000000004E-2</v>
      </c>
      <c r="T27" s="337">
        <f t="shared" si="13"/>
        <v>20.3</v>
      </c>
      <c r="U27" s="337">
        <f t="shared" si="13"/>
        <v>2.5999999999999999E-2</v>
      </c>
      <c r="V27" s="337">
        <f t="shared" si="14"/>
        <v>28.3</v>
      </c>
      <c r="W27" s="337">
        <f t="shared" si="14"/>
        <v>20.3</v>
      </c>
      <c r="X27" s="337">
        <f t="shared" si="14"/>
        <v>2.5999999999999999E-2</v>
      </c>
      <c r="Y27" s="337">
        <f t="shared" si="14"/>
        <v>28.3</v>
      </c>
      <c r="Z27" s="337">
        <f t="shared" si="14"/>
        <v>6.7</v>
      </c>
      <c r="AA27" s="337">
        <f t="shared" si="14"/>
        <v>8.9999999999999993E-3</v>
      </c>
      <c r="AB27" s="337">
        <f t="shared" si="14"/>
        <v>9.4</v>
      </c>
      <c r="AC27" s="337">
        <f t="shared" si="14"/>
        <v>11</v>
      </c>
      <c r="AD27" s="337">
        <f t="shared" si="14"/>
        <v>3.0000000000000001E-3</v>
      </c>
      <c r="AE27" s="337">
        <f t="shared" si="14"/>
        <v>10.7</v>
      </c>
      <c r="AF27" s="337">
        <f t="shared" si="15"/>
        <v>13.05</v>
      </c>
      <c r="AG27" s="337">
        <f t="shared" si="15"/>
        <v>2.5000000000000001E-3</v>
      </c>
      <c r="AH27" s="337">
        <f t="shared" si="15"/>
        <v>12.75</v>
      </c>
      <c r="AI27" s="337">
        <f t="shared" si="15"/>
        <v>31.7</v>
      </c>
      <c r="AJ27" s="337">
        <f t="shared" si="15"/>
        <v>8.0000000000000002E-3</v>
      </c>
      <c r="AK27" s="337">
        <f t="shared" si="15"/>
        <v>30.9</v>
      </c>
      <c r="AL27" s="337">
        <f t="shared" si="15"/>
        <v>17.600000000000001</v>
      </c>
      <c r="AM27" s="337">
        <f t="shared" si="15"/>
        <v>5.4999999999999997E-3</v>
      </c>
      <c r="AN27" s="337">
        <f t="shared" si="15"/>
        <v>17.350000000000001</v>
      </c>
      <c r="AO27" s="337">
        <f t="shared" si="15"/>
        <v>9.1999999999999993</v>
      </c>
      <c r="AP27" s="337">
        <f t="shared" si="15"/>
        <v>6.0000000000000001E-3</v>
      </c>
      <c r="AQ27" s="337">
        <f t="shared" si="15"/>
        <v>17.399999999999999</v>
      </c>
      <c r="AR27" s="337">
        <v>1934</v>
      </c>
      <c r="AS27" s="337">
        <v>6.0999999999999999E-2</v>
      </c>
      <c r="AT27" s="337">
        <f t="shared" si="16"/>
        <v>1.34</v>
      </c>
      <c r="AU27" s="236" t="s">
        <v>361</v>
      </c>
      <c r="AV27" s="2130">
        <f t="shared" si="5"/>
        <v>0.15</v>
      </c>
      <c r="AW27" s="2130">
        <f t="shared" si="6"/>
        <v>0.85</v>
      </c>
    </row>
    <row r="28" spans="1:49" ht="12.75" customHeight="1">
      <c r="A28" s="522" t="s">
        <v>128</v>
      </c>
      <c r="B28" s="337">
        <v>-12</v>
      </c>
      <c r="C28" s="337">
        <v>83</v>
      </c>
      <c r="D28" s="337">
        <v>70</v>
      </c>
      <c r="E28" s="337">
        <v>7540</v>
      </c>
      <c r="F28" s="337">
        <v>6</v>
      </c>
      <c r="G28" s="337">
        <v>15</v>
      </c>
      <c r="H28" s="337">
        <f t="shared" si="12"/>
        <v>143</v>
      </c>
      <c r="I28" s="337">
        <f t="shared" si="12"/>
        <v>1016</v>
      </c>
      <c r="J28" s="337">
        <f t="shared" si="12"/>
        <v>50.7</v>
      </c>
      <c r="K28" s="337">
        <v>438</v>
      </c>
      <c r="L28" s="337">
        <f t="shared" si="13"/>
        <v>9.4E-2</v>
      </c>
      <c r="M28" s="337">
        <f t="shared" si="13"/>
        <v>7.2999999999999995E-2</v>
      </c>
      <c r="N28" s="337">
        <f t="shared" si="13"/>
        <v>-2.5999999999999999E-2</v>
      </c>
      <c r="O28" s="337">
        <f t="shared" si="13"/>
        <v>0</v>
      </c>
      <c r="P28" s="337">
        <f t="shared" si="13"/>
        <v>9.3000000000000007</v>
      </c>
      <c r="Q28" s="337">
        <f t="shared" si="13"/>
        <v>20</v>
      </c>
      <c r="R28" s="337">
        <f t="shared" si="13"/>
        <v>17</v>
      </c>
      <c r="S28" s="337">
        <f t="shared" si="13"/>
        <v>9.8000000000000004E-2</v>
      </c>
      <c r="T28" s="337">
        <f t="shared" si="13"/>
        <v>5.0999999999999996</v>
      </c>
      <c r="U28" s="337">
        <f t="shared" si="13"/>
        <v>1.7999999999999999E-2</v>
      </c>
      <c r="V28" s="337">
        <f t="shared" si="14"/>
        <v>45.1</v>
      </c>
      <c r="W28" s="337">
        <f t="shared" si="14"/>
        <v>5.0999999999999996</v>
      </c>
      <c r="X28" s="337">
        <f t="shared" si="14"/>
        <v>1.7999999999999999E-2</v>
      </c>
      <c r="Y28" s="337">
        <f t="shared" si="14"/>
        <v>45.1</v>
      </c>
      <c r="Z28" s="337">
        <f t="shared" si="14"/>
        <v>1.5</v>
      </c>
      <c r="AA28" s="337">
        <f t="shared" si="14"/>
        <v>8.9999999999999993E-3</v>
      </c>
      <c r="AB28" s="337">
        <f t="shared" si="14"/>
        <v>16</v>
      </c>
      <c r="AC28" s="337">
        <f t="shared" si="14"/>
        <v>5.3</v>
      </c>
      <c r="AD28" s="337">
        <f t="shared" si="14"/>
        <v>8.0000000000000002E-3</v>
      </c>
      <c r="AE28" s="337">
        <f t="shared" si="14"/>
        <v>19</v>
      </c>
      <c r="AF28" s="337">
        <f t="shared" si="15"/>
        <v>6.25</v>
      </c>
      <c r="AG28" s="337">
        <f t="shared" si="15"/>
        <v>7.0000000000000001E-3</v>
      </c>
      <c r="AH28" s="337">
        <f t="shared" si="15"/>
        <v>22.349999999999998</v>
      </c>
      <c r="AI28" s="337">
        <f t="shared" si="15"/>
        <v>15.2</v>
      </c>
      <c r="AJ28" s="337">
        <f t="shared" si="15"/>
        <v>1.9E-2</v>
      </c>
      <c r="AK28" s="337">
        <f t="shared" si="15"/>
        <v>54.3</v>
      </c>
      <c r="AL28" s="337">
        <f t="shared" si="15"/>
        <v>8.4499999999999993</v>
      </c>
      <c r="AM28" s="337">
        <f t="shared" si="15"/>
        <v>9.4999999999999998E-3</v>
      </c>
      <c r="AN28" s="337">
        <f t="shared" si="15"/>
        <v>30.299999999999997</v>
      </c>
      <c r="AO28" s="337">
        <f t="shared" si="15"/>
        <v>11.4</v>
      </c>
      <c r="AP28" s="337">
        <f t="shared" si="15"/>
        <v>6.0000000000000001E-3</v>
      </c>
      <c r="AQ28" s="337">
        <f t="shared" si="15"/>
        <v>25.8</v>
      </c>
      <c r="AR28" s="337">
        <v>1934</v>
      </c>
      <c r="AS28" s="337">
        <v>6.0999999999999999E-2</v>
      </c>
      <c r="AT28" s="337">
        <f t="shared" si="16"/>
        <v>0.94899999999999995</v>
      </c>
      <c r="AU28" s="236" t="s">
        <v>409</v>
      </c>
      <c r="AV28" s="2130">
        <f t="shared" si="5"/>
        <v>0.03</v>
      </c>
      <c r="AW28" s="2130">
        <f t="shared" si="6"/>
        <v>0.97</v>
      </c>
    </row>
    <row r="29" spans="1:49" ht="12.75" customHeight="1">
      <c r="A29" s="522" t="s">
        <v>129</v>
      </c>
      <c r="B29" s="337">
        <v>1</v>
      </c>
      <c r="C29" s="337">
        <v>86</v>
      </c>
      <c r="D29" s="337">
        <v>71</v>
      </c>
      <c r="E29" s="337">
        <v>6734</v>
      </c>
      <c r="F29" s="337">
        <v>5</v>
      </c>
      <c r="G29" s="337" t="s">
        <v>173</v>
      </c>
      <c r="H29" s="337">
        <f t="shared" si="12"/>
        <v>151</v>
      </c>
      <c r="I29" s="337">
        <f t="shared" si="12"/>
        <v>966</v>
      </c>
      <c r="J29" s="337">
        <f t="shared" si="12"/>
        <v>54.3</v>
      </c>
      <c r="K29" s="337">
        <v>507</v>
      </c>
      <c r="L29" s="337">
        <f t="shared" si="13"/>
        <v>0.113</v>
      </c>
      <c r="M29" s="337">
        <f t="shared" si="13"/>
        <v>7.1999999999999995E-2</v>
      </c>
      <c r="N29" s="337">
        <f t="shared" si="13"/>
        <v>-2.5999999999999999E-2</v>
      </c>
      <c r="O29" s="337">
        <f t="shared" si="13"/>
        <v>0</v>
      </c>
      <c r="P29" s="337">
        <f t="shared" si="13"/>
        <v>9.9</v>
      </c>
      <c r="Q29" s="337">
        <f t="shared" si="13"/>
        <v>20</v>
      </c>
      <c r="R29" s="337">
        <f t="shared" si="13"/>
        <v>19</v>
      </c>
      <c r="S29" s="337">
        <f t="shared" si="13"/>
        <v>7.9000000000000001E-2</v>
      </c>
      <c r="T29" s="337">
        <f t="shared" si="13"/>
        <v>3.1</v>
      </c>
      <c r="U29" s="337">
        <f t="shared" si="13"/>
        <v>1.8E-3</v>
      </c>
      <c r="V29" s="337">
        <f t="shared" si="14"/>
        <v>38.6</v>
      </c>
      <c r="W29" s="337">
        <f t="shared" si="14"/>
        <v>3.1</v>
      </c>
      <c r="X29" s="337">
        <f t="shared" si="14"/>
        <v>1.7999999999999999E-2</v>
      </c>
      <c r="Y29" s="337">
        <f t="shared" si="14"/>
        <v>38.6</v>
      </c>
      <c r="Z29" s="337">
        <f t="shared" si="14"/>
        <v>0.7</v>
      </c>
      <c r="AA29" s="337">
        <f t="shared" si="14"/>
        <v>0</v>
      </c>
      <c r="AB29" s="337">
        <f t="shared" si="14"/>
        <v>13.9</v>
      </c>
      <c r="AC29" s="337">
        <f t="shared" si="14"/>
        <v>3</v>
      </c>
      <c r="AD29" s="337">
        <f t="shared" si="14"/>
        <v>3.0000000000000001E-3</v>
      </c>
      <c r="AE29" s="337">
        <f t="shared" si="14"/>
        <v>16.5</v>
      </c>
      <c r="AF29" s="337">
        <f t="shared" si="15"/>
        <v>3.45</v>
      </c>
      <c r="AG29" s="337">
        <f t="shared" si="15"/>
        <v>1.5E-3</v>
      </c>
      <c r="AH29" s="337">
        <f t="shared" si="15"/>
        <v>19.7</v>
      </c>
      <c r="AI29" s="337">
        <f t="shared" si="15"/>
        <v>8.5</v>
      </c>
      <c r="AJ29" s="337">
        <f t="shared" si="15"/>
        <v>5.0000000000000001E-3</v>
      </c>
      <c r="AK29" s="337">
        <f t="shared" si="15"/>
        <v>47.7</v>
      </c>
      <c r="AL29" s="337">
        <f t="shared" si="15"/>
        <v>4.6500000000000004</v>
      </c>
      <c r="AM29" s="337">
        <f t="shared" si="15"/>
        <v>4.0000000000000001E-3</v>
      </c>
      <c r="AN29" s="337">
        <f t="shared" si="15"/>
        <v>26.5</v>
      </c>
      <c r="AO29" s="337">
        <f t="shared" si="15"/>
        <v>11.2</v>
      </c>
      <c r="AP29" s="337">
        <f t="shared" si="15"/>
        <v>6.0000000000000001E-3</v>
      </c>
      <c r="AQ29" s="337">
        <f t="shared" si="15"/>
        <v>24</v>
      </c>
      <c r="AR29" s="337">
        <v>1934</v>
      </c>
      <c r="AS29" s="337">
        <v>6.0999999999999999E-2</v>
      </c>
      <c r="AT29" s="337">
        <f t="shared" si="16"/>
        <v>1.036</v>
      </c>
      <c r="AU29" s="236" t="s">
        <v>407</v>
      </c>
      <c r="AV29" s="2130">
        <f t="shared" si="5"/>
        <v>0.06</v>
      </c>
      <c r="AW29" s="2130">
        <f t="shared" si="6"/>
        <v>0.94</v>
      </c>
    </row>
    <row r="30" spans="1:49" ht="12.75" customHeight="1">
      <c r="A30" s="522" t="s">
        <v>130</v>
      </c>
      <c r="B30" s="337">
        <v>-5</v>
      </c>
      <c r="C30" s="337">
        <v>86</v>
      </c>
      <c r="D30" s="337">
        <v>70</v>
      </c>
      <c r="E30" s="337">
        <v>7244</v>
      </c>
      <c r="F30" s="337">
        <v>6</v>
      </c>
      <c r="G30" s="337" t="s">
        <v>173</v>
      </c>
      <c r="H30" s="337">
        <f t="shared" si="12"/>
        <v>186</v>
      </c>
      <c r="I30" s="337">
        <f t="shared" si="12"/>
        <v>889</v>
      </c>
      <c r="J30" s="337">
        <f t="shared" si="12"/>
        <v>54.6</v>
      </c>
      <c r="K30" s="337">
        <v>438</v>
      </c>
      <c r="L30" s="337">
        <f t="shared" si="13"/>
        <v>0.113</v>
      </c>
      <c r="M30" s="337">
        <f t="shared" si="13"/>
        <v>0.08</v>
      </c>
      <c r="N30" s="337">
        <f t="shared" si="13"/>
        <v>-2.4E-2</v>
      </c>
      <c r="O30" s="337">
        <f t="shared" si="13"/>
        <v>0</v>
      </c>
      <c r="P30" s="337">
        <f t="shared" si="13"/>
        <v>9.6999999999999993</v>
      </c>
      <c r="Q30" s="337">
        <f t="shared" si="13"/>
        <v>23</v>
      </c>
      <c r="R30" s="337">
        <f t="shared" si="13"/>
        <v>16</v>
      </c>
      <c r="S30" s="337">
        <f t="shared" si="13"/>
        <v>9.1999999999999998E-2</v>
      </c>
      <c r="T30" s="337">
        <f t="shared" si="13"/>
        <v>6.1</v>
      </c>
      <c r="U30" s="337">
        <f t="shared" si="13"/>
        <v>4.3999999999999997E-2</v>
      </c>
      <c r="V30" s="337">
        <f t="shared" si="14"/>
        <v>37.799999999999997</v>
      </c>
      <c r="W30" s="337">
        <f t="shared" si="14"/>
        <v>6.1</v>
      </c>
      <c r="X30" s="337">
        <f t="shared" si="14"/>
        <v>4.3999999999999997E-2</v>
      </c>
      <c r="Y30" s="337">
        <f t="shared" si="14"/>
        <v>37.799999999999997</v>
      </c>
      <c r="Z30" s="337">
        <f t="shared" si="14"/>
        <v>1.7</v>
      </c>
      <c r="AA30" s="337">
        <f t="shared" si="14"/>
        <v>2.5999999999999999E-2</v>
      </c>
      <c r="AB30" s="337">
        <f t="shared" si="14"/>
        <v>15</v>
      </c>
      <c r="AC30" s="337">
        <f t="shared" si="14"/>
        <v>4.8</v>
      </c>
      <c r="AD30" s="337">
        <f t="shared" si="14"/>
        <v>5.0000000000000001E-3</v>
      </c>
      <c r="AE30" s="337">
        <f t="shared" si="14"/>
        <v>15.5</v>
      </c>
      <c r="AF30" s="337">
        <f t="shared" si="15"/>
        <v>5.5500000000000007</v>
      </c>
      <c r="AG30" s="337">
        <f t="shared" si="15"/>
        <v>5.4999999999999997E-3</v>
      </c>
      <c r="AH30" s="337">
        <f t="shared" si="15"/>
        <v>18.599999999999998</v>
      </c>
      <c r="AI30" s="337">
        <f t="shared" si="15"/>
        <v>13.5</v>
      </c>
      <c r="AJ30" s="337">
        <f t="shared" si="15"/>
        <v>1.4E-2</v>
      </c>
      <c r="AK30" s="337">
        <f t="shared" si="15"/>
        <v>44.9</v>
      </c>
      <c r="AL30" s="337">
        <f t="shared" si="15"/>
        <v>7.4</v>
      </c>
      <c r="AM30" s="337">
        <f t="shared" si="15"/>
        <v>8.0000000000000002E-3</v>
      </c>
      <c r="AN30" s="337">
        <f t="shared" si="15"/>
        <v>25.1</v>
      </c>
      <c r="AO30" s="337">
        <f t="shared" si="15"/>
        <v>13.2</v>
      </c>
      <c r="AP30" s="337">
        <f t="shared" si="15"/>
        <v>1.4E-2</v>
      </c>
      <c r="AQ30" s="337">
        <f t="shared" si="15"/>
        <v>23.4</v>
      </c>
      <c r="AR30" s="337">
        <v>1934</v>
      </c>
      <c r="AS30" s="337">
        <v>6.0999999999999999E-2</v>
      </c>
      <c r="AT30" s="337">
        <f t="shared" si="16"/>
        <v>0.99099999999999999</v>
      </c>
      <c r="AU30" s="236" t="s">
        <v>408</v>
      </c>
      <c r="AV30" s="2130">
        <f t="shared" si="5"/>
        <v>0.03</v>
      </c>
      <c r="AW30" s="2130">
        <f t="shared" si="6"/>
        <v>0.97</v>
      </c>
    </row>
    <row r="31" spans="1:49" ht="12.75" customHeight="1">
      <c r="A31" s="522" t="s">
        <v>131</v>
      </c>
      <c r="B31" s="337">
        <v>1</v>
      </c>
      <c r="C31" s="337">
        <v>86</v>
      </c>
      <c r="D31" s="337">
        <v>71</v>
      </c>
      <c r="E31" s="337">
        <v>6734</v>
      </c>
      <c r="F31" s="337">
        <v>5</v>
      </c>
      <c r="G31" s="337" t="s">
        <v>173</v>
      </c>
      <c r="H31" s="337">
        <f t="shared" si="12"/>
        <v>151</v>
      </c>
      <c r="I31" s="337">
        <f t="shared" si="12"/>
        <v>966</v>
      </c>
      <c r="J31" s="337">
        <f t="shared" si="12"/>
        <v>54.3</v>
      </c>
      <c r="K31" s="337">
        <v>507</v>
      </c>
      <c r="L31" s="337">
        <f t="shared" si="13"/>
        <v>0.113</v>
      </c>
      <c r="M31" s="337">
        <f t="shared" si="13"/>
        <v>7.1999999999999995E-2</v>
      </c>
      <c r="N31" s="337">
        <f t="shared" si="13"/>
        <v>-2.5999999999999999E-2</v>
      </c>
      <c r="O31" s="337">
        <f t="shared" si="13"/>
        <v>0</v>
      </c>
      <c r="P31" s="337">
        <f t="shared" si="13"/>
        <v>9.9</v>
      </c>
      <c r="Q31" s="337">
        <f t="shared" si="13"/>
        <v>20</v>
      </c>
      <c r="R31" s="337">
        <f t="shared" si="13"/>
        <v>19</v>
      </c>
      <c r="S31" s="337">
        <f t="shared" si="13"/>
        <v>7.9000000000000001E-2</v>
      </c>
      <c r="T31" s="337">
        <f t="shared" si="13"/>
        <v>3.1</v>
      </c>
      <c r="U31" s="337">
        <f t="shared" si="13"/>
        <v>1.8E-3</v>
      </c>
      <c r="V31" s="337">
        <f t="shared" si="14"/>
        <v>38.6</v>
      </c>
      <c r="W31" s="337">
        <f t="shared" si="14"/>
        <v>3.1</v>
      </c>
      <c r="X31" s="337">
        <f t="shared" si="14"/>
        <v>1.7999999999999999E-2</v>
      </c>
      <c r="Y31" s="337">
        <f t="shared" si="14"/>
        <v>38.6</v>
      </c>
      <c r="Z31" s="337">
        <f t="shared" si="14"/>
        <v>0.7</v>
      </c>
      <c r="AA31" s="337">
        <f t="shared" si="14"/>
        <v>0</v>
      </c>
      <c r="AB31" s="337">
        <f t="shared" si="14"/>
        <v>13.9</v>
      </c>
      <c r="AC31" s="337">
        <f t="shared" si="14"/>
        <v>3</v>
      </c>
      <c r="AD31" s="337">
        <f t="shared" si="14"/>
        <v>3.0000000000000001E-3</v>
      </c>
      <c r="AE31" s="337">
        <f t="shared" si="14"/>
        <v>16.5</v>
      </c>
      <c r="AF31" s="337">
        <f t="shared" si="15"/>
        <v>3.45</v>
      </c>
      <c r="AG31" s="337">
        <f t="shared" si="15"/>
        <v>1.5E-3</v>
      </c>
      <c r="AH31" s="337">
        <f t="shared" si="15"/>
        <v>19.7</v>
      </c>
      <c r="AI31" s="337">
        <f t="shared" si="15"/>
        <v>8.5</v>
      </c>
      <c r="AJ31" s="337">
        <f t="shared" si="15"/>
        <v>5.0000000000000001E-3</v>
      </c>
      <c r="AK31" s="337">
        <f t="shared" si="15"/>
        <v>47.7</v>
      </c>
      <c r="AL31" s="337">
        <f t="shared" si="15"/>
        <v>4.6500000000000004</v>
      </c>
      <c r="AM31" s="337">
        <f t="shared" si="15"/>
        <v>4.0000000000000001E-3</v>
      </c>
      <c r="AN31" s="337">
        <f t="shared" si="15"/>
        <v>26.5</v>
      </c>
      <c r="AO31" s="337">
        <f t="shared" si="15"/>
        <v>11.2</v>
      </c>
      <c r="AP31" s="337">
        <f t="shared" si="15"/>
        <v>6.0000000000000001E-3</v>
      </c>
      <c r="AQ31" s="337">
        <f t="shared" si="15"/>
        <v>24</v>
      </c>
      <c r="AR31" s="337">
        <v>1934</v>
      </c>
      <c r="AS31" s="337">
        <v>6.0999999999999999E-2</v>
      </c>
      <c r="AT31" s="337">
        <f t="shared" si="16"/>
        <v>1.036</v>
      </c>
      <c r="AU31" s="236" t="s">
        <v>407</v>
      </c>
      <c r="AV31" s="2130">
        <f t="shared" si="5"/>
        <v>0.06</v>
      </c>
      <c r="AW31" s="2130">
        <f t="shared" si="6"/>
        <v>0.94</v>
      </c>
    </row>
    <row r="32" spans="1:49" ht="12.75" customHeight="1">
      <c r="A32" s="522" t="s">
        <v>132</v>
      </c>
      <c r="B32" s="337">
        <v>-7</v>
      </c>
      <c r="C32" s="337">
        <v>86</v>
      </c>
      <c r="D32" s="337">
        <v>70</v>
      </c>
      <c r="E32" s="337">
        <v>6894</v>
      </c>
      <c r="F32" s="337">
        <v>6</v>
      </c>
      <c r="G32" s="337" t="s">
        <v>173</v>
      </c>
      <c r="H32" s="337">
        <f t="shared" si="12"/>
        <v>181</v>
      </c>
      <c r="I32" s="337">
        <f t="shared" si="12"/>
        <v>786</v>
      </c>
      <c r="J32" s="337">
        <f t="shared" si="12"/>
        <v>54.2</v>
      </c>
      <c r="K32" s="337">
        <v>438</v>
      </c>
      <c r="L32" s="337">
        <f t="shared" si="13"/>
        <v>0.113</v>
      </c>
      <c r="M32" s="337">
        <f t="shared" si="13"/>
        <v>0.08</v>
      </c>
      <c r="N32" s="337">
        <f t="shared" si="13"/>
        <v>-2.5000000000000001E-2</v>
      </c>
      <c r="O32" s="337">
        <f t="shared" si="13"/>
        <v>0</v>
      </c>
      <c r="P32" s="337">
        <f t="shared" si="13"/>
        <v>9.6999999999999993</v>
      </c>
      <c r="Q32" s="337">
        <f t="shared" si="13"/>
        <v>22</v>
      </c>
      <c r="R32" s="337">
        <f t="shared" si="13"/>
        <v>16</v>
      </c>
      <c r="S32" s="337">
        <f t="shared" si="13"/>
        <v>9.9000000000000005E-2</v>
      </c>
      <c r="T32" s="337">
        <f t="shared" si="13"/>
        <v>6.3</v>
      </c>
      <c r="U32" s="337">
        <f t="shared" si="13"/>
        <v>1.7999999999999999E-2</v>
      </c>
      <c r="V32" s="337">
        <f t="shared" si="14"/>
        <v>39.200000000000003</v>
      </c>
      <c r="W32" s="337">
        <f t="shared" si="14"/>
        <v>6.3</v>
      </c>
      <c r="X32" s="337">
        <f t="shared" si="14"/>
        <v>1.7999999999999999E-2</v>
      </c>
      <c r="Y32" s="337">
        <f t="shared" si="14"/>
        <v>39.200000000000003</v>
      </c>
      <c r="Z32" s="337">
        <f t="shared" si="14"/>
        <v>1.8</v>
      </c>
      <c r="AA32" s="337">
        <f t="shared" si="14"/>
        <v>1.7999999999999999E-2</v>
      </c>
      <c r="AB32" s="337">
        <f t="shared" si="14"/>
        <v>14.1</v>
      </c>
      <c r="AC32" s="337">
        <f t="shared" si="14"/>
        <v>4.3</v>
      </c>
      <c r="AD32" s="337">
        <f t="shared" si="14"/>
        <v>5.0000000000000001E-3</v>
      </c>
      <c r="AE32" s="337">
        <f t="shared" si="14"/>
        <v>15.7</v>
      </c>
      <c r="AF32" s="337">
        <f t="shared" si="15"/>
        <v>5</v>
      </c>
      <c r="AG32" s="337">
        <f t="shared" si="15"/>
        <v>4.0000000000000001E-3</v>
      </c>
      <c r="AH32" s="337">
        <f t="shared" si="15"/>
        <v>19</v>
      </c>
      <c r="AI32" s="337">
        <f t="shared" si="15"/>
        <v>12.2</v>
      </c>
      <c r="AJ32" s="337">
        <f t="shared" si="15"/>
        <v>1.0999999999999999E-2</v>
      </c>
      <c r="AK32" s="337">
        <f t="shared" si="15"/>
        <v>45.6</v>
      </c>
      <c r="AL32" s="337">
        <f t="shared" si="15"/>
        <v>6.6999999999999993</v>
      </c>
      <c r="AM32" s="337">
        <f t="shared" si="15"/>
        <v>6.5000000000000002E-2</v>
      </c>
      <c r="AN32" s="337">
        <f t="shared" si="15"/>
        <v>25.6</v>
      </c>
      <c r="AO32" s="337">
        <f t="shared" si="15"/>
        <v>12.8</v>
      </c>
      <c r="AP32" s="337">
        <f t="shared" si="15"/>
        <v>6.0000000000000001E-3</v>
      </c>
      <c r="AQ32" s="337">
        <f t="shared" si="15"/>
        <v>22.6</v>
      </c>
      <c r="AR32" s="337">
        <v>1934</v>
      </c>
      <c r="AS32" s="337">
        <v>6.0999999999999999E-2</v>
      </c>
      <c r="AT32" s="337">
        <f t="shared" si="16"/>
        <v>1</v>
      </c>
      <c r="AU32" s="236" t="s">
        <v>405</v>
      </c>
      <c r="AV32" s="2130">
        <f t="shared" si="5"/>
        <v>0.03</v>
      </c>
      <c r="AW32" s="2130">
        <f t="shared" si="6"/>
        <v>0.97</v>
      </c>
    </row>
    <row r="33" spans="1:49" ht="12.75" customHeight="1">
      <c r="A33" s="522" t="s">
        <v>133</v>
      </c>
      <c r="B33" s="337">
        <v>13</v>
      </c>
      <c r="C33" s="337">
        <v>89</v>
      </c>
      <c r="D33" s="337">
        <v>73</v>
      </c>
      <c r="E33" s="337">
        <v>4910</v>
      </c>
      <c r="F33" s="337">
        <v>4</v>
      </c>
      <c r="G33" s="337" t="s">
        <v>174</v>
      </c>
      <c r="H33" s="337">
        <f t="shared" si="12"/>
        <v>382</v>
      </c>
      <c r="I33" s="337">
        <f t="shared" si="12"/>
        <v>526</v>
      </c>
      <c r="J33" s="337">
        <f t="shared" si="12"/>
        <v>55</v>
      </c>
      <c r="K33" s="337">
        <v>1096</v>
      </c>
      <c r="L33" s="337">
        <f t="shared" si="13"/>
        <v>0.19400000000000001</v>
      </c>
      <c r="M33" s="337">
        <f t="shared" si="13"/>
        <v>0.10100000000000001</v>
      </c>
      <c r="N33" s="337">
        <f t="shared" si="13"/>
        <v>-2.1000000000000001E-2</v>
      </c>
      <c r="O33" s="337">
        <f t="shared" si="13"/>
        <v>0</v>
      </c>
      <c r="P33" s="337">
        <f t="shared" si="13"/>
        <v>10.7</v>
      </c>
      <c r="Q33" s="337">
        <f t="shared" si="13"/>
        <v>56</v>
      </c>
      <c r="R33" s="337">
        <f t="shared" si="13"/>
        <v>17</v>
      </c>
      <c r="S33" s="337">
        <f t="shared" si="13"/>
        <v>9.8000000000000004E-2</v>
      </c>
      <c r="T33" s="337">
        <f t="shared" si="13"/>
        <v>20.3</v>
      </c>
      <c r="U33" s="337">
        <f t="shared" si="13"/>
        <v>2.5999999999999999E-2</v>
      </c>
      <c r="V33" s="337">
        <f t="shared" si="14"/>
        <v>28.3</v>
      </c>
      <c r="W33" s="337">
        <f t="shared" si="14"/>
        <v>20.3</v>
      </c>
      <c r="X33" s="337">
        <f t="shared" si="14"/>
        <v>2.5999999999999999E-2</v>
      </c>
      <c r="Y33" s="337">
        <f t="shared" si="14"/>
        <v>28.3</v>
      </c>
      <c r="Z33" s="337">
        <f t="shared" si="14"/>
        <v>6.7</v>
      </c>
      <c r="AA33" s="337">
        <f t="shared" si="14"/>
        <v>8.9999999999999993E-3</v>
      </c>
      <c r="AB33" s="337">
        <f t="shared" si="14"/>
        <v>9.4</v>
      </c>
      <c r="AC33" s="337">
        <f t="shared" si="14"/>
        <v>11</v>
      </c>
      <c r="AD33" s="337">
        <f t="shared" si="14"/>
        <v>3.0000000000000001E-3</v>
      </c>
      <c r="AE33" s="337">
        <f t="shared" si="14"/>
        <v>10.7</v>
      </c>
      <c r="AF33" s="337">
        <f t="shared" si="15"/>
        <v>13.05</v>
      </c>
      <c r="AG33" s="337">
        <f t="shared" si="15"/>
        <v>2.5000000000000001E-3</v>
      </c>
      <c r="AH33" s="337">
        <f t="shared" si="15"/>
        <v>12.75</v>
      </c>
      <c r="AI33" s="337">
        <f t="shared" si="15"/>
        <v>31.7</v>
      </c>
      <c r="AJ33" s="337">
        <f t="shared" si="15"/>
        <v>8.0000000000000002E-3</v>
      </c>
      <c r="AK33" s="337">
        <f t="shared" si="15"/>
        <v>30.9</v>
      </c>
      <c r="AL33" s="337">
        <f t="shared" si="15"/>
        <v>17.600000000000001</v>
      </c>
      <c r="AM33" s="337">
        <f t="shared" si="15"/>
        <v>5.4999999999999997E-3</v>
      </c>
      <c r="AN33" s="337">
        <f t="shared" si="15"/>
        <v>17.350000000000001</v>
      </c>
      <c r="AO33" s="337">
        <f t="shared" si="15"/>
        <v>9.1999999999999993</v>
      </c>
      <c r="AP33" s="337">
        <f t="shared" si="15"/>
        <v>6.0000000000000001E-3</v>
      </c>
      <c r="AQ33" s="337">
        <f t="shared" si="15"/>
        <v>17.399999999999999</v>
      </c>
      <c r="AR33" s="337">
        <v>1934</v>
      </c>
      <c r="AS33" s="337">
        <v>6.0999999999999999E-2</v>
      </c>
      <c r="AT33" s="337">
        <f t="shared" si="16"/>
        <v>1.34</v>
      </c>
      <c r="AU33" s="236" t="s">
        <v>361</v>
      </c>
      <c r="AV33" s="2130">
        <f t="shared" si="5"/>
        <v>0.15</v>
      </c>
      <c r="AW33" s="2130">
        <f t="shared" si="6"/>
        <v>0.85</v>
      </c>
    </row>
    <row r="34" spans="1:49" ht="12.75" customHeight="1">
      <c r="A34" s="521" t="s">
        <v>134</v>
      </c>
      <c r="B34" s="337">
        <v>13</v>
      </c>
      <c r="C34" s="337">
        <v>89</v>
      </c>
      <c r="D34" s="337">
        <v>73</v>
      </c>
      <c r="E34" s="337">
        <v>4910</v>
      </c>
      <c r="F34" s="337">
        <v>4</v>
      </c>
      <c r="G34" s="337" t="s">
        <v>176</v>
      </c>
      <c r="H34" s="337">
        <v>382</v>
      </c>
      <c r="I34" s="337">
        <v>526</v>
      </c>
      <c r="J34" s="1853">
        <v>55</v>
      </c>
      <c r="K34" s="337">
        <v>1096</v>
      </c>
      <c r="L34" s="337">
        <v>0.19400000000000001</v>
      </c>
      <c r="M34" s="337">
        <v>0.10100000000000001</v>
      </c>
      <c r="N34" s="337">
        <v>-2.1000000000000001E-2</v>
      </c>
      <c r="O34" s="337"/>
      <c r="P34" s="337">
        <v>10.7</v>
      </c>
      <c r="Q34" s="337">
        <v>56</v>
      </c>
      <c r="R34" s="337">
        <v>17</v>
      </c>
      <c r="S34" s="337">
        <v>9.8000000000000004E-2</v>
      </c>
      <c r="T34" s="337">
        <v>20.3</v>
      </c>
      <c r="U34" s="337">
        <v>2.5999999999999999E-2</v>
      </c>
      <c r="V34" s="337">
        <v>28.3</v>
      </c>
      <c r="W34" s="337">
        <v>20.3</v>
      </c>
      <c r="X34" s="337">
        <v>2.5999999999999999E-2</v>
      </c>
      <c r="Y34" s="337">
        <v>28.3</v>
      </c>
      <c r="Z34" s="337">
        <v>6.7</v>
      </c>
      <c r="AA34" s="337">
        <v>8.9999999999999993E-3</v>
      </c>
      <c r="AB34" s="337">
        <v>9.4</v>
      </c>
      <c r="AC34" s="337">
        <v>11</v>
      </c>
      <c r="AD34" s="337">
        <v>3.0000000000000001E-3</v>
      </c>
      <c r="AE34" s="337">
        <v>10.7</v>
      </c>
      <c r="AF34" s="337">
        <f>(20.6+5.5)/2</f>
        <v>13.05</v>
      </c>
      <c r="AG34" s="337">
        <v>2.5000000000000001E-3</v>
      </c>
      <c r="AH34" s="337">
        <f>(20.3+5.2)/2</f>
        <v>12.75</v>
      </c>
      <c r="AI34" s="337">
        <v>31.7</v>
      </c>
      <c r="AJ34" s="337">
        <v>8.0000000000000002E-3</v>
      </c>
      <c r="AK34" s="337">
        <v>30.9</v>
      </c>
      <c r="AL34" s="337">
        <f>(25.2+10)/2</f>
        <v>17.600000000000001</v>
      </c>
      <c r="AM34" s="337">
        <v>5.4999999999999997E-3</v>
      </c>
      <c r="AN34" s="337">
        <f>(24.9+9.8)/2</f>
        <v>17.350000000000001</v>
      </c>
      <c r="AO34" s="337">
        <f>2*4.6</f>
        <v>9.1999999999999993</v>
      </c>
      <c r="AP34" s="337">
        <f>2*0.003</f>
        <v>6.0000000000000001E-3</v>
      </c>
      <c r="AQ34" s="337">
        <f>2*8.7</f>
        <v>17.399999999999999</v>
      </c>
      <c r="AR34" s="337">
        <v>1934</v>
      </c>
      <c r="AS34" s="337">
        <v>6.0999999999999999E-2</v>
      </c>
      <c r="AT34" s="337">
        <v>1.34</v>
      </c>
      <c r="AU34" s="236" t="s">
        <v>361</v>
      </c>
      <c r="AV34" s="2130">
        <f t="shared" si="5"/>
        <v>0.15</v>
      </c>
      <c r="AW34" s="2130">
        <f t="shared" si="6"/>
        <v>0.85</v>
      </c>
    </row>
    <row r="35" spans="1:49" ht="12.75" customHeight="1">
      <c r="A35" s="522" t="s">
        <v>135</v>
      </c>
      <c r="B35" s="337">
        <v>2</v>
      </c>
      <c r="C35" s="337">
        <v>85</v>
      </c>
      <c r="D35" s="337">
        <v>73</v>
      </c>
      <c r="E35" s="337">
        <v>6747</v>
      </c>
      <c r="F35" s="337">
        <v>5</v>
      </c>
      <c r="G35" s="337" t="s">
        <v>173</v>
      </c>
      <c r="H35" s="337">
        <f t="shared" ref="H35:J36" si="17">IF($AU35="Albany",H$4,IF($AU35="Binghamton",H$7,IF($AU35="Buffalo",H$18,IF($AU35="Massena",H$48,IF($AU35="NYC",H$34,IF($AU35="Poughkeepsie",H$17,H$37))))))</f>
        <v>151</v>
      </c>
      <c r="I35" s="337">
        <f t="shared" si="17"/>
        <v>966</v>
      </c>
      <c r="J35" s="337">
        <f t="shared" si="17"/>
        <v>54.3</v>
      </c>
      <c r="K35" s="337">
        <v>507</v>
      </c>
      <c r="L35" s="337">
        <f t="shared" ref="L35:U36" si="18">IF($AU35="Albany",L$4,IF($AU35="Binghamton",L$7,IF($AU35="Buffalo",L$18,IF($AU35="Massena",L$48,IF($AU35="NYC",L$34,IF($AU35="Poughkeepsie",L$17,L$37))))))</f>
        <v>0.113</v>
      </c>
      <c r="M35" s="337">
        <f t="shared" si="18"/>
        <v>7.1999999999999995E-2</v>
      </c>
      <c r="N35" s="337">
        <f t="shared" si="18"/>
        <v>-2.5999999999999999E-2</v>
      </c>
      <c r="O35" s="337">
        <f t="shared" si="18"/>
        <v>0</v>
      </c>
      <c r="P35" s="337">
        <f t="shared" si="18"/>
        <v>9.9</v>
      </c>
      <c r="Q35" s="337">
        <f t="shared" si="18"/>
        <v>20</v>
      </c>
      <c r="R35" s="337">
        <f t="shared" si="18"/>
        <v>19</v>
      </c>
      <c r="S35" s="337">
        <f t="shared" si="18"/>
        <v>7.9000000000000001E-2</v>
      </c>
      <c r="T35" s="337">
        <f t="shared" si="18"/>
        <v>3.1</v>
      </c>
      <c r="U35" s="337">
        <f t="shared" si="18"/>
        <v>1.8E-3</v>
      </c>
      <c r="V35" s="337">
        <f t="shared" ref="V35:AE36" si="19">IF($AU35="Albany",V$4,IF($AU35="Binghamton",V$7,IF($AU35="Buffalo",V$18,IF($AU35="Massena",V$48,IF($AU35="NYC",V$34,IF($AU35="Poughkeepsie",V$17,V$37))))))</f>
        <v>38.6</v>
      </c>
      <c r="W35" s="337">
        <f t="shared" si="19"/>
        <v>3.1</v>
      </c>
      <c r="X35" s="337">
        <f t="shared" si="19"/>
        <v>1.7999999999999999E-2</v>
      </c>
      <c r="Y35" s="337">
        <f t="shared" si="19"/>
        <v>38.6</v>
      </c>
      <c r="Z35" s="337">
        <f t="shared" si="19"/>
        <v>0.7</v>
      </c>
      <c r="AA35" s="337">
        <f t="shared" si="19"/>
        <v>0</v>
      </c>
      <c r="AB35" s="337">
        <f t="shared" si="19"/>
        <v>13.9</v>
      </c>
      <c r="AC35" s="337">
        <f t="shared" si="19"/>
        <v>3</v>
      </c>
      <c r="AD35" s="337">
        <f t="shared" si="19"/>
        <v>3.0000000000000001E-3</v>
      </c>
      <c r="AE35" s="337">
        <f t="shared" si="19"/>
        <v>16.5</v>
      </c>
      <c r="AF35" s="337">
        <f t="shared" ref="AF35:AQ36" si="20">IF($AU35="Albany",AF$4,IF($AU35="Binghamton",AF$7,IF($AU35="Buffalo",AF$18,IF($AU35="Massena",AF$48,IF($AU35="NYC",AF$34,IF($AU35="Poughkeepsie",AF$17,AF$37))))))</f>
        <v>3.45</v>
      </c>
      <c r="AG35" s="337">
        <f t="shared" si="20"/>
        <v>1.5E-3</v>
      </c>
      <c r="AH35" s="337">
        <f t="shared" si="20"/>
        <v>19.7</v>
      </c>
      <c r="AI35" s="337">
        <f t="shared" si="20"/>
        <v>8.5</v>
      </c>
      <c r="AJ35" s="337">
        <f t="shared" si="20"/>
        <v>5.0000000000000001E-3</v>
      </c>
      <c r="AK35" s="337">
        <f t="shared" si="20"/>
        <v>47.7</v>
      </c>
      <c r="AL35" s="337">
        <f t="shared" si="20"/>
        <v>4.6500000000000004</v>
      </c>
      <c r="AM35" s="337">
        <f t="shared" si="20"/>
        <v>4.0000000000000001E-3</v>
      </c>
      <c r="AN35" s="337">
        <f t="shared" si="20"/>
        <v>26.5</v>
      </c>
      <c r="AO35" s="337">
        <f t="shared" si="20"/>
        <v>11.2</v>
      </c>
      <c r="AP35" s="337">
        <f t="shared" si="20"/>
        <v>6.0000000000000001E-3</v>
      </c>
      <c r="AQ35" s="337">
        <f t="shared" si="20"/>
        <v>24</v>
      </c>
      <c r="AR35" s="337">
        <v>1934</v>
      </c>
      <c r="AS35" s="337">
        <v>6.0999999999999999E-2</v>
      </c>
      <c r="AT35" s="337">
        <f>IF($AU35="Albany",AT$4,IF($AU35="Binghamton",AT$7,IF($AU35="Buffalo",AT$18,IF($AU35="Massena",AT$48,IF($AU35="NYC",AT$34,IF($AU35="Poughkeepsie",AT$17,AT$37))))))</f>
        <v>1.036</v>
      </c>
      <c r="AU35" s="236" t="s">
        <v>407</v>
      </c>
      <c r="AV35" s="2130">
        <f t="shared" si="5"/>
        <v>0.06</v>
      </c>
      <c r="AW35" s="2130">
        <f t="shared" si="6"/>
        <v>0.94</v>
      </c>
    </row>
    <row r="36" spans="1:49" ht="12.75" customHeight="1">
      <c r="A36" s="522" t="s">
        <v>136</v>
      </c>
      <c r="B36" s="337">
        <v>-5</v>
      </c>
      <c r="C36" s="337">
        <v>86</v>
      </c>
      <c r="D36" s="337">
        <v>70</v>
      </c>
      <c r="E36" s="337">
        <v>7244</v>
      </c>
      <c r="F36" s="337">
        <v>6</v>
      </c>
      <c r="G36" s="337">
        <v>15</v>
      </c>
      <c r="H36" s="337">
        <f t="shared" si="17"/>
        <v>186</v>
      </c>
      <c r="I36" s="337">
        <f t="shared" si="17"/>
        <v>889</v>
      </c>
      <c r="J36" s="337">
        <f t="shared" si="17"/>
        <v>54.6</v>
      </c>
      <c r="K36" s="337">
        <v>438</v>
      </c>
      <c r="L36" s="337">
        <f t="shared" si="18"/>
        <v>0.113</v>
      </c>
      <c r="M36" s="337">
        <f t="shared" si="18"/>
        <v>0.08</v>
      </c>
      <c r="N36" s="337">
        <f t="shared" si="18"/>
        <v>-2.4E-2</v>
      </c>
      <c r="O36" s="337">
        <f t="shared" si="18"/>
        <v>0</v>
      </c>
      <c r="P36" s="337">
        <f t="shared" si="18"/>
        <v>9.6999999999999993</v>
      </c>
      <c r="Q36" s="337">
        <f t="shared" si="18"/>
        <v>23</v>
      </c>
      <c r="R36" s="337">
        <f t="shared" si="18"/>
        <v>16</v>
      </c>
      <c r="S36" s="337">
        <f t="shared" si="18"/>
        <v>9.1999999999999998E-2</v>
      </c>
      <c r="T36" s="337">
        <f t="shared" si="18"/>
        <v>6.1</v>
      </c>
      <c r="U36" s="337">
        <f t="shared" si="18"/>
        <v>4.3999999999999997E-2</v>
      </c>
      <c r="V36" s="337">
        <f t="shared" si="19"/>
        <v>37.799999999999997</v>
      </c>
      <c r="W36" s="337">
        <f t="shared" si="19"/>
        <v>6.1</v>
      </c>
      <c r="X36" s="337">
        <f t="shared" si="19"/>
        <v>4.3999999999999997E-2</v>
      </c>
      <c r="Y36" s="337">
        <f t="shared" si="19"/>
        <v>37.799999999999997</v>
      </c>
      <c r="Z36" s="337">
        <f t="shared" si="19"/>
        <v>1.7</v>
      </c>
      <c r="AA36" s="337">
        <f t="shared" si="19"/>
        <v>2.5999999999999999E-2</v>
      </c>
      <c r="AB36" s="337">
        <f t="shared" si="19"/>
        <v>15</v>
      </c>
      <c r="AC36" s="337">
        <f t="shared" si="19"/>
        <v>4.8</v>
      </c>
      <c r="AD36" s="337">
        <f t="shared" si="19"/>
        <v>5.0000000000000001E-3</v>
      </c>
      <c r="AE36" s="337">
        <f t="shared" si="19"/>
        <v>15.5</v>
      </c>
      <c r="AF36" s="337">
        <f t="shared" si="20"/>
        <v>5.5500000000000007</v>
      </c>
      <c r="AG36" s="337">
        <f t="shared" si="20"/>
        <v>5.4999999999999997E-3</v>
      </c>
      <c r="AH36" s="337">
        <f t="shared" si="20"/>
        <v>18.599999999999998</v>
      </c>
      <c r="AI36" s="337">
        <f t="shared" si="20"/>
        <v>13.5</v>
      </c>
      <c r="AJ36" s="337">
        <f t="shared" si="20"/>
        <v>1.4E-2</v>
      </c>
      <c r="AK36" s="337">
        <f t="shared" si="20"/>
        <v>44.9</v>
      </c>
      <c r="AL36" s="337">
        <f t="shared" si="20"/>
        <v>7.4</v>
      </c>
      <c r="AM36" s="337">
        <f t="shared" si="20"/>
        <v>8.0000000000000002E-3</v>
      </c>
      <c r="AN36" s="337">
        <f t="shared" si="20"/>
        <v>25.1</v>
      </c>
      <c r="AO36" s="337">
        <f t="shared" si="20"/>
        <v>13.2</v>
      </c>
      <c r="AP36" s="337">
        <f t="shared" si="20"/>
        <v>1.4E-2</v>
      </c>
      <c r="AQ36" s="337">
        <f t="shared" si="20"/>
        <v>23.4</v>
      </c>
      <c r="AR36" s="337">
        <v>1934</v>
      </c>
      <c r="AS36" s="337">
        <v>6.0999999999999999E-2</v>
      </c>
      <c r="AT36" s="337">
        <f>IF($AU36="Albany",AT$4,IF($AU36="Binghamton",AT$7,IF($AU36="Buffalo",AT$18,IF($AU36="Massena",AT$48,IF($AU36="NYC",AT$34,IF($AU36="Poughkeepsie",AT$17,AT$37))))))</f>
        <v>0.99099999999999999</v>
      </c>
      <c r="AU36" s="236" t="s">
        <v>408</v>
      </c>
      <c r="AV36" s="2130">
        <f t="shared" si="5"/>
        <v>0.03</v>
      </c>
      <c r="AW36" s="2130">
        <f t="shared" si="6"/>
        <v>0.97</v>
      </c>
    </row>
    <row r="37" spans="1:49" ht="12.75" customHeight="1">
      <c r="A37" s="521" t="s">
        <v>137</v>
      </c>
      <c r="B37" s="337">
        <v>-3</v>
      </c>
      <c r="C37" s="337">
        <v>85</v>
      </c>
      <c r="D37" s="337">
        <v>71</v>
      </c>
      <c r="E37" s="337">
        <v>6834</v>
      </c>
      <c r="F37" s="337">
        <v>5</v>
      </c>
      <c r="G37" s="337" t="s">
        <v>173</v>
      </c>
      <c r="H37" s="337">
        <v>186</v>
      </c>
      <c r="I37" s="337">
        <v>889</v>
      </c>
      <c r="J37" s="337">
        <v>54.6</v>
      </c>
      <c r="K37" s="337">
        <v>507</v>
      </c>
      <c r="L37" s="337">
        <v>0.113</v>
      </c>
      <c r="M37" s="337">
        <v>0.08</v>
      </c>
      <c r="N37" s="337">
        <v>-2.4E-2</v>
      </c>
      <c r="O37" s="337"/>
      <c r="P37" s="337">
        <v>9.6999999999999993</v>
      </c>
      <c r="Q37" s="337">
        <v>23</v>
      </c>
      <c r="R37" s="337">
        <v>16</v>
      </c>
      <c r="S37" s="337">
        <v>9.1999999999999998E-2</v>
      </c>
      <c r="T37" s="337">
        <v>6.1</v>
      </c>
      <c r="U37" s="337">
        <v>4.3999999999999997E-2</v>
      </c>
      <c r="V37" s="337">
        <v>37.799999999999997</v>
      </c>
      <c r="W37" s="337">
        <v>6.1</v>
      </c>
      <c r="X37" s="337">
        <v>4.3999999999999997E-2</v>
      </c>
      <c r="Y37" s="337">
        <v>37.799999999999997</v>
      </c>
      <c r="Z37" s="337">
        <v>1.7</v>
      </c>
      <c r="AA37" s="337">
        <v>2.5999999999999999E-2</v>
      </c>
      <c r="AB37" s="337">
        <v>15</v>
      </c>
      <c r="AC37" s="337">
        <v>4.8</v>
      </c>
      <c r="AD37" s="337">
        <v>5.0000000000000001E-3</v>
      </c>
      <c r="AE37" s="337">
        <v>15.5</v>
      </c>
      <c r="AF37" s="337">
        <f>(2.3+8.8)/2</f>
        <v>5.5500000000000007</v>
      </c>
      <c r="AG37" s="337">
        <v>5.4999999999999997E-3</v>
      </c>
      <c r="AH37" s="337">
        <f>(29.4+7.8)/2</f>
        <v>18.599999999999998</v>
      </c>
      <c r="AI37" s="337">
        <v>13.5</v>
      </c>
      <c r="AJ37" s="337">
        <v>1.4E-2</v>
      </c>
      <c r="AK37" s="337">
        <v>44.9</v>
      </c>
      <c r="AL37" s="337">
        <f>(10.6+4.2)/2</f>
        <v>7.4</v>
      </c>
      <c r="AM37" s="337">
        <v>8.0000000000000002E-3</v>
      </c>
      <c r="AN37" s="337">
        <f>(35.9+14.3)/2</f>
        <v>25.1</v>
      </c>
      <c r="AO37" s="337">
        <f>2*6.6</f>
        <v>13.2</v>
      </c>
      <c r="AP37" s="337">
        <f>2*0.007</f>
        <v>1.4E-2</v>
      </c>
      <c r="AQ37" s="337">
        <f>2*11.7</f>
        <v>23.4</v>
      </c>
      <c r="AR37" s="337">
        <v>1934</v>
      </c>
      <c r="AS37" s="337">
        <v>6.0999999999999999E-2</v>
      </c>
      <c r="AT37" s="337">
        <v>0.99099999999999999</v>
      </c>
      <c r="AU37" s="236" t="s">
        <v>408</v>
      </c>
      <c r="AV37" s="2130">
        <f t="shared" si="5"/>
        <v>0.06</v>
      </c>
      <c r="AW37" s="2130">
        <f t="shared" si="6"/>
        <v>0.94</v>
      </c>
    </row>
    <row r="38" spans="1:49" ht="12.75" customHeight="1">
      <c r="A38" s="522" t="s">
        <v>138</v>
      </c>
      <c r="B38" s="337">
        <v>1</v>
      </c>
      <c r="C38" s="337">
        <v>86</v>
      </c>
      <c r="D38" s="337">
        <v>71</v>
      </c>
      <c r="E38" s="337">
        <v>6734</v>
      </c>
      <c r="F38" s="337">
        <v>5</v>
      </c>
      <c r="G38" s="337" t="s">
        <v>173</v>
      </c>
      <c r="H38" s="337">
        <f t="shared" ref="H38:J47" si="21">IF($AU38="Albany",H$4,IF($AU38="Binghamton",H$7,IF($AU38="Buffalo",H$18,IF($AU38="Massena",H$48,IF($AU38="NYC",H$34,IF($AU38="Poughkeepsie",H$17,H$37))))))</f>
        <v>151</v>
      </c>
      <c r="I38" s="337">
        <f t="shared" si="21"/>
        <v>966</v>
      </c>
      <c r="J38" s="337">
        <f t="shared" si="21"/>
        <v>54.3</v>
      </c>
      <c r="K38" s="337">
        <v>507</v>
      </c>
      <c r="L38" s="337">
        <f t="shared" ref="L38:U47" si="22">IF($AU38="Albany",L$4,IF($AU38="Binghamton",L$7,IF($AU38="Buffalo",L$18,IF($AU38="Massena",L$48,IF($AU38="NYC",L$34,IF($AU38="Poughkeepsie",L$17,L$37))))))</f>
        <v>0.113</v>
      </c>
      <c r="M38" s="337">
        <f t="shared" si="22"/>
        <v>7.1999999999999995E-2</v>
      </c>
      <c r="N38" s="337">
        <f t="shared" si="22"/>
        <v>-2.5999999999999999E-2</v>
      </c>
      <c r="O38" s="337">
        <f t="shared" si="22"/>
        <v>0</v>
      </c>
      <c r="P38" s="337">
        <f t="shared" si="22"/>
        <v>9.9</v>
      </c>
      <c r="Q38" s="337">
        <f t="shared" si="22"/>
        <v>20</v>
      </c>
      <c r="R38" s="337">
        <f t="shared" si="22"/>
        <v>19</v>
      </c>
      <c r="S38" s="337">
        <f t="shared" si="22"/>
        <v>7.9000000000000001E-2</v>
      </c>
      <c r="T38" s="337">
        <f t="shared" si="22"/>
        <v>3.1</v>
      </c>
      <c r="U38" s="337">
        <f t="shared" si="22"/>
        <v>1.8E-3</v>
      </c>
      <c r="V38" s="337">
        <f t="shared" ref="V38:AE47" si="23">IF($AU38="Albany",V$4,IF($AU38="Binghamton",V$7,IF($AU38="Buffalo",V$18,IF($AU38="Massena",V$48,IF($AU38="NYC",V$34,IF($AU38="Poughkeepsie",V$17,V$37))))))</f>
        <v>38.6</v>
      </c>
      <c r="W38" s="337">
        <f t="shared" si="23"/>
        <v>3.1</v>
      </c>
      <c r="X38" s="337">
        <f t="shared" si="23"/>
        <v>1.7999999999999999E-2</v>
      </c>
      <c r="Y38" s="337">
        <f t="shared" si="23"/>
        <v>38.6</v>
      </c>
      <c r="Z38" s="337">
        <f t="shared" si="23"/>
        <v>0.7</v>
      </c>
      <c r="AA38" s="337">
        <f t="shared" si="23"/>
        <v>0</v>
      </c>
      <c r="AB38" s="337">
        <f t="shared" si="23"/>
        <v>13.9</v>
      </c>
      <c r="AC38" s="337">
        <f t="shared" si="23"/>
        <v>3</v>
      </c>
      <c r="AD38" s="337">
        <f t="shared" si="23"/>
        <v>3.0000000000000001E-3</v>
      </c>
      <c r="AE38" s="337">
        <f t="shared" si="23"/>
        <v>16.5</v>
      </c>
      <c r="AF38" s="337">
        <f t="shared" ref="AF38:AQ47" si="24">IF($AU38="Albany",AF$4,IF($AU38="Binghamton",AF$7,IF($AU38="Buffalo",AF$18,IF($AU38="Massena",AF$48,IF($AU38="NYC",AF$34,IF($AU38="Poughkeepsie",AF$17,AF$37))))))</f>
        <v>3.45</v>
      </c>
      <c r="AG38" s="337">
        <f t="shared" si="24"/>
        <v>1.5E-3</v>
      </c>
      <c r="AH38" s="337">
        <f t="shared" si="24"/>
        <v>19.7</v>
      </c>
      <c r="AI38" s="337">
        <f t="shared" si="24"/>
        <v>8.5</v>
      </c>
      <c r="AJ38" s="337">
        <f t="shared" si="24"/>
        <v>5.0000000000000001E-3</v>
      </c>
      <c r="AK38" s="337">
        <f t="shared" si="24"/>
        <v>47.7</v>
      </c>
      <c r="AL38" s="337">
        <f t="shared" si="24"/>
        <v>4.6500000000000004</v>
      </c>
      <c r="AM38" s="337">
        <f t="shared" si="24"/>
        <v>4.0000000000000001E-3</v>
      </c>
      <c r="AN38" s="337">
        <f t="shared" si="24"/>
        <v>26.5</v>
      </c>
      <c r="AO38" s="337">
        <f t="shared" si="24"/>
        <v>11.2</v>
      </c>
      <c r="AP38" s="337">
        <f t="shared" si="24"/>
        <v>6.0000000000000001E-3</v>
      </c>
      <c r="AQ38" s="337">
        <f t="shared" si="24"/>
        <v>24</v>
      </c>
      <c r="AR38" s="337">
        <v>1934</v>
      </c>
      <c r="AS38" s="337">
        <v>6.0999999999999999E-2</v>
      </c>
      <c r="AT38" s="337">
        <f t="shared" ref="AT38:AT47" si="25">IF($AU38="Albany",AT$4,IF($AU38="Binghamton",AT$7,IF($AU38="Buffalo",AT$18,IF($AU38="Massena",AT$48,IF($AU38="NYC",AT$34,IF($AU38="Poughkeepsie",AT$17,AT$37))))))</f>
        <v>1.036</v>
      </c>
      <c r="AU38" s="236" t="s">
        <v>407</v>
      </c>
      <c r="AV38" s="2130">
        <f t="shared" si="5"/>
        <v>0.06</v>
      </c>
      <c r="AW38" s="2130">
        <f t="shared" si="6"/>
        <v>0.94</v>
      </c>
    </row>
    <row r="39" spans="1:49" ht="12.75" customHeight="1">
      <c r="A39" s="522" t="s">
        <v>139</v>
      </c>
      <c r="B39" s="337">
        <v>6</v>
      </c>
      <c r="C39" s="337">
        <v>83</v>
      </c>
      <c r="D39" s="337">
        <v>73</v>
      </c>
      <c r="E39" s="337">
        <v>5750</v>
      </c>
      <c r="F39" s="337">
        <v>5</v>
      </c>
      <c r="G39" s="337" t="s">
        <v>177</v>
      </c>
      <c r="H39" s="337">
        <f t="shared" si="21"/>
        <v>208</v>
      </c>
      <c r="I39" s="337">
        <f t="shared" si="21"/>
        <v>656</v>
      </c>
      <c r="J39" s="337">
        <f t="shared" si="21"/>
        <v>62.5</v>
      </c>
      <c r="K39" s="337">
        <v>507</v>
      </c>
      <c r="L39" s="337">
        <f t="shared" si="22"/>
        <v>0.16800000000000001</v>
      </c>
      <c r="M39" s="337">
        <f t="shared" si="22"/>
        <v>9.1999999999999998E-2</v>
      </c>
      <c r="N39" s="337">
        <f t="shared" si="22"/>
        <v>-2.3E-2</v>
      </c>
      <c r="O39" s="337">
        <f t="shared" si="22"/>
        <v>0</v>
      </c>
      <c r="P39" s="337">
        <f t="shared" si="22"/>
        <v>10.7</v>
      </c>
      <c r="Q39" s="337">
        <f t="shared" si="22"/>
        <v>56</v>
      </c>
      <c r="R39" s="337">
        <f t="shared" si="22"/>
        <v>17</v>
      </c>
      <c r="S39" s="337">
        <f t="shared" si="22"/>
        <v>9.8000000000000004E-2</v>
      </c>
      <c r="T39" s="337">
        <f t="shared" si="22"/>
        <v>-0.3</v>
      </c>
      <c r="U39" s="337">
        <f t="shared" si="22"/>
        <v>1.7999999999999999E-2</v>
      </c>
      <c r="V39" s="337">
        <f t="shared" si="23"/>
        <v>38.700000000000003</v>
      </c>
      <c r="W39" s="337">
        <f t="shared" si="23"/>
        <v>-0.3</v>
      </c>
      <c r="X39" s="337">
        <f t="shared" si="23"/>
        <v>1.7999999999999999E-2</v>
      </c>
      <c r="Y39" s="337">
        <f t="shared" si="23"/>
        <v>38.700000000000003</v>
      </c>
      <c r="Z39" s="337">
        <f t="shared" si="23"/>
        <v>-0.9</v>
      </c>
      <c r="AA39" s="337">
        <f t="shared" si="23"/>
        <v>8.9999999999999993E-3</v>
      </c>
      <c r="AB39" s="337">
        <f t="shared" si="23"/>
        <v>13.4</v>
      </c>
      <c r="AC39" s="337">
        <f t="shared" si="23"/>
        <v>3.6</v>
      </c>
      <c r="AD39" s="337">
        <f t="shared" si="23"/>
        <v>3.0000000000000001E-3</v>
      </c>
      <c r="AE39" s="337">
        <f t="shared" si="23"/>
        <v>13</v>
      </c>
      <c r="AF39" s="337">
        <f t="shared" si="24"/>
        <v>3.95</v>
      </c>
      <c r="AG39" s="337">
        <f t="shared" si="24"/>
        <v>1.5E-3</v>
      </c>
      <c r="AH39" s="337">
        <f t="shared" si="24"/>
        <v>15.9</v>
      </c>
      <c r="AI39" s="337">
        <f t="shared" si="24"/>
        <v>9.9</v>
      </c>
      <c r="AJ39" s="337">
        <f t="shared" si="24"/>
        <v>5.0000000000000001E-3</v>
      </c>
      <c r="AK39" s="337">
        <f t="shared" si="24"/>
        <v>38.1</v>
      </c>
      <c r="AL39" s="337">
        <f t="shared" si="24"/>
        <v>5.25</v>
      </c>
      <c r="AM39" s="337">
        <f t="shared" si="24"/>
        <v>4.0000000000000001E-3</v>
      </c>
      <c r="AN39" s="337">
        <f t="shared" si="24"/>
        <v>21.1</v>
      </c>
      <c r="AO39" s="337">
        <f t="shared" si="24"/>
        <v>11.6</v>
      </c>
      <c r="AP39" s="337">
        <f t="shared" si="24"/>
        <v>0</v>
      </c>
      <c r="AQ39" s="337">
        <f t="shared" si="24"/>
        <v>23.6</v>
      </c>
      <c r="AR39" s="337">
        <v>1934</v>
      </c>
      <c r="AS39" s="337">
        <v>6.0999999999999999E-2</v>
      </c>
      <c r="AT39" s="337">
        <f t="shared" si="25"/>
        <v>1.145</v>
      </c>
      <c r="AU39" s="236" t="s">
        <v>410</v>
      </c>
      <c r="AV39" s="2130">
        <f t="shared" si="5"/>
        <v>0.06</v>
      </c>
      <c r="AW39" s="2130">
        <f t="shared" si="6"/>
        <v>0.94</v>
      </c>
    </row>
    <row r="40" spans="1:49" ht="12.75" customHeight="1">
      <c r="A40" s="522" t="s">
        <v>140</v>
      </c>
      <c r="B40" s="337">
        <v>1</v>
      </c>
      <c r="C40" s="337">
        <v>86</v>
      </c>
      <c r="D40" s="337">
        <v>71</v>
      </c>
      <c r="E40" s="337">
        <v>6734</v>
      </c>
      <c r="F40" s="337">
        <v>5</v>
      </c>
      <c r="G40" s="337" t="s">
        <v>173</v>
      </c>
      <c r="H40" s="337">
        <f t="shared" si="21"/>
        <v>151</v>
      </c>
      <c r="I40" s="337">
        <f t="shared" si="21"/>
        <v>966</v>
      </c>
      <c r="J40" s="337">
        <f t="shared" si="21"/>
        <v>54.3</v>
      </c>
      <c r="K40" s="337">
        <v>507</v>
      </c>
      <c r="L40" s="337">
        <f t="shared" si="22"/>
        <v>0.113</v>
      </c>
      <c r="M40" s="337">
        <f t="shared" si="22"/>
        <v>7.1999999999999995E-2</v>
      </c>
      <c r="N40" s="337">
        <f t="shared" si="22"/>
        <v>-2.5999999999999999E-2</v>
      </c>
      <c r="O40" s="337">
        <f t="shared" si="22"/>
        <v>0</v>
      </c>
      <c r="P40" s="337">
        <f t="shared" si="22"/>
        <v>9.9</v>
      </c>
      <c r="Q40" s="337">
        <f t="shared" si="22"/>
        <v>20</v>
      </c>
      <c r="R40" s="337">
        <f t="shared" si="22"/>
        <v>19</v>
      </c>
      <c r="S40" s="337">
        <f t="shared" si="22"/>
        <v>7.9000000000000001E-2</v>
      </c>
      <c r="T40" s="337">
        <f t="shared" si="22"/>
        <v>3.1</v>
      </c>
      <c r="U40" s="337">
        <f t="shared" si="22"/>
        <v>1.8E-3</v>
      </c>
      <c r="V40" s="337">
        <f t="shared" si="23"/>
        <v>38.6</v>
      </c>
      <c r="W40" s="337">
        <f t="shared" si="23"/>
        <v>3.1</v>
      </c>
      <c r="X40" s="337">
        <f t="shared" si="23"/>
        <v>1.7999999999999999E-2</v>
      </c>
      <c r="Y40" s="337">
        <f t="shared" si="23"/>
        <v>38.6</v>
      </c>
      <c r="Z40" s="337">
        <f t="shared" si="23"/>
        <v>0.7</v>
      </c>
      <c r="AA40" s="337">
        <f t="shared" si="23"/>
        <v>0</v>
      </c>
      <c r="AB40" s="337">
        <f t="shared" si="23"/>
        <v>13.9</v>
      </c>
      <c r="AC40" s="337">
        <f t="shared" si="23"/>
        <v>3</v>
      </c>
      <c r="AD40" s="337">
        <f t="shared" si="23"/>
        <v>3.0000000000000001E-3</v>
      </c>
      <c r="AE40" s="337">
        <f t="shared" si="23"/>
        <v>16.5</v>
      </c>
      <c r="AF40" s="337">
        <f t="shared" si="24"/>
        <v>3.45</v>
      </c>
      <c r="AG40" s="337">
        <f t="shared" si="24"/>
        <v>1.5E-3</v>
      </c>
      <c r="AH40" s="337">
        <f t="shared" si="24"/>
        <v>19.7</v>
      </c>
      <c r="AI40" s="337">
        <f t="shared" si="24"/>
        <v>8.5</v>
      </c>
      <c r="AJ40" s="337">
        <f t="shared" si="24"/>
        <v>5.0000000000000001E-3</v>
      </c>
      <c r="AK40" s="337">
        <f t="shared" si="24"/>
        <v>47.7</v>
      </c>
      <c r="AL40" s="337">
        <f t="shared" si="24"/>
        <v>4.6500000000000004</v>
      </c>
      <c r="AM40" s="337">
        <f t="shared" si="24"/>
        <v>4.0000000000000001E-3</v>
      </c>
      <c r="AN40" s="337">
        <f t="shared" si="24"/>
        <v>26.5</v>
      </c>
      <c r="AO40" s="337">
        <f t="shared" si="24"/>
        <v>11.2</v>
      </c>
      <c r="AP40" s="337">
        <f t="shared" si="24"/>
        <v>6.0000000000000001E-3</v>
      </c>
      <c r="AQ40" s="337">
        <f t="shared" si="24"/>
        <v>24</v>
      </c>
      <c r="AR40" s="337">
        <v>1934</v>
      </c>
      <c r="AS40" s="337">
        <v>6.0999999999999999E-2</v>
      </c>
      <c r="AT40" s="337">
        <f t="shared" si="25"/>
        <v>1.036</v>
      </c>
      <c r="AU40" s="236" t="s">
        <v>407</v>
      </c>
      <c r="AV40" s="2130">
        <f t="shared" si="5"/>
        <v>0.06</v>
      </c>
      <c r="AW40" s="2130">
        <f t="shared" si="6"/>
        <v>0.94</v>
      </c>
    </row>
    <row r="41" spans="1:49" ht="12.75" customHeight="1">
      <c r="A41" s="522" t="s">
        <v>141</v>
      </c>
      <c r="B41" s="337">
        <v>-3</v>
      </c>
      <c r="C41" s="337">
        <v>85</v>
      </c>
      <c r="D41" s="337">
        <v>71</v>
      </c>
      <c r="E41" s="337">
        <v>6834</v>
      </c>
      <c r="F41" s="337">
        <v>5</v>
      </c>
      <c r="G41" s="337" t="s">
        <v>173</v>
      </c>
      <c r="H41" s="337">
        <f t="shared" si="21"/>
        <v>186</v>
      </c>
      <c r="I41" s="337">
        <f t="shared" si="21"/>
        <v>889</v>
      </c>
      <c r="J41" s="337">
        <f t="shared" si="21"/>
        <v>54.6</v>
      </c>
      <c r="K41" s="337">
        <v>507</v>
      </c>
      <c r="L41" s="337">
        <f t="shared" si="22"/>
        <v>0.113</v>
      </c>
      <c r="M41" s="337">
        <f t="shared" si="22"/>
        <v>0.08</v>
      </c>
      <c r="N41" s="337">
        <f t="shared" si="22"/>
        <v>-2.4E-2</v>
      </c>
      <c r="O41" s="337">
        <f t="shared" si="22"/>
        <v>0</v>
      </c>
      <c r="P41" s="337">
        <f t="shared" si="22"/>
        <v>9.6999999999999993</v>
      </c>
      <c r="Q41" s="337">
        <f t="shared" si="22"/>
        <v>23</v>
      </c>
      <c r="R41" s="337">
        <f t="shared" si="22"/>
        <v>16</v>
      </c>
      <c r="S41" s="337">
        <f t="shared" si="22"/>
        <v>9.1999999999999998E-2</v>
      </c>
      <c r="T41" s="337">
        <f t="shared" si="22"/>
        <v>6.1</v>
      </c>
      <c r="U41" s="337">
        <f t="shared" si="22"/>
        <v>4.3999999999999997E-2</v>
      </c>
      <c r="V41" s="337">
        <f t="shared" si="23"/>
        <v>37.799999999999997</v>
      </c>
      <c r="W41" s="337">
        <f t="shared" si="23"/>
        <v>6.1</v>
      </c>
      <c r="X41" s="337">
        <f t="shared" si="23"/>
        <v>4.3999999999999997E-2</v>
      </c>
      <c r="Y41" s="337">
        <f t="shared" si="23"/>
        <v>37.799999999999997</v>
      </c>
      <c r="Z41" s="337">
        <f t="shared" si="23"/>
        <v>1.7</v>
      </c>
      <c r="AA41" s="337">
        <f t="shared" si="23"/>
        <v>2.5999999999999999E-2</v>
      </c>
      <c r="AB41" s="337">
        <f t="shared" si="23"/>
        <v>15</v>
      </c>
      <c r="AC41" s="337">
        <f t="shared" si="23"/>
        <v>4.8</v>
      </c>
      <c r="AD41" s="337">
        <f t="shared" si="23"/>
        <v>5.0000000000000001E-3</v>
      </c>
      <c r="AE41" s="337">
        <f t="shared" si="23"/>
        <v>15.5</v>
      </c>
      <c r="AF41" s="337">
        <f t="shared" si="24"/>
        <v>5.5500000000000007</v>
      </c>
      <c r="AG41" s="337">
        <f t="shared" si="24"/>
        <v>5.4999999999999997E-3</v>
      </c>
      <c r="AH41" s="337">
        <f t="shared" si="24"/>
        <v>18.599999999999998</v>
      </c>
      <c r="AI41" s="337">
        <f t="shared" si="24"/>
        <v>13.5</v>
      </c>
      <c r="AJ41" s="337">
        <f t="shared" si="24"/>
        <v>1.4E-2</v>
      </c>
      <c r="AK41" s="337">
        <f t="shared" si="24"/>
        <v>44.9</v>
      </c>
      <c r="AL41" s="337">
        <f t="shared" si="24"/>
        <v>7.4</v>
      </c>
      <c r="AM41" s="337">
        <f t="shared" si="24"/>
        <v>8.0000000000000002E-3</v>
      </c>
      <c r="AN41" s="337">
        <f t="shared" si="24"/>
        <v>25.1</v>
      </c>
      <c r="AO41" s="337">
        <f t="shared" si="24"/>
        <v>13.2</v>
      </c>
      <c r="AP41" s="337">
        <f t="shared" si="24"/>
        <v>1.4E-2</v>
      </c>
      <c r="AQ41" s="337">
        <f t="shared" si="24"/>
        <v>23.4</v>
      </c>
      <c r="AR41" s="337">
        <v>1934</v>
      </c>
      <c r="AS41" s="337">
        <v>6.0999999999999999E-2</v>
      </c>
      <c r="AT41" s="337">
        <f t="shared" si="25"/>
        <v>0.99099999999999999</v>
      </c>
      <c r="AU41" s="236" t="s">
        <v>408</v>
      </c>
      <c r="AV41" s="2130">
        <f t="shared" si="5"/>
        <v>0.06</v>
      </c>
      <c r="AW41" s="2130">
        <f t="shared" si="6"/>
        <v>0.94</v>
      </c>
    </row>
    <row r="42" spans="1:49" ht="12.75" customHeight="1">
      <c r="A42" s="522" t="s">
        <v>142</v>
      </c>
      <c r="B42" s="337">
        <v>-5</v>
      </c>
      <c r="C42" s="337">
        <v>86</v>
      </c>
      <c r="D42" s="337">
        <v>70</v>
      </c>
      <c r="E42" s="337">
        <v>7244</v>
      </c>
      <c r="F42" s="337">
        <v>6</v>
      </c>
      <c r="G42" s="337">
        <v>15</v>
      </c>
      <c r="H42" s="337">
        <f t="shared" si="21"/>
        <v>120</v>
      </c>
      <c r="I42" s="337">
        <f t="shared" si="21"/>
        <v>1006</v>
      </c>
      <c r="J42" s="337">
        <f t="shared" si="21"/>
        <v>52.9</v>
      </c>
      <c r="K42" s="337">
        <v>438</v>
      </c>
      <c r="L42" s="337">
        <f t="shared" si="22"/>
        <v>7.2999999999999995E-2</v>
      </c>
      <c r="M42" s="337">
        <f t="shared" si="22"/>
        <v>6.8000000000000005E-2</v>
      </c>
      <c r="N42" s="337">
        <f t="shared" si="22"/>
        <v>-2.7E-2</v>
      </c>
      <c r="O42" s="337">
        <f t="shared" si="22"/>
        <v>0</v>
      </c>
      <c r="P42" s="337">
        <f t="shared" si="22"/>
        <v>9.6</v>
      </c>
      <c r="Q42" s="337">
        <f t="shared" si="22"/>
        <v>11</v>
      </c>
      <c r="R42" s="337">
        <f t="shared" si="22"/>
        <v>17</v>
      </c>
      <c r="S42" s="337">
        <f t="shared" si="22"/>
        <v>8.5000000000000006E-2</v>
      </c>
      <c r="T42" s="337">
        <f t="shared" si="22"/>
        <v>6</v>
      </c>
      <c r="U42" s="337">
        <f t="shared" si="22"/>
        <v>2.5999999999999999E-2</v>
      </c>
      <c r="V42" s="337">
        <f t="shared" si="23"/>
        <v>42.7</v>
      </c>
      <c r="W42" s="337">
        <f t="shared" si="23"/>
        <v>6</v>
      </c>
      <c r="X42" s="337">
        <f t="shared" si="23"/>
        <v>2.5999999999999999E-2</v>
      </c>
      <c r="Y42" s="337">
        <f t="shared" si="23"/>
        <v>42.7</v>
      </c>
      <c r="Z42" s="337">
        <f t="shared" si="23"/>
        <v>1.8</v>
      </c>
      <c r="AA42" s="337">
        <f t="shared" si="23"/>
        <v>8.9999999999999993E-3</v>
      </c>
      <c r="AB42" s="337">
        <f t="shared" si="23"/>
        <v>14.9</v>
      </c>
      <c r="AC42" s="337">
        <f t="shared" si="23"/>
        <v>2.8</v>
      </c>
      <c r="AD42" s="337">
        <f t="shared" si="23"/>
        <v>0</v>
      </c>
      <c r="AE42" s="337">
        <f t="shared" si="23"/>
        <v>17.2</v>
      </c>
      <c r="AF42" s="337">
        <f t="shared" si="24"/>
        <v>3.1</v>
      </c>
      <c r="AG42" s="337">
        <f t="shared" si="24"/>
        <v>1.5E-3</v>
      </c>
      <c r="AH42" s="337">
        <f t="shared" si="24"/>
        <v>20.650000000000002</v>
      </c>
      <c r="AI42" s="337">
        <f t="shared" si="24"/>
        <v>7.7</v>
      </c>
      <c r="AJ42" s="337">
        <f t="shared" si="24"/>
        <v>3.0000000000000001E-3</v>
      </c>
      <c r="AK42" s="337">
        <f t="shared" si="24"/>
        <v>49.9</v>
      </c>
      <c r="AL42" s="337">
        <f t="shared" si="24"/>
        <v>4.1500000000000004</v>
      </c>
      <c r="AM42" s="337">
        <f t="shared" si="24"/>
        <v>4.0000000000000001E-3</v>
      </c>
      <c r="AN42" s="337">
        <f t="shared" si="24"/>
        <v>27.85</v>
      </c>
      <c r="AO42" s="337">
        <f t="shared" si="24"/>
        <v>13.6</v>
      </c>
      <c r="AP42" s="337">
        <f t="shared" si="24"/>
        <v>6.0000000000000001E-3</v>
      </c>
      <c r="AQ42" s="337">
        <f t="shared" si="24"/>
        <v>24.2</v>
      </c>
      <c r="AR42" s="337">
        <v>1934</v>
      </c>
      <c r="AS42" s="337">
        <v>6.0999999999999999E-2</v>
      </c>
      <c r="AT42" s="337">
        <f t="shared" si="25"/>
        <v>1.008</v>
      </c>
      <c r="AU42" s="236" t="s">
        <v>406</v>
      </c>
      <c r="AV42" s="2130">
        <f t="shared" si="5"/>
        <v>0.03</v>
      </c>
      <c r="AW42" s="2130">
        <f t="shared" si="6"/>
        <v>0.97</v>
      </c>
    </row>
    <row r="43" spans="1:49" ht="12.75" customHeight="1">
      <c r="A43" s="522" t="s">
        <v>143</v>
      </c>
      <c r="B43" s="337">
        <v>6</v>
      </c>
      <c r="C43" s="337">
        <v>83</v>
      </c>
      <c r="D43" s="337">
        <v>73</v>
      </c>
      <c r="E43" s="337">
        <v>5750</v>
      </c>
      <c r="F43" s="337">
        <v>5</v>
      </c>
      <c r="G43" s="337" t="s">
        <v>177</v>
      </c>
      <c r="H43" s="337">
        <f t="shared" si="21"/>
        <v>208</v>
      </c>
      <c r="I43" s="337">
        <f t="shared" si="21"/>
        <v>656</v>
      </c>
      <c r="J43" s="337">
        <f t="shared" si="21"/>
        <v>62.5</v>
      </c>
      <c r="K43" s="337">
        <v>507</v>
      </c>
      <c r="L43" s="337">
        <f t="shared" si="22"/>
        <v>0.16800000000000001</v>
      </c>
      <c r="M43" s="337">
        <f t="shared" si="22"/>
        <v>9.1999999999999998E-2</v>
      </c>
      <c r="N43" s="337">
        <f t="shared" si="22"/>
        <v>-2.3E-2</v>
      </c>
      <c r="O43" s="337">
        <f t="shared" si="22"/>
        <v>0</v>
      </c>
      <c r="P43" s="337">
        <f t="shared" si="22"/>
        <v>10.7</v>
      </c>
      <c r="Q43" s="337">
        <f t="shared" si="22"/>
        <v>56</v>
      </c>
      <c r="R43" s="337">
        <f t="shared" si="22"/>
        <v>17</v>
      </c>
      <c r="S43" s="337">
        <f t="shared" si="22"/>
        <v>9.8000000000000004E-2</v>
      </c>
      <c r="T43" s="337">
        <f t="shared" si="22"/>
        <v>-0.3</v>
      </c>
      <c r="U43" s="337">
        <f t="shared" si="22"/>
        <v>1.7999999999999999E-2</v>
      </c>
      <c r="V43" s="337">
        <f t="shared" si="23"/>
        <v>38.700000000000003</v>
      </c>
      <c r="W43" s="337">
        <f t="shared" si="23"/>
        <v>-0.3</v>
      </c>
      <c r="X43" s="337">
        <f t="shared" si="23"/>
        <v>1.7999999999999999E-2</v>
      </c>
      <c r="Y43" s="337">
        <f t="shared" si="23"/>
        <v>38.700000000000003</v>
      </c>
      <c r="Z43" s="337">
        <f t="shared" si="23"/>
        <v>-0.9</v>
      </c>
      <c r="AA43" s="337">
        <f t="shared" si="23"/>
        <v>8.9999999999999993E-3</v>
      </c>
      <c r="AB43" s="337">
        <f t="shared" si="23"/>
        <v>13.4</v>
      </c>
      <c r="AC43" s="337">
        <f t="shared" si="23"/>
        <v>3.6</v>
      </c>
      <c r="AD43" s="337">
        <f t="shared" si="23"/>
        <v>3.0000000000000001E-3</v>
      </c>
      <c r="AE43" s="337">
        <f t="shared" si="23"/>
        <v>13</v>
      </c>
      <c r="AF43" s="337">
        <f t="shared" si="24"/>
        <v>3.95</v>
      </c>
      <c r="AG43" s="337">
        <f t="shared" si="24"/>
        <v>1.5E-3</v>
      </c>
      <c r="AH43" s="337">
        <f t="shared" si="24"/>
        <v>15.9</v>
      </c>
      <c r="AI43" s="337">
        <f t="shared" si="24"/>
        <v>9.9</v>
      </c>
      <c r="AJ43" s="337">
        <f t="shared" si="24"/>
        <v>5.0000000000000001E-3</v>
      </c>
      <c r="AK43" s="337">
        <f t="shared" si="24"/>
        <v>38.1</v>
      </c>
      <c r="AL43" s="337">
        <f t="shared" si="24"/>
        <v>5.25</v>
      </c>
      <c r="AM43" s="337">
        <f t="shared" si="24"/>
        <v>4.0000000000000001E-3</v>
      </c>
      <c r="AN43" s="337">
        <f t="shared" si="24"/>
        <v>21.1</v>
      </c>
      <c r="AO43" s="337">
        <f t="shared" si="24"/>
        <v>11.6</v>
      </c>
      <c r="AP43" s="337">
        <f t="shared" si="24"/>
        <v>0</v>
      </c>
      <c r="AQ43" s="337">
        <f t="shared" si="24"/>
        <v>23.6</v>
      </c>
      <c r="AR43" s="337">
        <v>1934</v>
      </c>
      <c r="AS43" s="337">
        <v>6.0999999999999999E-2</v>
      </c>
      <c r="AT43" s="337">
        <f t="shared" si="25"/>
        <v>1.145</v>
      </c>
      <c r="AU43" s="236" t="s">
        <v>410</v>
      </c>
      <c r="AV43" s="2130">
        <f t="shared" si="5"/>
        <v>0.06</v>
      </c>
      <c r="AW43" s="2130">
        <f t="shared" si="6"/>
        <v>0.94</v>
      </c>
    </row>
    <row r="44" spans="1:49" ht="12.75" customHeight="1">
      <c r="A44" s="522" t="s">
        <v>144</v>
      </c>
      <c r="B44" s="337">
        <v>13</v>
      </c>
      <c r="C44" s="337">
        <v>89</v>
      </c>
      <c r="D44" s="337">
        <v>73</v>
      </c>
      <c r="E44" s="337">
        <v>4910</v>
      </c>
      <c r="F44" s="337">
        <v>4</v>
      </c>
      <c r="G44" s="337" t="s">
        <v>176</v>
      </c>
      <c r="H44" s="337">
        <f t="shared" si="21"/>
        <v>382</v>
      </c>
      <c r="I44" s="337">
        <f t="shared" si="21"/>
        <v>526</v>
      </c>
      <c r="J44" s="337">
        <f t="shared" si="21"/>
        <v>55</v>
      </c>
      <c r="K44" s="337">
        <v>1096</v>
      </c>
      <c r="L44" s="337">
        <f t="shared" si="22"/>
        <v>0.19400000000000001</v>
      </c>
      <c r="M44" s="337">
        <f t="shared" si="22"/>
        <v>0.10100000000000001</v>
      </c>
      <c r="N44" s="337">
        <f t="shared" si="22"/>
        <v>-2.1000000000000001E-2</v>
      </c>
      <c r="O44" s="337">
        <f t="shared" si="22"/>
        <v>0</v>
      </c>
      <c r="P44" s="337">
        <f t="shared" si="22"/>
        <v>10.7</v>
      </c>
      <c r="Q44" s="337">
        <f t="shared" si="22"/>
        <v>56</v>
      </c>
      <c r="R44" s="337">
        <f t="shared" si="22"/>
        <v>17</v>
      </c>
      <c r="S44" s="337">
        <f t="shared" si="22"/>
        <v>9.8000000000000004E-2</v>
      </c>
      <c r="T44" s="337">
        <f t="shared" si="22"/>
        <v>20.3</v>
      </c>
      <c r="U44" s="337">
        <f t="shared" si="22"/>
        <v>2.5999999999999999E-2</v>
      </c>
      <c r="V44" s="337">
        <f t="shared" si="23"/>
        <v>28.3</v>
      </c>
      <c r="W44" s="337">
        <f t="shared" si="23"/>
        <v>20.3</v>
      </c>
      <c r="X44" s="337">
        <f t="shared" si="23"/>
        <v>2.5999999999999999E-2</v>
      </c>
      <c r="Y44" s="337">
        <f t="shared" si="23"/>
        <v>28.3</v>
      </c>
      <c r="Z44" s="337">
        <f t="shared" si="23"/>
        <v>6.7</v>
      </c>
      <c r="AA44" s="337">
        <f t="shared" si="23"/>
        <v>8.9999999999999993E-3</v>
      </c>
      <c r="AB44" s="337">
        <f t="shared" si="23"/>
        <v>9.4</v>
      </c>
      <c r="AC44" s="337">
        <f t="shared" si="23"/>
        <v>11</v>
      </c>
      <c r="AD44" s="337">
        <f t="shared" si="23"/>
        <v>3.0000000000000001E-3</v>
      </c>
      <c r="AE44" s="337">
        <f t="shared" si="23"/>
        <v>10.7</v>
      </c>
      <c r="AF44" s="337">
        <f t="shared" si="24"/>
        <v>13.05</v>
      </c>
      <c r="AG44" s="337">
        <f t="shared" si="24"/>
        <v>2.5000000000000001E-3</v>
      </c>
      <c r="AH44" s="337">
        <f t="shared" si="24"/>
        <v>12.75</v>
      </c>
      <c r="AI44" s="337">
        <f t="shared" si="24"/>
        <v>31.7</v>
      </c>
      <c r="AJ44" s="337">
        <f t="shared" si="24"/>
        <v>8.0000000000000002E-3</v>
      </c>
      <c r="AK44" s="337">
        <f t="shared" si="24"/>
        <v>30.9</v>
      </c>
      <c r="AL44" s="337">
        <f t="shared" si="24"/>
        <v>17.600000000000001</v>
      </c>
      <c r="AM44" s="337">
        <f t="shared" si="24"/>
        <v>5.4999999999999997E-3</v>
      </c>
      <c r="AN44" s="337">
        <f t="shared" si="24"/>
        <v>17.350000000000001</v>
      </c>
      <c r="AO44" s="337">
        <f t="shared" si="24"/>
        <v>9.1999999999999993</v>
      </c>
      <c r="AP44" s="337">
        <f t="shared" si="24"/>
        <v>6.0000000000000001E-3</v>
      </c>
      <c r="AQ44" s="337">
        <f t="shared" si="24"/>
        <v>17.399999999999999</v>
      </c>
      <c r="AR44" s="337">
        <v>1934</v>
      </c>
      <c r="AS44" s="337">
        <v>6.0999999999999999E-2</v>
      </c>
      <c r="AT44" s="337">
        <f t="shared" si="25"/>
        <v>1.34</v>
      </c>
      <c r="AU44" s="236" t="s">
        <v>361</v>
      </c>
      <c r="AV44" s="2130">
        <f t="shared" si="5"/>
        <v>0.15</v>
      </c>
      <c r="AW44" s="2130">
        <f t="shared" si="6"/>
        <v>0.85</v>
      </c>
    </row>
    <row r="45" spans="1:49" ht="12.75" customHeight="1">
      <c r="A45" s="522" t="s">
        <v>145</v>
      </c>
      <c r="B45" s="337">
        <v>-7</v>
      </c>
      <c r="C45" s="337">
        <v>86</v>
      </c>
      <c r="D45" s="337">
        <v>70</v>
      </c>
      <c r="E45" s="337">
        <v>6894</v>
      </c>
      <c r="F45" s="337">
        <v>5</v>
      </c>
      <c r="G45" s="337" t="s">
        <v>173</v>
      </c>
      <c r="H45" s="337">
        <f t="shared" si="21"/>
        <v>181</v>
      </c>
      <c r="I45" s="337">
        <f t="shared" si="21"/>
        <v>786</v>
      </c>
      <c r="J45" s="337">
        <f t="shared" si="21"/>
        <v>54.2</v>
      </c>
      <c r="K45" s="337">
        <v>507</v>
      </c>
      <c r="L45" s="337">
        <f t="shared" si="22"/>
        <v>0.113</v>
      </c>
      <c r="M45" s="337">
        <f t="shared" si="22"/>
        <v>0.08</v>
      </c>
      <c r="N45" s="337">
        <f t="shared" si="22"/>
        <v>-2.5000000000000001E-2</v>
      </c>
      <c r="O45" s="337">
        <f t="shared" si="22"/>
        <v>0</v>
      </c>
      <c r="P45" s="337">
        <f t="shared" si="22"/>
        <v>9.6999999999999993</v>
      </c>
      <c r="Q45" s="337">
        <f t="shared" si="22"/>
        <v>22</v>
      </c>
      <c r="R45" s="337">
        <f t="shared" si="22"/>
        <v>16</v>
      </c>
      <c r="S45" s="337">
        <f t="shared" si="22"/>
        <v>9.9000000000000005E-2</v>
      </c>
      <c r="T45" s="337">
        <f t="shared" si="22"/>
        <v>6.3</v>
      </c>
      <c r="U45" s="337">
        <f t="shared" si="22"/>
        <v>1.7999999999999999E-2</v>
      </c>
      <c r="V45" s="337">
        <f t="shared" si="23"/>
        <v>39.200000000000003</v>
      </c>
      <c r="W45" s="337">
        <f t="shared" si="23"/>
        <v>6.3</v>
      </c>
      <c r="X45" s="337">
        <f t="shared" si="23"/>
        <v>1.7999999999999999E-2</v>
      </c>
      <c r="Y45" s="337">
        <f t="shared" si="23"/>
        <v>39.200000000000003</v>
      </c>
      <c r="Z45" s="337">
        <f t="shared" si="23"/>
        <v>1.8</v>
      </c>
      <c r="AA45" s="337">
        <f t="shared" si="23"/>
        <v>1.7999999999999999E-2</v>
      </c>
      <c r="AB45" s="337">
        <f t="shared" si="23"/>
        <v>14.1</v>
      </c>
      <c r="AC45" s="337">
        <f t="shared" si="23"/>
        <v>4.3</v>
      </c>
      <c r="AD45" s="337">
        <f t="shared" si="23"/>
        <v>5.0000000000000001E-3</v>
      </c>
      <c r="AE45" s="337">
        <f t="shared" si="23"/>
        <v>15.7</v>
      </c>
      <c r="AF45" s="337">
        <f t="shared" si="24"/>
        <v>5</v>
      </c>
      <c r="AG45" s="337">
        <f t="shared" si="24"/>
        <v>4.0000000000000001E-3</v>
      </c>
      <c r="AH45" s="337">
        <f t="shared" si="24"/>
        <v>19</v>
      </c>
      <c r="AI45" s="337">
        <f t="shared" si="24"/>
        <v>12.2</v>
      </c>
      <c r="AJ45" s="337">
        <f t="shared" si="24"/>
        <v>1.0999999999999999E-2</v>
      </c>
      <c r="AK45" s="337">
        <f t="shared" si="24"/>
        <v>45.6</v>
      </c>
      <c r="AL45" s="337">
        <f t="shared" si="24"/>
        <v>6.6999999999999993</v>
      </c>
      <c r="AM45" s="337">
        <f t="shared" si="24"/>
        <v>6.5000000000000002E-2</v>
      </c>
      <c r="AN45" s="337">
        <f t="shared" si="24"/>
        <v>25.6</v>
      </c>
      <c r="AO45" s="337">
        <f t="shared" si="24"/>
        <v>12.8</v>
      </c>
      <c r="AP45" s="337">
        <f t="shared" si="24"/>
        <v>6.0000000000000001E-3</v>
      </c>
      <c r="AQ45" s="337">
        <f t="shared" si="24"/>
        <v>22.6</v>
      </c>
      <c r="AR45" s="337">
        <v>1934</v>
      </c>
      <c r="AS45" s="337">
        <v>6.0999999999999999E-2</v>
      </c>
      <c r="AT45" s="337">
        <f t="shared" si="25"/>
        <v>1</v>
      </c>
      <c r="AU45" s="236" t="s">
        <v>405</v>
      </c>
      <c r="AV45" s="2130">
        <f t="shared" si="5"/>
        <v>0.06</v>
      </c>
      <c r="AW45" s="2130">
        <f t="shared" si="6"/>
        <v>0.94</v>
      </c>
    </row>
    <row r="46" spans="1:49" ht="12.75" customHeight="1">
      <c r="A46" s="522" t="s">
        <v>146</v>
      </c>
      <c r="B46" s="337">
        <v>13</v>
      </c>
      <c r="C46" s="337">
        <v>89</v>
      </c>
      <c r="D46" s="337">
        <v>73</v>
      </c>
      <c r="E46" s="337">
        <v>4910</v>
      </c>
      <c r="F46" s="337">
        <v>4</v>
      </c>
      <c r="G46" s="337" t="s">
        <v>174</v>
      </c>
      <c r="H46" s="337">
        <f t="shared" si="21"/>
        <v>382</v>
      </c>
      <c r="I46" s="337">
        <f t="shared" si="21"/>
        <v>526</v>
      </c>
      <c r="J46" s="337">
        <f t="shared" si="21"/>
        <v>55</v>
      </c>
      <c r="K46" s="337">
        <v>1096</v>
      </c>
      <c r="L46" s="337">
        <f t="shared" si="22"/>
        <v>0.19400000000000001</v>
      </c>
      <c r="M46" s="337">
        <f t="shared" si="22"/>
        <v>0.10100000000000001</v>
      </c>
      <c r="N46" s="337">
        <f t="shared" si="22"/>
        <v>-2.1000000000000001E-2</v>
      </c>
      <c r="O46" s="337">
        <f t="shared" si="22"/>
        <v>0</v>
      </c>
      <c r="P46" s="337">
        <f t="shared" si="22"/>
        <v>10.7</v>
      </c>
      <c r="Q46" s="337">
        <f t="shared" si="22"/>
        <v>56</v>
      </c>
      <c r="R46" s="337">
        <f t="shared" si="22"/>
        <v>17</v>
      </c>
      <c r="S46" s="337">
        <f t="shared" si="22"/>
        <v>9.8000000000000004E-2</v>
      </c>
      <c r="T46" s="337">
        <f t="shared" si="22"/>
        <v>20.3</v>
      </c>
      <c r="U46" s="337">
        <f t="shared" si="22"/>
        <v>2.5999999999999999E-2</v>
      </c>
      <c r="V46" s="337">
        <f t="shared" si="23"/>
        <v>28.3</v>
      </c>
      <c r="W46" s="337">
        <f t="shared" si="23"/>
        <v>20.3</v>
      </c>
      <c r="X46" s="337">
        <f t="shared" si="23"/>
        <v>2.5999999999999999E-2</v>
      </c>
      <c r="Y46" s="337">
        <f t="shared" si="23"/>
        <v>28.3</v>
      </c>
      <c r="Z46" s="337">
        <f t="shared" si="23"/>
        <v>6.7</v>
      </c>
      <c r="AA46" s="337">
        <f t="shared" si="23"/>
        <v>8.9999999999999993E-3</v>
      </c>
      <c r="AB46" s="337">
        <f t="shared" si="23"/>
        <v>9.4</v>
      </c>
      <c r="AC46" s="337">
        <f t="shared" si="23"/>
        <v>11</v>
      </c>
      <c r="AD46" s="337">
        <f t="shared" si="23"/>
        <v>3.0000000000000001E-3</v>
      </c>
      <c r="AE46" s="337">
        <f t="shared" si="23"/>
        <v>10.7</v>
      </c>
      <c r="AF46" s="337">
        <f t="shared" si="24"/>
        <v>13.05</v>
      </c>
      <c r="AG46" s="337">
        <f t="shared" si="24"/>
        <v>2.5000000000000001E-3</v>
      </c>
      <c r="AH46" s="337">
        <f t="shared" si="24"/>
        <v>12.75</v>
      </c>
      <c r="AI46" s="337">
        <f t="shared" si="24"/>
        <v>31.7</v>
      </c>
      <c r="AJ46" s="337">
        <f t="shared" si="24"/>
        <v>8.0000000000000002E-3</v>
      </c>
      <c r="AK46" s="337">
        <f t="shared" si="24"/>
        <v>30.9</v>
      </c>
      <c r="AL46" s="337">
        <f t="shared" si="24"/>
        <v>17.600000000000001</v>
      </c>
      <c r="AM46" s="337">
        <f t="shared" si="24"/>
        <v>5.4999999999999997E-3</v>
      </c>
      <c r="AN46" s="337">
        <f t="shared" si="24"/>
        <v>17.350000000000001</v>
      </c>
      <c r="AO46" s="337">
        <f t="shared" si="24"/>
        <v>9.1999999999999993</v>
      </c>
      <c r="AP46" s="337">
        <f t="shared" si="24"/>
        <v>6.0000000000000001E-3</v>
      </c>
      <c r="AQ46" s="337">
        <f t="shared" si="24"/>
        <v>17.399999999999999</v>
      </c>
      <c r="AR46" s="337">
        <v>1934</v>
      </c>
      <c r="AS46" s="337">
        <v>6.0999999999999999E-2</v>
      </c>
      <c r="AT46" s="337">
        <f t="shared" si="25"/>
        <v>1.34</v>
      </c>
      <c r="AU46" s="236" t="s">
        <v>361</v>
      </c>
      <c r="AV46" s="2130">
        <f t="shared" si="5"/>
        <v>0.15</v>
      </c>
      <c r="AW46" s="2130">
        <f t="shared" si="6"/>
        <v>0.85</v>
      </c>
    </row>
    <row r="47" spans="1:49" ht="12.75" customHeight="1">
      <c r="A47" s="522" t="s">
        <v>147</v>
      </c>
      <c r="B47" s="337">
        <v>13</v>
      </c>
      <c r="C47" s="337">
        <v>89</v>
      </c>
      <c r="D47" s="337">
        <v>73</v>
      </c>
      <c r="E47" s="337">
        <v>4910</v>
      </c>
      <c r="F47" s="337">
        <v>5</v>
      </c>
      <c r="G47" s="337" t="s">
        <v>177</v>
      </c>
      <c r="H47" s="337">
        <f t="shared" si="21"/>
        <v>382</v>
      </c>
      <c r="I47" s="337">
        <f t="shared" si="21"/>
        <v>526</v>
      </c>
      <c r="J47" s="337">
        <f t="shared" si="21"/>
        <v>55</v>
      </c>
      <c r="K47" s="337">
        <v>507</v>
      </c>
      <c r="L47" s="337">
        <f t="shared" si="22"/>
        <v>0.19400000000000001</v>
      </c>
      <c r="M47" s="337">
        <f t="shared" si="22"/>
        <v>0.10100000000000001</v>
      </c>
      <c r="N47" s="337">
        <f t="shared" si="22"/>
        <v>-2.1000000000000001E-2</v>
      </c>
      <c r="O47" s="337">
        <f t="shared" si="22"/>
        <v>0</v>
      </c>
      <c r="P47" s="337">
        <f t="shared" si="22"/>
        <v>10.7</v>
      </c>
      <c r="Q47" s="337">
        <f t="shared" si="22"/>
        <v>56</v>
      </c>
      <c r="R47" s="337">
        <f t="shared" si="22"/>
        <v>17</v>
      </c>
      <c r="S47" s="337">
        <f t="shared" si="22"/>
        <v>9.8000000000000004E-2</v>
      </c>
      <c r="T47" s="337">
        <f t="shared" si="22"/>
        <v>20.3</v>
      </c>
      <c r="U47" s="337">
        <f t="shared" si="22"/>
        <v>2.5999999999999999E-2</v>
      </c>
      <c r="V47" s="337">
        <f t="shared" si="23"/>
        <v>28.3</v>
      </c>
      <c r="W47" s="337">
        <f t="shared" si="23"/>
        <v>20.3</v>
      </c>
      <c r="X47" s="337">
        <f t="shared" si="23"/>
        <v>2.5999999999999999E-2</v>
      </c>
      <c r="Y47" s="337">
        <f t="shared" si="23"/>
        <v>28.3</v>
      </c>
      <c r="Z47" s="337">
        <f t="shared" si="23"/>
        <v>6.7</v>
      </c>
      <c r="AA47" s="337">
        <f t="shared" si="23"/>
        <v>8.9999999999999993E-3</v>
      </c>
      <c r="AB47" s="337">
        <f t="shared" si="23"/>
        <v>9.4</v>
      </c>
      <c r="AC47" s="337">
        <f t="shared" si="23"/>
        <v>11</v>
      </c>
      <c r="AD47" s="337">
        <f t="shared" si="23"/>
        <v>3.0000000000000001E-3</v>
      </c>
      <c r="AE47" s="337">
        <f t="shared" si="23"/>
        <v>10.7</v>
      </c>
      <c r="AF47" s="337">
        <f t="shared" si="24"/>
        <v>13.05</v>
      </c>
      <c r="AG47" s="337">
        <f t="shared" si="24"/>
        <v>2.5000000000000001E-3</v>
      </c>
      <c r="AH47" s="337">
        <f t="shared" si="24"/>
        <v>12.75</v>
      </c>
      <c r="AI47" s="337">
        <f t="shared" si="24"/>
        <v>31.7</v>
      </c>
      <c r="AJ47" s="337">
        <f t="shared" si="24"/>
        <v>8.0000000000000002E-3</v>
      </c>
      <c r="AK47" s="337">
        <f t="shared" si="24"/>
        <v>30.9</v>
      </c>
      <c r="AL47" s="337">
        <f t="shared" si="24"/>
        <v>17.600000000000001</v>
      </c>
      <c r="AM47" s="337">
        <f t="shared" si="24"/>
        <v>5.4999999999999997E-3</v>
      </c>
      <c r="AN47" s="337">
        <f t="shared" si="24"/>
        <v>17.350000000000001</v>
      </c>
      <c r="AO47" s="337">
        <f t="shared" si="24"/>
        <v>9.1999999999999993</v>
      </c>
      <c r="AP47" s="337">
        <f t="shared" si="24"/>
        <v>6.0000000000000001E-3</v>
      </c>
      <c r="AQ47" s="337">
        <f t="shared" si="24"/>
        <v>17.399999999999999</v>
      </c>
      <c r="AR47" s="337">
        <v>1934</v>
      </c>
      <c r="AS47" s="337">
        <v>6.0999999999999999E-2</v>
      </c>
      <c r="AT47" s="337">
        <f t="shared" si="25"/>
        <v>1.34</v>
      </c>
      <c r="AU47" s="236" t="s">
        <v>361</v>
      </c>
      <c r="AV47" s="2130">
        <f t="shared" si="5"/>
        <v>0.06</v>
      </c>
      <c r="AW47" s="2130">
        <f t="shared" si="6"/>
        <v>0.94</v>
      </c>
    </row>
    <row r="48" spans="1:49" ht="12.75" customHeight="1">
      <c r="A48" s="523" t="s">
        <v>416</v>
      </c>
      <c r="B48" s="337">
        <v>-15</v>
      </c>
      <c r="C48" s="337">
        <v>84</v>
      </c>
      <c r="D48" s="337">
        <v>70</v>
      </c>
      <c r="E48" s="337">
        <v>8255</v>
      </c>
      <c r="F48" s="337">
        <v>6</v>
      </c>
      <c r="G48" s="337">
        <v>15</v>
      </c>
      <c r="H48" s="337">
        <v>143</v>
      </c>
      <c r="I48" s="337">
        <v>1016</v>
      </c>
      <c r="J48" s="337">
        <v>50.7</v>
      </c>
      <c r="K48" s="337">
        <v>438</v>
      </c>
      <c r="L48" s="337">
        <v>9.4E-2</v>
      </c>
      <c r="M48" s="337">
        <v>7.2999999999999995E-2</v>
      </c>
      <c r="N48" s="337">
        <v>-2.5999999999999999E-2</v>
      </c>
      <c r="O48" s="337"/>
      <c r="P48" s="337">
        <v>9.3000000000000007</v>
      </c>
      <c r="Q48" s="337">
        <v>20</v>
      </c>
      <c r="R48" s="337">
        <v>17</v>
      </c>
      <c r="S48" s="337">
        <v>9.8000000000000004E-2</v>
      </c>
      <c r="T48" s="337">
        <v>5.0999999999999996</v>
      </c>
      <c r="U48" s="337">
        <v>1.7999999999999999E-2</v>
      </c>
      <c r="V48" s="337">
        <v>45.1</v>
      </c>
      <c r="W48" s="337">
        <v>5.0999999999999996</v>
      </c>
      <c r="X48" s="337">
        <v>1.7999999999999999E-2</v>
      </c>
      <c r="Y48" s="337">
        <v>45.1</v>
      </c>
      <c r="Z48" s="337">
        <v>1.5</v>
      </c>
      <c r="AA48" s="337">
        <v>8.9999999999999993E-3</v>
      </c>
      <c r="AB48" s="337">
        <v>16</v>
      </c>
      <c r="AC48" s="337">
        <v>5.3</v>
      </c>
      <c r="AD48" s="337">
        <v>8.0000000000000002E-3</v>
      </c>
      <c r="AE48" s="337">
        <v>19</v>
      </c>
      <c r="AF48" s="337">
        <f>(9.9+2.6)/2</f>
        <v>6.25</v>
      </c>
      <c r="AG48" s="337">
        <v>7.0000000000000001E-3</v>
      </c>
      <c r="AH48" s="337">
        <f>(35.3+9.4)/2</f>
        <v>22.349999999999998</v>
      </c>
      <c r="AI48" s="337">
        <v>15.2</v>
      </c>
      <c r="AJ48" s="337">
        <v>1.9E-2</v>
      </c>
      <c r="AK48" s="337">
        <v>54.3</v>
      </c>
      <c r="AL48" s="337">
        <f>(12.1+4.8)/2</f>
        <v>8.4499999999999993</v>
      </c>
      <c r="AM48" s="337">
        <v>9.4999999999999998E-3</v>
      </c>
      <c r="AN48" s="337">
        <f>(43.3+17.3)/2</f>
        <v>30.299999999999997</v>
      </c>
      <c r="AO48" s="337">
        <f>2*5.7</f>
        <v>11.4</v>
      </c>
      <c r="AP48" s="337">
        <f>2*0.003</f>
        <v>6.0000000000000001E-3</v>
      </c>
      <c r="AQ48" s="337">
        <f>2*12.9</f>
        <v>25.8</v>
      </c>
      <c r="AR48" s="337">
        <v>1934</v>
      </c>
      <c r="AS48" s="337">
        <v>6.0999999999999999E-2</v>
      </c>
      <c r="AT48" s="337">
        <v>0.94899999999999995</v>
      </c>
      <c r="AU48" s="236" t="s">
        <v>409</v>
      </c>
      <c r="AV48" s="2130">
        <f t="shared" si="5"/>
        <v>0.03</v>
      </c>
      <c r="AW48" s="2130">
        <f t="shared" si="6"/>
        <v>0.97</v>
      </c>
    </row>
    <row r="49" spans="1:49" ht="12.75" customHeight="1">
      <c r="A49" s="522" t="s">
        <v>148</v>
      </c>
      <c r="B49" s="337">
        <v>-5</v>
      </c>
      <c r="C49" s="337">
        <v>86</v>
      </c>
      <c r="D49" s="337">
        <v>70</v>
      </c>
      <c r="E49" s="337">
        <v>7244</v>
      </c>
      <c r="F49" s="337">
        <v>5</v>
      </c>
      <c r="G49" s="337" t="s">
        <v>173</v>
      </c>
      <c r="H49" s="337">
        <f t="shared" ref="H49:J65" si="26">IF($AU49="Albany",H$4,IF($AU49="Binghamton",H$7,IF($AU49="Buffalo",H$18,IF($AU49="Massena",H$48,IF($AU49="NYC",H$34,IF($AU49="Poughkeepsie",H$17,H$37))))))</f>
        <v>181</v>
      </c>
      <c r="I49" s="337">
        <f t="shared" si="26"/>
        <v>786</v>
      </c>
      <c r="J49" s="337">
        <f t="shared" si="26"/>
        <v>54.2</v>
      </c>
      <c r="K49" s="337">
        <v>507</v>
      </c>
      <c r="L49" s="337">
        <f t="shared" ref="L49:U58" si="27">IF($AU49="Albany",L$4,IF($AU49="Binghamton",L$7,IF($AU49="Buffalo",L$18,IF($AU49="Massena",L$48,IF($AU49="NYC",L$34,IF($AU49="Poughkeepsie",L$17,L$37))))))</f>
        <v>0.113</v>
      </c>
      <c r="M49" s="337">
        <f t="shared" si="27"/>
        <v>0.08</v>
      </c>
      <c r="N49" s="337">
        <f t="shared" si="27"/>
        <v>-2.5000000000000001E-2</v>
      </c>
      <c r="O49" s="337">
        <f t="shared" si="27"/>
        <v>0</v>
      </c>
      <c r="P49" s="337">
        <f t="shared" si="27"/>
        <v>9.6999999999999993</v>
      </c>
      <c r="Q49" s="337">
        <f t="shared" si="27"/>
        <v>22</v>
      </c>
      <c r="R49" s="337">
        <f t="shared" si="27"/>
        <v>16</v>
      </c>
      <c r="S49" s="337">
        <f t="shared" si="27"/>
        <v>9.9000000000000005E-2</v>
      </c>
      <c r="T49" s="337">
        <f t="shared" si="27"/>
        <v>6.3</v>
      </c>
      <c r="U49" s="337">
        <f t="shared" si="27"/>
        <v>1.7999999999999999E-2</v>
      </c>
      <c r="V49" s="337">
        <f t="shared" ref="V49:AE58" si="28">IF($AU49="Albany",V$4,IF($AU49="Binghamton",V$7,IF($AU49="Buffalo",V$18,IF($AU49="Massena",V$48,IF($AU49="NYC",V$34,IF($AU49="Poughkeepsie",V$17,V$37))))))</f>
        <v>39.200000000000003</v>
      </c>
      <c r="W49" s="337">
        <f t="shared" si="28"/>
        <v>6.3</v>
      </c>
      <c r="X49" s="337">
        <f t="shared" si="28"/>
        <v>1.7999999999999999E-2</v>
      </c>
      <c r="Y49" s="337">
        <f t="shared" si="28"/>
        <v>39.200000000000003</v>
      </c>
      <c r="Z49" s="337">
        <f t="shared" si="28"/>
        <v>1.8</v>
      </c>
      <c r="AA49" s="337">
        <f t="shared" si="28"/>
        <v>1.7999999999999999E-2</v>
      </c>
      <c r="AB49" s="337">
        <f t="shared" si="28"/>
        <v>14.1</v>
      </c>
      <c r="AC49" s="337">
        <f t="shared" si="28"/>
        <v>4.3</v>
      </c>
      <c r="AD49" s="337">
        <f t="shared" si="28"/>
        <v>5.0000000000000001E-3</v>
      </c>
      <c r="AE49" s="337">
        <f t="shared" si="28"/>
        <v>15.7</v>
      </c>
      <c r="AF49" s="337">
        <f t="shared" ref="AF49:AQ58" si="29">IF($AU49="Albany",AF$4,IF($AU49="Binghamton",AF$7,IF($AU49="Buffalo",AF$18,IF($AU49="Massena",AF$48,IF($AU49="NYC",AF$34,IF($AU49="Poughkeepsie",AF$17,AF$37))))))</f>
        <v>5</v>
      </c>
      <c r="AG49" s="337">
        <f t="shared" si="29"/>
        <v>4.0000000000000001E-3</v>
      </c>
      <c r="AH49" s="337">
        <f t="shared" si="29"/>
        <v>19</v>
      </c>
      <c r="AI49" s="337">
        <f t="shared" si="29"/>
        <v>12.2</v>
      </c>
      <c r="AJ49" s="337">
        <f t="shared" si="29"/>
        <v>1.0999999999999999E-2</v>
      </c>
      <c r="AK49" s="337">
        <f t="shared" si="29"/>
        <v>45.6</v>
      </c>
      <c r="AL49" s="337">
        <f t="shared" si="29"/>
        <v>6.6999999999999993</v>
      </c>
      <c r="AM49" s="337">
        <f t="shared" si="29"/>
        <v>6.5000000000000002E-2</v>
      </c>
      <c r="AN49" s="337">
        <f t="shared" si="29"/>
        <v>25.6</v>
      </c>
      <c r="AO49" s="337">
        <f t="shared" si="29"/>
        <v>12.8</v>
      </c>
      <c r="AP49" s="337">
        <f t="shared" si="29"/>
        <v>6.0000000000000001E-3</v>
      </c>
      <c r="AQ49" s="337">
        <f t="shared" si="29"/>
        <v>22.6</v>
      </c>
      <c r="AR49" s="337">
        <v>1934</v>
      </c>
      <c r="AS49" s="337">
        <v>6.0999999999999999E-2</v>
      </c>
      <c r="AT49" s="337">
        <f t="shared" ref="AT49:AT65" si="30">IF($AU49="Albany",AT$4,IF($AU49="Binghamton",AT$7,IF($AU49="Buffalo",AT$18,IF($AU49="Massena",AT$48,IF($AU49="NYC",AT$34,IF($AU49="Poughkeepsie",AT$17,AT$37))))))</f>
        <v>1</v>
      </c>
      <c r="AU49" s="236" t="s">
        <v>405</v>
      </c>
      <c r="AV49" s="2130">
        <f t="shared" si="5"/>
        <v>0.06</v>
      </c>
      <c r="AW49" s="2130">
        <f t="shared" si="6"/>
        <v>0.94</v>
      </c>
    </row>
    <row r="50" spans="1:49" ht="12.75" customHeight="1">
      <c r="A50" s="522" t="s">
        <v>149</v>
      </c>
      <c r="B50" s="337">
        <v>-7</v>
      </c>
      <c r="C50" s="337">
        <v>86</v>
      </c>
      <c r="D50" s="337">
        <v>70</v>
      </c>
      <c r="E50" s="337">
        <v>6894</v>
      </c>
      <c r="F50" s="337">
        <v>5</v>
      </c>
      <c r="G50" s="337" t="s">
        <v>173</v>
      </c>
      <c r="H50" s="337">
        <f t="shared" si="26"/>
        <v>181</v>
      </c>
      <c r="I50" s="337">
        <f t="shared" si="26"/>
        <v>786</v>
      </c>
      <c r="J50" s="337">
        <f t="shared" si="26"/>
        <v>54.2</v>
      </c>
      <c r="K50" s="337">
        <v>507</v>
      </c>
      <c r="L50" s="337">
        <f t="shared" si="27"/>
        <v>0.113</v>
      </c>
      <c r="M50" s="337">
        <f t="shared" si="27"/>
        <v>0.08</v>
      </c>
      <c r="N50" s="337">
        <f t="shared" si="27"/>
        <v>-2.5000000000000001E-2</v>
      </c>
      <c r="O50" s="337">
        <f t="shared" si="27"/>
        <v>0</v>
      </c>
      <c r="P50" s="337">
        <f t="shared" si="27"/>
        <v>9.6999999999999993</v>
      </c>
      <c r="Q50" s="337">
        <f t="shared" si="27"/>
        <v>22</v>
      </c>
      <c r="R50" s="337">
        <f t="shared" si="27"/>
        <v>16</v>
      </c>
      <c r="S50" s="337">
        <f t="shared" si="27"/>
        <v>9.9000000000000005E-2</v>
      </c>
      <c r="T50" s="337">
        <f t="shared" si="27"/>
        <v>6.3</v>
      </c>
      <c r="U50" s="337">
        <f t="shared" si="27"/>
        <v>1.7999999999999999E-2</v>
      </c>
      <c r="V50" s="337">
        <f t="shared" si="28"/>
        <v>39.200000000000003</v>
      </c>
      <c r="W50" s="337">
        <f t="shared" si="28"/>
        <v>6.3</v>
      </c>
      <c r="X50" s="337">
        <f t="shared" si="28"/>
        <v>1.7999999999999999E-2</v>
      </c>
      <c r="Y50" s="337">
        <f t="shared" si="28"/>
        <v>39.200000000000003</v>
      </c>
      <c r="Z50" s="337">
        <f t="shared" si="28"/>
        <v>1.8</v>
      </c>
      <c r="AA50" s="337">
        <f t="shared" si="28"/>
        <v>1.7999999999999999E-2</v>
      </c>
      <c r="AB50" s="337">
        <f t="shared" si="28"/>
        <v>14.1</v>
      </c>
      <c r="AC50" s="337">
        <f t="shared" si="28"/>
        <v>4.3</v>
      </c>
      <c r="AD50" s="337">
        <f t="shared" si="28"/>
        <v>5.0000000000000001E-3</v>
      </c>
      <c r="AE50" s="337">
        <f t="shared" si="28"/>
        <v>15.7</v>
      </c>
      <c r="AF50" s="337">
        <f t="shared" si="29"/>
        <v>5</v>
      </c>
      <c r="AG50" s="337">
        <f t="shared" si="29"/>
        <v>4.0000000000000001E-3</v>
      </c>
      <c r="AH50" s="337">
        <f t="shared" si="29"/>
        <v>19</v>
      </c>
      <c r="AI50" s="337">
        <f t="shared" si="29"/>
        <v>12.2</v>
      </c>
      <c r="AJ50" s="337">
        <f t="shared" si="29"/>
        <v>1.0999999999999999E-2</v>
      </c>
      <c r="AK50" s="337">
        <f t="shared" si="29"/>
        <v>45.6</v>
      </c>
      <c r="AL50" s="337">
        <f t="shared" si="29"/>
        <v>6.6999999999999993</v>
      </c>
      <c r="AM50" s="337">
        <f t="shared" si="29"/>
        <v>6.5000000000000002E-2</v>
      </c>
      <c r="AN50" s="337">
        <f t="shared" si="29"/>
        <v>25.6</v>
      </c>
      <c r="AO50" s="337">
        <f t="shared" si="29"/>
        <v>12.8</v>
      </c>
      <c r="AP50" s="337">
        <f t="shared" si="29"/>
        <v>6.0000000000000001E-3</v>
      </c>
      <c r="AQ50" s="337">
        <f t="shared" si="29"/>
        <v>22.6</v>
      </c>
      <c r="AR50" s="337">
        <v>1934</v>
      </c>
      <c r="AS50" s="337">
        <v>6.0999999999999999E-2</v>
      </c>
      <c r="AT50" s="337">
        <f t="shared" si="30"/>
        <v>1</v>
      </c>
      <c r="AU50" s="236" t="s">
        <v>405</v>
      </c>
      <c r="AV50" s="2130">
        <f t="shared" si="5"/>
        <v>0.06</v>
      </c>
      <c r="AW50" s="2130">
        <f t="shared" si="6"/>
        <v>0.94</v>
      </c>
    </row>
    <row r="51" spans="1:49" ht="12.75" customHeight="1">
      <c r="A51" s="522" t="s">
        <v>150</v>
      </c>
      <c r="B51" s="337">
        <v>-7</v>
      </c>
      <c r="C51" s="337">
        <v>86</v>
      </c>
      <c r="D51" s="337">
        <v>70</v>
      </c>
      <c r="E51" s="337">
        <v>6894</v>
      </c>
      <c r="F51" s="337">
        <v>6</v>
      </c>
      <c r="G51" s="337">
        <v>15</v>
      </c>
      <c r="H51" s="337">
        <f t="shared" si="26"/>
        <v>181</v>
      </c>
      <c r="I51" s="337">
        <f t="shared" si="26"/>
        <v>786</v>
      </c>
      <c r="J51" s="337">
        <f t="shared" si="26"/>
        <v>54.2</v>
      </c>
      <c r="K51" s="337">
        <v>438</v>
      </c>
      <c r="L51" s="337">
        <f t="shared" si="27"/>
        <v>0.113</v>
      </c>
      <c r="M51" s="337">
        <f t="shared" si="27"/>
        <v>0.08</v>
      </c>
      <c r="N51" s="337">
        <f t="shared" si="27"/>
        <v>-2.5000000000000001E-2</v>
      </c>
      <c r="O51" s="337">
        <f t="shared" si="27"/>
        <v>0</v>
      </c>
      <c r="P51" s="337">
        <f t="shared" si="27"/>
        <v>9.6999999999999993</v>
      </c>
      <c r="Q51" s="337">
        <f t="shared" si="27"/>
        <v>22</v>
      </c>
      <c r="R51" s="337">
        <f t="shared" si="27"/>
        <v>16</v>
      </c>
      <c r="S51" s="337">
        <f t="shared" si="27"/>
        <v>9.9000000000000005E-2</v>
      </c>
      <c r="T51" s="337">
        <f t="shared" si="27"/>
        <v>6.3</v>
      </c>
      <c r="U51" s="337">
        <f t="shared" si="27"/>
        <v>1.7999999999999999E-2</v>
      </c>
      <c r="V51" s="337">
        <f t="shared" si="28"/>
        <v>39.200000000000003</v>
      </c>
      <c r="W51" s="337">
        <f t="shared" si="28"/>
        <v>6.3</v>
      </c>
      <c r="X51" s="337">
        <f t="shared" si="28"/>
        <v>1.7999999999999999E-2</v>
      </c>
      <c r="Y51" s="337">
        <f t="shared" si="28"/>
        <v>39.200000000000003</v>
      </c>
      <c r="Z51" s="337">
        <f t="shared" si="28"/>
        <v>1.8</v>
      </c>
      <c r="AA51" s="337">
        <f t="shared" si="28"/>
        <v>1.7999999999999999E-2</v>
      </c>
      <c r="AB51" s="337">
        <f t="shared" si="28"/>
        <v>14.1</v>
      </c>
      <c r="AC51" s="337">
        <f t="shared" si="28"/>
        <v>4.3</v>
      </c>
      <c r="AD51" s="337">
        <f t="shared" si="28"/>
        <v>5.0000000000000001E-3</v>
      </c>
      <c r="AE51" s="337">
        <f t="shared" si="28"/>
        <v>15.7</v>
      </c>
      <c r="AF51" s="337">
        <f t="shared" si="29"/>
        <v>5</v>
      </c>
      <c r="AG51" s="337">
        <f t="shared" si="29"/>
        <v>4.0000000000000001E-3</v>
      </c>
      <c r="AH51" s="337">
        <f t="shared" si="29"/>
        <v>19</v>
      </c>
      <c r="AI51" s="337">
        <f t="shared" si="29"/>
        <v>12.2</v>
      </c>
      <c r="AJ51" s="337">
        <f t="shared" si="29"/>
        <v>1.0999999999999999E-2</v>
      </c>
      <c r="AK51" s="337">
        <f t="shared" si="29"/>
        <v>45.6</v>
      </c>
      <c r="AL51" s="337">
        <f t="shared" si="29"/>
        <v>6.6999999999999993</v>
      </c>
      <c r="AM51" s="337">
        <f t="shared" si="29"/>
        <v>6.5000000000000002E-2</v>
      </c>
      <c r="AN51" s="337">
        <f t="shared" si="29"/>
        <v>25.6</v>
      </c>
      <c r="AO51" s="337">
        <f t="shared" si="29"/>
        <v>12.8</v>
      </c>
      <c r="AP51" s="337">
        <f t="shared" si="29"/>
        <v>6.0000000000000001E-3</v>
      </c>
      <c r="AQ51" s="337">
        <f t="shared" si="29"/>
        <v>22.6</v>
      </c>
      <c r="AR51" s="337">
        <v>1934</v>
      </c>
      <c r="AS51" s="337">
        <v>6.0999999999999999E-2</v>
      </c>
      <c r="AT51" s="337">
        <f t="shared" si="30"/>
        <v>1</v>
      </c>
      <c r="AU51" s="236" t="s">
        <v>405</v>
      </c>
      <c r="AV51" s="2130">
        <f t="shared" si="5"/>
        <v>0.03</v>
      </c>
      <c r="AW51" s="2130">
        <f t="shared" si="6"/>
        <v>0.97</v>
      </c>
    </row>
    <row r="52" spans="1:49" ht="12.75" customHeight="1">
      <c r="A52" s="522" t="s">
        <v>151</v>
      </c>
      <c r="B52" s="337">
        <v>-2</v>
      </c>
      <c r="C52" s="337">
        <v>87</v>
      </c>
      <c r="D52" s="337">
        <v>71</v>
      </c>
      <c r="E52" s="337">
        <v>6845</v>
      </c>
      <c r="F52" s="337">
        <v>6</v>
      </c>
      <c r="G52" s="337">
        <v>15</v>
      </c>
      <c r="H52" s="337">
        <f t="shared" si="26"/>
        <v>186</v>
      </c>
      <c r="I52" s="337">
        <f t="shared" si="26"/>
        <v>889</v>
      </c>
      <c r="J52" s="337">
        <f t="shared" si="26"/>
        <v>54.6</v>
      </c>
      <c r="K52" s="337">
        <v>438</v>
      </c>
      <c r="L52" s="337">
        <f t="shared" si="27"/>
        <v>0.113</v>
      </c>
      <c r="M52" s="337">
        <f t="shared" si="27"/>
        <v>0.08</v>
      </c>
      <c r="N52" s="337">
        <f t="shared" si="27"/>
        <v>-2.4E-2</v>
      </c>
      <c r="O52" s="337">
        <f t="shared" si="27"/>
        <v>0</v>
      </c>
      <c r="P52" s="337">
        <f t="shared" si="27"/>
        <v>9.6999999999999993</v>
      </c>
      <c r="Q52" s="337">
        <f t="shared" si="27"/>
        <v>23</v>
      </c>
      <c r="R52" s="337">
        <f t="shared" si="27"/>
        <v>16</v>
      </c>
      <c r="S52" s="337">
        <f t="shared" si="27"/>
        <v>9.1999999999999998E-2</v>
      </c>
      <c r="T52" s="337">
        <f t="shared" si="27"/>
        <v>6.1</v>
      </c>
      <c r="U52" s="337">
        <f t="shared" si="27"/>
        <v>4.3999999999999997E-2</v>
      </c>
      <c r="V52" s="337">
        <f t="shared" si="28"/>
        <v>37.799999999999997</v>
      </c>
      <c r="W52" s="337">
        <f t="shared" si="28"/>
        <v>6.1</v>
      </c>
      <c r="X52" s="337">
        <f t="shared" si="28"/>
        <v>4.3999999999999997E-2</v>
      </c>
      <c r="Y52" s="337">
        <f t="shared" si="28"/>
        <v>37.799999999999997</v>
      </c>
      <c r="Z52" s="337">
        <f t="shared" si="28"/>
        <v>1.7</v>
      </c>
      <c r="AA52" s="337">
        <f t="shared" si="28"/>
        <v>2.5999999999999999E-2</v>
      </c>
      <c r="AB52" s="337">
        <f t="shared" si="28"/>
        <v>15</v>
      </c>
      <c r="AC52" s="337">
        <f t="shared" si="28"/>
        <v>4.8</v>
      </c>
      <c r="AD52" s="337">
        <f t="shared" si="28"/>
        <v>5.0000000000000001E-3</v>
      </c>
      <c r="AE52" s="337">
        <f t="shared" si="28"/>
        <v>15.5</v>
      </c>
      <c r="AF52" s="337">
        <f t="shared" si="29"/>
        <v>5.5500000000000007</v>
      </c>
      <c r="AG52" s="337">
        <f t="shared" si="29"/>
        <v>5.4999999999999997E-3</v>
      </c>
      <c r="AH52" s="337">
        <f t="shared" si="29"/>
        <v>18.599999999999998</v>
      </c>
      <c r="AI52" s="337">
        <f t="shared" si="29"/>
        <v>13.5</v>
      </c>
      <c r="AJ52" s="337">
        <f t="shared" si="29"/>
        <v>1.4E-2</v>
      </c>
      <c r="AK52" s="337">
        <f t="shared" si="29"/>
        <v>44.9</v>
      </c>
      <c r="AL52" s="337">
        <f t="shared" si="29"/>
        <v>7.4</v>
      </c>
      <c r="AM52" s="337">
        <f t="shared" si="29"/>
        <v>8.0000000000000002E-3</v>
      </c>
      <c r="AN52" s="337">
        <f t="shared" si="29"/>
        <v>25.1</v>
      </c>
      <c r="AO52" s="337">
        <f t="shared" si="29"/>
        <v>13.2</v>
      </c>
      <c r="AP52" s="337">
        <f t="shared" si="29"/>
        <v>1.4E-2</v>
      </c>
      <c r="AQ52" s="337">
        <f t="shared" si="29"/>
        <v>23.4</v>
      </c>
      <c r="AR52" s="337">
        <v>1934</v>
      </c>
      <c r="AS52" s="337">
        <v>6.0999999999999999E-2</v>
      </c>
      <c r="AT52" s="337">
        <f t="shared" si="30"/>
        <v>0.99099999999999999</v>
      </c>
      <c r="AU52" s="236" t="s">
        <v>408</v>
      </c>
      <c r="AV52" s="2130">
        <f t="shared" si="5"/>
        <v>0.03</v>
      </c>
      <c r="AW52" s="2130">
        <f t="shared" si="6"/>
        <v>0.97</v>
      </c>
    </row>
    <row r="53" spans="1:49" ht="12.75" customHeight="1">
      <c r="A53" s="522" t="s">
        <v>152</v>
      </c>
      <c r="B53" s="337">
        <v>1</v>
      </c>
      <c r="C53" s="337">
        <v>86</v>
      </c>
      <c r="D53" s="337">
        <v>71</v>
      </c>
      <c r="E53" s="337">
        <v>6734</v>
      </c>
      <c r="F53" s="337">
        <v>5</v>
      </c>
      <c r="G53" s="337" t="s">
        <v>173</v>
      </c>
      <c r="H53" s="337">
        <f t="shared" si="26"/>
        <v>186</v>
      </c>
      <c r="I53" s="337">
        <f t="shared" si="26"/>
        <v>889</v>
      </c>
      <c r="J53" s="337">
        <f t="shared" si="26"/>
        <v>54.6</v>
      </c>
      <c r="K53" s="337">
        <v>507</v>
      </c>
      <c r="L53" s="337">
        <f t="shared" si="27"/>
        <v>0.113</v>
      </c>
      <c r="M53" s="337">
        <f t="shared" si="27"/>
        <v>0.08</v>
      </c>
      <c r="N53" s="337">
        <f t="shared" si="27"/>
        <v>-2.4E-2</v>
      </c>
      <c r="O53" s="337">
        <f t="shared" si="27"/>
        <v>0</v>
      </c>
      <c r="P53" s="337">
        <f t="shared" si="27"/>
        <v>9.6999999999999993</v>
      </c>
      <c r="Q53" s="337">
        <f t="shared" si="27"/>
        <v>23</v>
      </c>
      <c r="R53" s="337">
        <f t="shared" si="27"/>
        <v>16</v>
      </c>
      <c r="S53" s="337">
        <f t="shared" si="27"/>
        <v>9.1999999999999998E-2</v>
      </c>
      <c r="T53" s="337">
        <f t="shared" si="27"/>
        <v>6.1</v>
      </c>
      <c r="U53" s="337">
        <f t="shared" si="27"/>
        <v>4.3999999999999997E-2</v>
      </c>
      <c r="V53" s="337">
        <f t="shared" si="28"/>
        <v>37.799999999999997</v>
      </c>
      <c r="W53" s="337">
        <f t="shared" si="28"/>
        <v>6.1</v>
      </c>
      <c r="X53" s="337">
        <f t="shared" si="28"/>
        <v>4.3999999999999997E-2</v>
      </c>
      <c r="Y53" s="337">
        <f t="shared" si="28"/>
        <v>37.799999999999997</v>
      </c>
      <c r="Z53" s="337">
        <f t="shared" si="28"/>
        <v>1.7</v>
      </c>
      <c r="AA53" s="337">
        <f t="shared" si="28"/>
        <v>2.5999999999999999E-2</v>
      </c>
      <c r="AB53" s="337">
        <f t="shared" si="28"/>
        <v>15</v>
      </c>
      <c r="AC53" s="337">
        <f t="shared" si="28"/>
        <v>4.8</v>
      </c>
      <c r="AD53" s="337">
        <f t="shared" si="28"/>
        <v>5.0000000000000001E-3</v>
      </c>
      <c r="AE53" s="337">
        <f t="shared" si="28"/>
        <v>15.5</v>
      </c>
      <c r="AF53" s="337">
        <f t="shared" si="29"/>
        <v>5.5500000000000007</v>
      </c>
      <c r="AG53" s="337">
        <f t="shared" si="29"/>
        <v>5.4999999999999997E-3</v>
      </c>
      <c r="AH53" s="337">
        <f t="shared" si="29"/>
        <v>18.599999999999998</v>
      </c>
      <c r="AI53" s="337">
        <f t="shared" si="29"/>
        <v>13.5</v>
      </c>
      <c r="AJ53" s="337">
        <f t="shared" si="29"/>
        <v>1.4E-2</v>
      </c>
      <c r="AK53" s="337">
        <f t="shared" si="29"/>
        <v>44.9</v>
      </c>
      <c r="AL53" s="337">
        <f t="shared" si="29"/>
        <v>7.4</v>
      </c>
      <c r="AM53" s="337">
        <f t="shared" si="29"/>
        <v>8.0000000000000002E-3</v>
      </c>
      <c r="AN53" s="337">
        <f t="shared" si="29"/>
        <v>25.1</v>
      </c>
      <c r="AO53" s="337">
        <f t="shared" si="29"/>
        <v>13.2</v>
      </c>
      <c r="AP53" s="337">
        <f t="shared" si="29"/>
        <v>1.4E-2</v>
      </c>
      <c r="AQ53" s="337">
        <f t="shared" si="29"/>
        <v>23.4</v>
      </c>
      <c r="AR53" s="337">
        <v>1934</v>
      </c>
      <c r="AS53" s="337">
        <v>6.0999999999999999E-2</v>
      </c>
      <c r="AT53" s="337">
        <f t="shared" si="30"/>
        <v>0.99099999999999999</v>
      </c>
      <c r="AU53" s="236" t="s">
        <v>408</v>
      </c>
      <c r="AV53" s="2130">
        <f t="shared" si="5"/>
        <v>0.06</v>
      </c>
      <c r="AW53" s="2130">
        <f t="shared" si="6"/>
        <v>0.94</v>
      </c>
    </row>
    <row r="54" spans="1:49" ht="12.75" customHeight="1">
      <c r="A54" s="522" t="s">
        <v>153</v>
      </c>
      <c r="B54" s="337">
        <v>1</v>
      </c>
      <c r="C54" s="337">
        <v>86</v>
      </c>
      <c r="D54" s="337">
        <v>71</v>
      </c>
      <c r="E54" s="337">
        <v>6734</v>
      </c>
      <c r="F54" s="337">
        <v>6</v>
      </c>
      <c r="G54" s="337">
        <v>15</v>
      </c>
      <c r="H54" s="337">
        <f t="shared" si="26"/>
        <v>120</v>
      </c>
      <c r="I54" s="337">
        <f t="shared" si="26"/>
        <v>1006</v>
      </c>
      <c r="J54" s="337">
        <f t="shared" si="26"/>
        <v>52.9</v>
      </c>
      <c r="K54" s="337">
        <v>438</v>
      </c>
      <c r="L54" s="337">
        <f t="shared" si="27"/>
        <v>7.2999999999999995E-2</v>
      </c>
      <c r="M54" s="337">
        <f t="shared" si="27"/>
        <v>6.8000000000000005E-2</v>
      </c>
      <c r="N54" s="337">
        <f t="shared" si="27"/>
        <v>-2.7E-2</v>
      </c>
      <c r="O54" s="337">
        <f t="shared" si="27"/>
        <v>0</v>
      </c>
      <c r="P54" s="337">
        <f t="shared" si="27"/>
        <v>9.6</v>
      </c>
      <c r="Q54" s="337">
        <f t="shared" si="27"/>
        <v>11</v>
      </c>
      <c r="R54" s="337">
        <f t="shared" si="27"/>
        <v>17</v>
      </c>
      <c r="S54" s="337">
        <f t="shared" si="27"/>
        <v>8.5000000000000006E-2</v>
      </c>
      <c r="T54" s="337">
        <f t="shared" si="27"/>
        <v>6</v>
      </c>
      <c r="U54" s="337">
        <f t="shared" si="27"/>
        <v>2.5999999999999999E-2</v>
      </c>
      <c r="V54" s="337">
        <f t="shared" si="28"/>
        <v>42.7</v>
      </c>
      <c r="W54" s="337">
        <f t="shared" si="28"/>
        <v>6</v>
      </c>
      <c r="X54" s="337">
        <f t="shared" si="28"/>
        <v>2.5999999999999999E-2</v>
      </c>
      <c r="Y54" s="337">
        <f t="shared" si="28"/>
        <v>42.7</v>
      </c>
      <c r="Z54" s="337">
        <f t="shared" si="28"/>
        <v>1.8</v>
      </c>
      <c r="AA54" s="337">
        <f t="shared" si="28"/>
        <v>8.9999999999999993E-3</v>
      </c>
      <c r="AB54" s="337">
        <f t="shared" si="28"/>
        <v>14.9</v>
      </c>
      <c r="AC54" s="337">
        <f t="shared" si="28"/>
        <v>2.8</v>
      </c>
      <c r="AD54" s="337">
        <f t="shared" si="28"/>
        <v>0</v>
      </c>
      <c r="AE54" s="337">
        <f t="shared" si="28"/>
        <v>17.2</v>
      </c>
      <c r="AF54" s="337">
        <f t="shared" si="29"/>
        <v>3.1</v>
      </c>
      <c r="AG54" s="337">
        <f t="shared" si="29"/>
        <v>1.5E-3</v>
      </c>
      <c r="AH54" s="337">
        <f t="shared" si="29"/>
        <v>20.650000000000002</v>
      </c>
      <c r="AI54" s="337">
        <f t="shared" si="29"/>
        <v>7.7</v>
      </c>
      <c r="AJ54" s="337">
        <f t="shared" si="29"/>
        <v>3.0000000000000001E-3</v>
      </c>
      <c r="AK54" s="337">
        <f t="shared" si="29"/>
        <v>49.9</v>
      </c>
      <c r="AL54" s="337">
        <f t="shared" si="29"/>
        <v>4.1500000000000004</v>
      </c>
      <c r="AM54" s="337">
        <f t="shared" si="29"/>
        <v>4.0000000000000001E-3</v>
      </c>
      <c r="AN54" s="337">
        <f t="shared" si="29"/>
        <v>27.85</v>
      </c>
      <c r="AO54" s="337">
        <f t="shared" si="29"/>
        <v>13.6</v>
      </c>
      <c r="AP54" s="337">
        <f t="shared" si="29"/>
        <v>6.0000000000000001E-3</v>
      </c>
      <c r="AQ54" s="337">
        <f t="shared" si="29"/>
        <v>24.2</v>
      </c>
      <c r="AR54" s="337">
        <v>1934</v>
      </c>
      <c r="AS54" s="337">
        <v>6.0999999999999999E-2</v>
      </c>
      <c r="AT54" s="337">
        <f t="shared" si="30"/>
        <v>1.008</v>
      </c>
      <c r="AU54" s="236" t="s">
        <v>406</v>
      </c>
      <c r="AV54" s="2130">
        <f t="shared" si="5"/>
        <v>0.03</v>
      </c>
      <c r="AW54" s="2130">
        <f t="shared" si="6"/>
        <v>0.97</v>
      </c>
    </row>
    <row r="55" spans="1:49" ht="12.75" customHeight="1">
      <c r="A55" s="522" t="s">
        <v>154</v>
      </c>
      <c r="B55" s="337">
        <v>11</v>
      </c>
      <c r="C55" s="337">
        <v>83</v>
      </c>
      <c r="D55" s="337">
        <v>74</v>
      </c>
      <c r="E55" s="337">
        <v>5750</v>
      </c>
      <c r="F55" s="337">
        <v>4</v>
      </c>
      <c r="G55" s="337" t="s">
        <v>174</v>
      </c>
      <c r="H55" s="337">
        <f t="shared" si="26"/>
        <v>382</v>
      </c>
      <c r="I55" s="337">
        <f t="shared" si="26"/>
        <v>526</v>
      </c>
      <c r="J55" s="337">
        <f t="shared" si="26"/>
        <v>55</v>
      </c>
      <c r="K55" s="337">
        <v>1096</v>
      </c>
      <c r="L55" s="337">
        <f t="shared" si="27"/>
        <v>0.19400000000000001</v>
      </c>
      <c r="M55" s="337">
        <f t="shared" si="27"/>
        <v>0.10100000000000001</v>
      </c>
      <c r="N55" s="337">
        <f t="shared" si="27"/>
        <v>-2.1000000000000001E-2</v>
      </c>
      <c r="O55" s="337">
        <f t="shared" si="27"/>
        <v>0</v>
      </c>
      <c r="P55" s="337">
        <f t="shared" si="27"/>
        <v>10.7</v>
      </c>
      <c r="Q55" s="337">
        <f t="shared" si="27"/>
        <v>56</v>
      </c>
      <c r="R55" s="337">
        <f t="shared" si="27"/>
        <v>17</v>
      </c>
      <c r="S55" s="337">
        <f t="shared" si="27"/>
        <v>9.8000000000000004E-2</v>
      </c>
      <c r="T55" s="337">
        <f t="shared" si="27"/>
        <v>20.3</v>
      </c>
      <c r="U55" s="337">
        <f t="shared" si="27"/>
        <v>2.5999999999999999E-2</v>
      </c>
      <c r="V55" s="337">
        <f t="shared" si="28"/>
        <v>28.3</v>
      </c>
      <c r="W55" s="337">
        <f t="shared" si="28"/>
        <v>20.3</v>
      </c>
      <c r="X55" s="337">
        <f t="shared" si="28"/>
        <v>2.5999999999999999E-2</v>
      </c>
      <c r="Y55" s="337">
        <f t="shared" si="28"/>
        <v>28.3</v>
      </c>
      <c r="Z55" s="337">
        <f t="shared" si="28"/>
        <v>6.7</v>
      </c>
      <c r="AA55" s="337">
        <f t="shared" si="28"/>
        <v>8.9999999999999993E-3</v>
      </c>
      <c r="AB55" s="337">
        <f t="shared" si="28"/>
        <v>9.4</v>
      </c>
      <c r="AC55" s="337">
        <f t="shared" si="28"/>
        <v>11</v>
      </c>
      <c r="AD55" s="337">
        <f t="shared" si="28"/>
        <v>3.0000000000000001E-3</v>
      </c>
      <c r="AE55" s="337">
        <f t="shared" si="28"/>
        <v>10.7</v>
      </c>
      <c r="AF55" s="337">
        <f t="shared" si="29"/>
        <v>13.05</v>
      </c>
      <c r="AG55" s="337">
        <f t="shared" si="29"/>
        <v>2.5000000000000001E-3</v>
      </c>
      <c r="AH55" s="337">
        <f t="shared" si="29"/>
        <v>12.75</v>
      </c>
      <c r="AI55" s="337">
        <f t="shared" si="29"/>
        <v>31.7</v>
      </c>
      <c r="AJ55" s="337">
        <f t="shared" si="29"/>
        <v>8.0000000000000002E-3</v>
      </c>
      <c r="AK55" s="337">
        <f t="shared" si="29"/>
        <v>30.9</v>
      </c>
      <c r="AL55" s="337">
        <f t="shared" si="29"/>
        <v>17.600000000000001</v>
      </c>
      <c r="AM55" s="337">
        <f t="shared" si="29"/>
        <v>5.4999999999999997E-3</v>
      </c>
      <c r="AN55" s="337">
        <f t="shared" si="29"/>
        <v>17.350000000000001</v>
      </c>
      <c r="AO55" s="337">
        <f t="shared" si="29"/>
        <v>9.1999999999999993</v>
      </c>
      <c r="AP55" s="337">
        <f t="shared" si="29"/>
        <v>6.0000000000000001E-3</v>
      </c>
      <c r="AQ55" s="337">
        <f t="shared" si="29"/>
        <v>17.399999999999999</v>
      </c>
      <c r="AR55" s="337">
        <v>1934</v>
      </c>
      <c r="AS55" s="337">
        <v>6.0999999999999999E-2</v>
      </c>
      <c r="AT55" s="337">
        <f t="shared" si="30"/>
        <v>1.34</v>
      </c>
      <c r="AU55" s="236" t="s">
        <v>361</v>
      </c>
      <c r="AV55" s="2130">
        <f t="shared" si="5"/>
        <v>0.15</v>
      </c>
      <c r="AW55" s="2130">
        <f t="shared" si="6"/>
        <v>0.85</v>
      </c>
    </row>
    <row r="56" spans="1:49" ht="12.75" customHeight="1">
      <c r="A56" s="522" t="s">
        <v>155</v>
      </c>
      <c r="B56" s="337">
        <v>6</v>
      </c>
      <c r="C56" s="337">
        <v>83</v>
      </c>
      <c r="D56" s="337">
        <v>73</v>
      </c>
      <c r="E56" s="337">
        <v>6750</v>
      </c>
      <c r="F56" s="337">
        <v>6</v>
      </c>
      <c r="G56" s="337">
        <v>15</v>
      </c>
      <c r="H56" s="337">
        <f t="shared" si="26"/>
        <v>208</v>
      </c>
      <c r="I56" s="337">
        <f t="shared" si="26"/>
        <v>656</v>
      </c>
      <c r="J56" s="337">
        <f t="shared" si="26"/>
        <v>62.5</v>
      </c>
      <c r="K56" s="337">
        <v>438</v>
      </c>
      <c r="L56" s="337">
        <f t="shared" si="27"/>
        <v>0.16800000000000001</v>
      </c>
      <c r="M56" s="337">
        <f t="shared" si="27"/>
        <v>9.1999999999999998E-2</v>
      </c>
      <c r="N56" s="337">
        <f t="shared" si="27"/>
        <v>-2.3E-2</v>
      </c>
      <c r="O56" s="337">
        <f t="shared" si="27"/>
        <v>0</v>
      </c>
      <c r="P56" s="337">
        <f t="shared" si="27"/>
        <v>10.7</v>
      </c>
      <c r="Q56" s="337">
        <f t="shared" si="27"/>
        <v>56</v>
      </c>
      <c r="R56" s="337">
        <f t="shared" si="27"/>
        <v>17</v>
      </c>
      <c r="S56" s="337">
        <f t="shared" si="27"/>
        <v>9.8000000000000004E-2</v>
      </c>
      <c r="T56" s="337">
        <f t="shared" si="27"/>
        <v>-0.3</v>
      </c>
      <c r="U56" s="337">
        <f t="shared" si="27"/>
        <v>1.7999999999999999E-2</v>
      </c>
      <c r="V56" s="337">
        <f t="shared" si="28"/>
        <v>38.700000000000003</v>
      </c>
      <c r="W56" s="337">
        <f t="shared" si="28"/>
        <v>-0.3</v>
      </c>
      <c r="X56" s="337">
        <f t="shared" si="28"/>
        <v>1.7999999999999999E-2</v>
      </c>
      <c r="Y56" s="337">
        <f t="shared" si="28"/>
        <v>38.700000000000003</v>
      </c>
      <c r="Z56" s="337">
        <f t="shared" si="28"/>
        <v>-0.9</v>
      </c>
      <c r="AA56" s="337">
        <f t="shared" si="28"/>
        <v>8.9999999999999993E-3</v>
      </c>
      <c r="AB56" s="337">
        <f t="shared" si="28"/>
        <v>13.4</v>
      </c>
      <c r="AC56" s="337">
        <f t="shared" si="28"/>
        <v>3.6</v>
      </c>
      <c r="AD56" s="337">
        <f t="shared" si="28"/>
        <v>3.0000000000000001E-3</v>
      </c>
      <c r="AE56" s="337">
        <f t="shared" si="28"/>
        <v>13</v>
      </c>
      <c r="AF56" s="337">
        <f t="shared" si="29"/>
        <v>3.95</v>
      </c>
      <c r="AG56" s="337">
        <f t="shared" si="29"/>
        <v>1.5E-3</v>
      </c>
      <c r="AH56" s="337">
        <f t="shared" si="29"/>
        <v>15.9</v>
      </c>
      <c r="AI56" s="337">
        <f t="shared" si="29"/>
        <v>9.9</v>
      </c>
      <c r="AJ56" s="337">
        <f t="shared" si="29"/>
        <v>5.0000000000000001E-3</v>
      </c>
      <c r="AK56" s="337">
        <f t="shared" si="29"/>
        <v>38.1</v>
      </c>
      <c r="AL56" s="337">
        <f t="shared" si="29"/>
        <v>5.25</v>
      </c>
      <c r="AM56" s="337">
        <f t="shared" si="29"/>
        <v>4.0000000000000001E-3</v>
      </c>
      <c r="AN56" s="337">
        <f t="shared" si="29"/>
        <v>21.1</v>
      </c>
      <c r="AO56" s="337">
        <f t="shared" si="29"/>
        <v>11.6</v>
      </c>
      <c r="AP56" s="337">
        <f t="shared" si="29"/>
        <v>0</v>
      </c>
      <c r="AQ56" s="337">
        <f t="shared" si="29"/>
        <v>23.6</v>
      </c>
      <c r="AR56" s="337">
        <v>1934</v>
      </c>
      <c r="AS56" s="337">
        <v>6.0999999999999999E-2</v>
      </c>
      <c r="AT56" s="337">
        <f t="shared" si="30"/>
        <v>1.145</v>
      </c>
      <c r="AU56" s="236" t="s">
        <v>410</v>
      </c>
      <c r="AV56" s="2130">
        <f t="shared" si="5"/>
        <v>0.03</v>
      </c>
      <c r="AW56" s="2130">
        <f t="shared" si="6"/>
        <v>0.97</v>
      </c>
    </row>
    <row r="57" spans="1:49" ht="12.75" customHeight="1">
      <c r="A57" s="522" t="s">
        <v>156</v>
      </c>
      <c r="B57" s="337">
        <v>-2</v>
      </c>
      <c r="C57" s="337">
        <v>87</v>
      </c>
      <c r="D57" s="337">
        <v>71</v>
      </c>
      <c r="E57" s="337">
        <v>6845</v>
      </c>
      <c r="F57" s="337">
        <v>5</v>
      </c>
      <c r="G57" s="337">
        <v>15</v>
      </c>
      <c r="H57" s="337">
        <f t="shared" si="26"/>
        <v>120</v>
      </c>
      <c r="I57" s="337">
        <f t="shared" si="26"/>
        <v>1006</v>
      </c>
      <c r="J57" s="337">
        <f t="shared" si="26"/>
        <v>52.9</v>
      </c>
      <c r="K57" s="337">
        <v>507</v>
      </c>
      <c r="L57" s="337">
        <f t="shared" si="27"/>
        <v>7.2999999999999995E-2</v>
      </c>
      <c r="M57" s="337">
        <f t="shared" si="27"/>
        <v>6.8000000000000005E-2</v>
      </c>
      <c r="N57" s="337">
        <f t="shared" si="27"/>
        <v>-2.7E-2</v>
      </c>
      <c r="O57" s="337">
        <f t="shared" si="27"/>
        <v>0</v>
      </c>
      <c r="P57" s="337">
        <f t="shared" si="27"/>
        <v>9.6</v>
      </c>
      <c r="Q57" s="337">
        <f t="shared" si="27"/>
        <v>11</v>
      </c>
      <c r="R57" s="337">
        <f t="shared" si="27"/>
        <v>17</v>
      </c>
      <c r="S57" s="337">
        <f t="shared" si="27"/>
        <v>8.5000000000000006E-2</v>
      </c>
      <c r="T57" s="337">
        <f t="shared" si="27"/>
        <v>6</v>
      </c>
      <c r="U57" s="337">
        <f t="shared" si="27"/>
        <v>2.5999999999999999E-2</v>
      </c>
      <c r="V57" s="337">
        <f t="shared" si="28"/>
        <v>42.7</v>
      </c>
      <c r="W57" s="337">
        <f t="shared" si="28"/>
        <v>6</v>
      </c>
      <c r="X57" s="337">
        <f t="shared" si="28"/>
        <v>2.5999999999999999E-2</v>
      </c>
      <c r="Y57" s="337">
        <f t="shared" si="28"/>
        <v>42.7</v>
      </c>
      <c r="Z57" s="337">
        <f t="shared" si="28"/>
        <v>1.8</v>
      </c>
      <c r="AA57" s="337">
        <f t="shared" si="28"/>
        <v>8.9999999999999993E-3</v>
      </c>
      <c r="AB57" s="337">
        <f t="shared" si="28"/>
        <v>14.9</v>
      </c>
      <c r="AC57" s="337">
        <f t="shared" si="28"/>
        <v>2.8</v>
      </c>
      <c r="AD57" s="337">
        <f t="shared" si="28"/>
        <v>0</v>
      </c>
      <c r="AE57" s="337">
        <f t="shared" si="28"/>
        <v>17.2</v>
      </c>
      <c r="AF57" s="337">
        <f t="shared" si="29"/>
        <v>3.1</v>
      </c>
      <c r="AG57" s="337">
        <f t="shared" si="29"/>
        <v>1.5E-3</v>
      </c>
      <c r="AH57" s="337">
        <f t="shared" si="29"/>
        <v>20.650000000000002</v>
      </c>
      <c r="AI57" s="337">
        <f t="shared" si="29"/>
        <v>7.7</v>
      </c>
      <c r="AJ57" s="337">
        <f t="shared" si="29"/>
        <v>3.0000000000000001E-3</v>
      </c>
      <c r="AK57" s="337">
        <f t="shared" si="29"/>
        <v>49.9</v>
      </c>
      <c r="AL57" s="337">
        <f t="shared" si="29"/>
        <v>4.1500000000000004</v>
      </c>
      <c r="AM57" s="337">
        <f t="shared" si="29"/>
        <v>4.0000000000000001E-3</v>
      </c>
      <c r="AN57" s="337">
        <f t="shared" si="29"/>
        <v>27.85</v>
      </c>
      <c r="AO57" s="337">
        <f t="shared" si="29"/>
        <v>13.6</v>
      </c>
      <c r="AP57" s="337">
        <f t="shared" si="29"/>
        <v>6.0000000000000001E-3</v>
      </c>
      <c r="AQ57" s="337">
        <f t="shared" si="29"/>
        <v>24.2</v>
      </c>
      <c r="AR57" s="337">
        <v>1934</v>
      </c>
      <c r="AS57" s="337">
        <v>6.0999999999999999E-2</v>
      </c>
      <c r="AT57" s="337">
        <f t="shared" si="30"/>
        <v>1.008</v>
      </c>
      <c r="AU57" s="236" t="s">
        <v>406</v>
      </c>
      <c r="AV57" s="2130">
        <f t="shared" si="5"/>
        <v>0.06</v>
      </c>
      <c r="AW57" s="2130">
        <f t="shared" si="6"/>
        <v>0.94</v>
      </c>
    </row>
    <row r="58" spans="1:49" ht="12.75" customHeight="1">
      <c r="A58" s="522" t="s">
        <v>157</v>
      </c>
      <c r="B58" s="337">
        <v>-2</v>
      </c>
      <c r="C58" s="337">
        <v>82</v>
      </c>
      <c r="D58" s="337">
        <v>69</v>
      </c>
      <c r="E58" s="337">
        <v>7273</v>
      </c>
      <c r="F58" s="337">
        <v>6</v>
      </c>
      <c r="G58" s="337">
        <v>15</v>
      </c>
      <c r="H58" s="337">
        <f t="shared" si="26"/>
        <v>120</v>
      </c>
      <c r="I58" s="337">
        <f t="shared" si="26"/>
        <v>1006</v>
      </c>
      <c r="J58" s="337">
        <f t="shared" si="26"/>
        <v>52.9</v>
      </c>
      <c r="K58" s="337">
        <v>438</v>
      </c>
      <c r="L58" s="337">
        <f t="shared" si="27"/>
        <v>7.2999999999999995E-2</v>
      </c>
      <c r="M58" s="337">
        <f t="shared" si="27"/>
        <v>6.8000000000000005E-2</v>
      </c>
      <c r="N58" s="337">
        <f t="shared" si="27"/>
        <v>-2.7E-2</v>
      </c>
      <c r="O58" s="337">
        <f t="shared" si="27"/>
        <v>0</v>
      </c>
      <c r="P58" s="337">
        <f t="shared" si="27"/>
        <v>9.6</v>
      </c>
      <c r="Q58" s="337">
        <f t="shared" si="27"/>
        <v>11</v>
      </c>
      <c r="R58" s="337">
        <f t="shared" si="27"/>
        <v>17</v>
      </c>
      <c r="S58" s="337">
        <f t="shared" si="27"/>
        <v>8.5000000000000006E-2</v>
      </c>
      <c r="T58" s="337">
        <f t="shared" si="27"/>
        <v>6</v>
      </c>
      <c r="U58" s="337">
        <f t="shared" si="27"/>
        <v>2.5999999999999999E-2</v>
      </c>
      <c r="V58" s="337">
        <f t="shared" si="28"/>
        <v>42.7</v>
      </c>
      <c r="W58" s="337">
        <f t="shared" si="28"/>
        <v>6</v>
      </c>
      <c r="X58" s="337">
        <f t="shared" si="28"/>
        <v>2.5999999999999999E-2</v>
      </c>
      <c r="Y58" s="337">
        <f t="shared" si="28"/>
        <v>42.7</v>
      </c>
      <c r="Z58" s="337">
        <f t="shared" si="28"/>
        <v>1.8</v>
      </c>
      <c r="AA58" s="337">
        <f t="shared" si="28"/>
        <v>8.9999999999999993E-3</v>
      </c>
      <c r="AB58" s="337">
        <f t="shared" si="28"/>
        <v>14.9</v>
      </c>
      <c r="AC58" s="337">
        <f t="shared" si="28"/>
        <v>2.8</v>
      </c>
      <c r="AD58" s="337">
        <f t="shared" si="28"/>
        <v>0</v>
      </c>
      <c r="AE58" s="337">
        <f t="shared" si="28"/>
        <v>17.2</v>
      </c>
      <c r="AF58" s="337">
        <f t="shared" si="29"/>
        <v>3.1</v>
      </c>
      <c r="AG58" s="337">
        <f t="shared" si="29"/>
        <v>1.5E-3</v>
      </c>
      <c r="AH58" s="337">
        <f t="shared" si="29"/>
        <v>20.650000000000002</v>
      </c>
      <c r="AI58" s="337">
        <f t="shared" si="29"/>
        <v>7.7</v>
      </c>
      <c r="AJ58" s="337">
        <f t="shared" si="29"/>
        <v>3.0000000000000001E-3</v>
      </c>
      <c r="AK58" s="337">
        <f t="shared" si="29"/>
        <v>49.9</v>
      </c>
      <c r="AL58" s="337">
        <f t="shared" si="29"/>
        <v>4.1500000000000004</v>
      </c>
      <c r="AM58" s="337">
        <f t="shared" si="29"/>
        <v>4.0000000000000001E-3</v>
      </c>
      <c r="AN58" s="337">
        <f t="shared" si="29"/>
        <v>27.85</v>
      </c>
      <c r="AO58" s="337">
        <f t="shared" si="29"/>
        <v>13.6</v>
      </c>
      <c r="AP58" s="337">
        <f t="shared" si="29"/>
        <v>6.0000000000000001E-3</v>
      </c>
      <c r="AQ58" s="337">
        <f t="shared" si="29"/>
        <v>24.2</v>
      </c>
      <c r="AR58" s="337">
        <v>1934</v>
      </c>
      <c r="AS58" s="337">
        <v>6.0999999999999999E-2</v>
      </c>
      <c r="AT58" s="337">
        <f t="shared" si="30"/>
        <v>1.008</v>
      </c>
      <c r="AU58" s="236" t="s">
        <v>406</v>
      </c>
      <c r="AV58" s="2130">
        <f t="shared" si="5"/>
        <v>0.03</v>
      </c>
      <c r="AW58" s="2130">
        <f t="shared" si="6"/>
        <v>0.97</v>
      </c>
    </row>
    <row r="59" spans="1:49" ht="12.75" customHeight="1">
      <c r="A59" s="522" t="s">
        <v>158</v>
      </c>
      <c r="B59" s="337">
        <v>6</v>
      </c>
      <c r="C59" s="337">
        <v>83</v>
      </c>
      <c r="D59" s="337">
        <v>73</v>
      </c>
      <c r="E59" s="337">
        <v>6750</v>
      </c>
      <c r="F59" s="337">
        <v>6</v>
      </c>
      <c r="G59" s="337">
        <v>15</v>
      </c>
      <c r="H59" s="337">
        <f t="shared" si="26"/>
        <v>208</v>
      </c>
      <c r="I59" s="337">
        <f t="shared" si="26"/>
        <v>656</v>
      </c>
      <c r="J59" s="337">
        <f t="shared" si="26"/>
        <v>62.5</v>
      </c>
      <c r="K59" s="337">
        <v>438</v>
      </c>
      <c r="L59" s="337">
        <f t="shared" ref="L59:U65" si="31">IF($AU59="Albany",L$4,IF($AU59="Binghamton",L$7,IF($AU59="Buffalo",L$18,IF($AU59="Massena",L$48,IF($AU59="NYC",L$34,IF($AU59="Poughkeepsie",L$17,L$37))))))</f>
        <v>0.16800000000000001</v>
      </c>
      <c r="M59" s="337">
        <f t="shared" si="31"/>
        <v>9.1999999999999998E-2</v>
      </c>
      <c r="N59" s="337">
        <f t="shared" si="31"/>
        <v>-2.3E-2</v>
      </c>
      <c r="O59" s="337">
        <f t="shared" si="31"/>
        <v>0</v>
      </c>
      <c r="P59" s="337">
        <f t="shared" si="31"/>
        <v>10.7</v>
      </c>
      <c r="Q59" s="337">
        <f t="shared" si="31"/>
        <v>56</v>
      </c>
      <c r="R59" s="337">
        <f t="shared" si="31"/>
        <v>17</v>
      </c>
      <c r="S59" s="337">
        <f t="shared" si="31"/>
        <v>9.8000000000000004E-2</v>
      </c>
      <c r="T59" s="337">
        <f t="shared" si="31"/>
        <v>-0.3</v>
      </c>
      <c r="U59" s="337">
        <f t="shared" si="31"/>
        <v>1.7999999999999999E-2</v>
      </c>
      <c r="V59" s="337">
        <f t="shared" ref="V59:AE65" si="32">IF($AU59="Albany",V$4,IF($AU59="Binghamton",V$7,IF($AU59="Buffalo",V$18,IF($AU59="Massena",V$48,IF($AU59="NYC",V$34,IF($AU59="Poughkeepsie",V$17,V$37))))))</f>
        <v>38.700000000000003</v>
      </c>
      <c r="W59" s="337">
        <f t="shared" si="32"/>
        <v>-0.3</v>
      </c>
      <c r="X59" s="337">
        <f t="shared" si="32"/>
        <v>1.7999999999999999E-2</v>
      </c>
      <c r="Y59" s="337">
        <f t="shared" si="32"/>
        <v>38.700000000000003</v>
      </c>
      <c r="Z59" s="337">
        <f t="shared" si="32"/>
        <v>-0.9</v>
      </c>
      <c r="AA59" s="337">
        <f t="shared" si="32"/>
        <v>8.9999999999999993E-3</v>
      </c>
      <c r="AB59" s="337">
        <f t="shared" si="32"/>
        <v>13.4</v>
      </c>
      <c r="AC59" s="337">
        <f t="shared" si="32"/>
        <v>3.6</v>
      </c>
      <c r="AD59" s="337">
        <f t="shared" si="32"/>
        <v>3.0000000000000001E-3</v>
      </c>
      <c r="AE59" s="337">
        <f t="shared" si="32"/>
        <v>13</v>
      </c>
      <c r="AF59" s="337">
        <f t="shared" ref="AF59:AQ65" si="33">IF($AU59="Albany",AF$4,IF($AU59="Binghamton",AF$7,IF($AU59="Buffalo",AF$18,IF($AU59="Massena",AF$48,IF($AU59="NYC",AF$34,IF($AU59="Poughkeepsie",AF$17,AF$37))))))</f>
        <v>3.95</v>
      </c>
      <c r="AG59" s="337">
        <f t="shared" si="33"/>
        <v>1.5E-3</v>
      </c>
      <c r="AH59" s="337">
        <f t="shared" si="33"/>
        <v>15.9</v>
      </c>
      <c r="AI59" s="337">
        <f t="shared" si="33"/>
        <v>9.9</v>
      </c>
      <c r="AJ59" s="337">
        <f t="shared" si="33"/>
        <v>5.0000000000000001E-3</v>
      </c>
      <c r="AK59" s="337">
        <f t="shared" si="33"/>
        <v>38.1</v>
      </c>
      <c r="AL59" s="337">
        <f t="shared" si="33"/>
        <v>5.25</v>
      </c>
      <c r="AM59" s="337">
        <f t="shared" si="33"/>
        <v>4.0000000000000001E-3</v>
      </c>
      <c r="AN59" s="337">
        <f t="shared" si="33"/>
        <v>21.1</v>
      </c>
      <c r="AO59" s="337">
        <f t="shared" si="33"/>
        <v>11.6</v>
      </c>
      <c r="AP59" s="337">
        <f t="shared" si="33"/>
        <v>0</v>
      </c>
      <c r="AQ59" s="337">
        <f t="shared" si="33"/>
        <v>23.6</v>
      </c>
      <c r="AR59" s="337">
        <v>1934</v>
      </c>
      <c r="AS59" s="337">
        <v>6.0999999999999999E-2</v>
      </c>
      <c r="AT59" s="337">
        <f t="shared" si="30"/>
        <v>1.145</v>
      </c>
      <c r="AU59" s="236" t="s">
        <v>410</v>
      </c>
      <c r="AV59" s="2130">
        <f t="shared" si="5"/>
        <v>0.03</v>
      </c>
      <c r="AW59" s="2130">
        <f t="shared" si="6"/>
        <v>0.97</v>
      </c>
    </row>
    <row r="60" spans="1:49" ht="12.75" customHeight="1">
      <c r="A60" s="522" t="s">
        <v>159</v>
      </c>
      <c r="B60" s="337">
        <v>-10</v>
      </c>
      <c r="C60" s="337">
        <v>85</v>
      </c>
      <c r="D60" s="337">
        <v>71</v>
      </c>
      <c r="E60" s="337">
        <v>7635</v>
      </c>
      <c r="F60" s="337">
        <v>6</v>
      </c>
      <c r="G60" s="337">
        <v>15</v>
      </c>
      <c r="H60" s="337">
        <f t="shared" si="26"/>
        <v>181</v>
      </c>
      <c r="I60" s="337">
        <f t="shared" si="26"/>
        <v>786</v>
      </c>
      <c r="J60" s="337">
        <f t="shared" si="26"/>
        <v>54.2</v>
      </c>
      <c r="K60" s="337">
        <v>438</v>
      </c>
      <c r="L60" s="337">
        <f t="shared" si="31"/>
        <v>0.113</v>
      </c>
      <c r="M60" s="337">
        <f t="shared" si="31"/>
        <v>0.08</v>
      </c>
      <c r="N60" s="337">
        <f t="shared" si="31"/>
        <v>-2.5000000000000001E-2</v>
      </c>
      <c r="O60" s="337">
        <f t="shared" si="31"/>
        <v>0</v>
      </c>
      <c r="P60" s="337">
        <f t="shared" si="31"/>
        <v>9.6999999999999993</v>
      </c>
      <c r="Q60" s="337">
        <f t="shared" si="31"/>
        <v>22</v>
      </c>
      <c r="R60" s="337">
        <f t="shared" si="31"/>
        <v>16</v>
      </c>
      <c r="S60" s="337">
        <f t="shared" si="31"/>
        <v>9.9000000000000005E-2</v>
      </c>
      <c r="T60" s="337">
        <f t="shared" si="31"/>
        <v>6.3</v>
      </c>
      <c r="U60" s="337">
        <f t="shared" si="31"/>
        <v>1.7999999999999999E-2</v>
      </c>
      <c r="V60" s="337">
        <f t="shared" si="32"/>
        <v>39.200000000000003</v>
      </c>
      <c r="W60" s="337">
        <f t="shared" si="32"/>
        <v>6.3</v>
      </c>
      <c r="X60" s="337">
        <f t="shared" si="32"/>
        <v>1.7999999999999999E-2</v>
      </c>
      <c r="Y60" s="337">
        <f t="shared" si="32"/>
        <v>39.200000000000003</v>
      </c>
      <c r="Z60" s="337">
        <f t="shared" si="32"/>
        <v>1.8</v>
      </c>
      <c r="AA60" s="337">
        <f t="shared" si="32"/>
        <v>1.7999999999999999E-2</v>
      </c>
      <c r="AB60" s="337">
        <f t="shared" si="32"/>
        <v>14.1</v>
      </c>
      <c r="AC60" s="337">
        <f t="shared" si="32"/>
        <v>4.3</v>
      </c>
      <c r="AD60" s="337">
        <f t="shared" si="32"/>
        <v>5.0000000000000001E-3</v>
      </c>
      <c r="AE60" s="337">
        <f t="shared" si="32"/>
        <v>15.7</v>
      </c>
      <c r="AF60" s="337">
        <f t="shared" si="33"/>
        <v>5</v>
      </c>
      <c r="AG60" s="337">
        <f t="shared" si="33"/>
        <v>4.0000000000000001E-3</v>
      </c>
      <c r="AH60" s="337">
        <f t="shared" si="33"/>
        <v>19</v>
      </c>
      <c r="AI60" s="337">
        <f t="shared" si="33"/>
        <v>12.2</v>
      </c>
      <c r="AJ60" s="337">
        <f t="shared" si="33"/>
        <v>1.0999999999999999E-2</v>
      </c>
      <c r="AK60" s="337">
        <f t="shared" si="33"/>
        <v>45.6</v>
      </c>
      <c r="AL60" s="337">
        <f t="shared" si="33"/>
        <v>6.6999999999999993</v>
      </c>
      <c r="AM60" s="337">
        <f t="shared" si="33"/>
        <v>6.5000000000000002E-2</v>
      </c>
      <c r="AN60" s="337">
        <f t="shared" si="33"/>
        <v>25.6</v>
      </c>
      <c r="AO60" s="337">
        <f t="shared" si="33"/>
        <v>12.8</v>
      </c>
      <c r="AP60" s="337">
        <f t="shared" si="33"/>
        <v>6.0000000000000001E-3</v>
      </c>
      <c r="AQ60" s="337">
        <f t="shared" si="33"/>
        <v>22.6</v>
      </c>
      <c r="AR60" s="337">
        <v>1934</v>
      </c>
      <c r="AS60" s="337">
        <v>6.0999999999999999E-2</v>
      </c>
      <c r="AT60" s="337">
        <f t="shared" si="30"/>
        <v>1</v>
      </c>
      <c r="AU60" s="236" t="s">
        <v>405</v>
      </c>
      <c r="AV60" s="2130">
        <f t="shared" si="5"/>
        <v>0.03</v>
      </c>
      <c r="AW60" s="2130">
        <f t="shared" si="6"/>
        <v>0.97</v>
      </c>
    </row>
    <row r="61" spans="1:49" ht="12.75" customHeight="1">
      <c r="A61" s="522" t="s">
        <v>160</v>
      </c>
      <c r="B61" s="337">
        <v>-10</v>
      </c>
      <c r="C61" s="337">
        <v>85</v>
      </c>
      <c r="D61" s="337">
        <v>71</v>
      </c>
      <c r="E61" s="337">
        <v>7635</v>
      </c>
      <c r="F61" s="337">
        <v>5</v>
      </c>
      <c r="G61" s="337">
        <v>15</v>
      </c>
      <c r="H61" s="337">
        <f t="shared" si="26"/>
        <v>181</v>
      </c>
      <c r="I61" s="337">
        <f t="shared" si="26"/>
        <v>786</v>
      </c>
      <c r="J61" s="337">
        <f t="shared" si="26"/>
        <v>54.2</v>
      </c>
      <c r="K61" s="337">
        <v>507</v>
      </c>
      <c r="L61" s="337">
        <f t="shared" si="31"/>
        <v>0.113</v>
      </c>
      <c r="M61" s="337">
        <f t="shared" si="31"/>
        <v>0.08</v>
      </c>
      <c r="N61" s="337">
        <f t="shared" si="31"/>
        <v>-2.5000000000000001E-2</v>
      </c>
      <c r="O61" s="337">
        <f t="shared" si="31"/>
        <v>0</v>
      </c>
      <c r="P61" s="337">
        <f t="shared" si="31"/>
        <v>9.6999999999999993</v>
      </c>
      <c r="Q61" s="337">
        <f t="shared" si="31"/>
        <v>22</v>
      </c>
      <c r="R61" s="337">
        <f t="shared" si="31"/>
        <v>16</v>
      </c>
      <c r="S61" s="337">
        <f t="shared" si="31"/>
        <v>9.9000000000000005E-2</v>
      </c>
      <c r="T61" s="337">
        <f t="shared" si="31"/>
        <v>6.3</v>
      </c>
      <c r="U61" s="337">
        <f t="shared" si="31"/>
        <v>1.7999999999999999E-2</v>
      </c>
      <c r="V61" s="337">
        <f t="shared" si="32"/>
        <v>39.200000000000003</v>
      </c>
      <c r="W61" s="337">
        <f t="shared" si="32"/>
        <v>6.3</v>
      </c>
      <c r="X61" s="337">
        <f t="shared" si="32"/>
        <v>1.7999999999999999E-2</v>
      </c>
      <c r="Y61" s="337">
        <f t="shared" si="32"/>
        <v>39.200000000000003</v>
      </c>
      <c r="Z61" s="337">
        <f t="shared" si="32"/>
        <v>1.8</v>
      </c>
      <c r="AA61" s="337">
        <f t="shared" si="32"/>
        <v>1.7999999999999999E-2</v>
      </c>
      <c r="AB61" s="337">
        <f t="shared" si="32"/>
        <v>14.1</v>
      </c>
      <c r="AC61" s="337">
        <f t="shared" si="32"/>
        <v>4.3</v>
      </c>
      <c r="AD61" s="337">
        <f t="shared" si="32"/>
        <v>5.0000000000000001E-3</v>
      </c>
      <c r="AE61" s="337">
        <f t="shared" si="32"/>
        <v>15.7</v>
      </c>
      <c r="AF61" s="337">
        <f t="shared" si="33"/>
        <v>5</v>
      </c>
      <c r="AG61" s="337">
        <f t="shared" si="33"/>
        <v>4.0000000000000001E-3</v>
      </c>
      <c r="AH61" s="337">
        <f t="shared" si="33"/>
        <v>19</v>
      </c>
      <c r="AI61" s="337">
        <f t="shared" si="33"/>
        <v>12.2</v>
      </c>
      <c r="AJ61" s="337">
        <f t="shared" si="33"/>
        <v>1.0999999999999999E-2</v>
      </c>
      <c r="AK61" s="337">
        <f t="shared" si="33"/>
        <v>45.6</v>
      </c>
      <c r="AL61" s="337">
        <f t="shared" si="33"/>
        <v>6.6999999999999993</v>
      </c>
      <c r="AM61" s="337">
        <f t="shared" si="33"/>
        <v>6.5000000000000002E-2</v>
      </c>
      <c r="AN61" s="337">
        <f t="shared" si="33"/>
        <v>25.6</v>
      </c>
      <c r="AO61" s="337">
        <f t="shared" si="33"/>
        <v>12.8</v>
      </c>
      <c r="AP61" s="337">
        <f t="shared" si="33"/>
        <v>6.0000000000000001E-3</v>
      </c>
      <c r="AQ61" s="337">
        <f t="shared" si="33"/>
        <v>22.6</v>
      </c>
      <c r="AR61" s="337">
        <v>1934</v>
      </c>
      <c r="AS61" s="337">
        <v>6.0999999999999999E-2</v>
      </c>
      <c r="AT61" s="337">
        <f t="shared" si="30"/>
        <v>1</v>
      </c>
      <c r="AU61" s="236" t="s">
        <v>405</v>
      </c>
      <c r="AV61" s="2130">
        <f t="shared" si="5"/>
        <v>0.06</v>
      </c>
      <c r="AW61" s="2130">
        <f t="shared" si="6"/>
        <v>0.94</v>
      </c>
    </row>
    <row r="62" spans="1:49" ht="12.75" customHeight="1">
      <c r="A62" s="522" t="s">
        <v>161</v>
      </c>
      <c r="B62" s="337">
        <v>1</v>
      </c>
      <c r="C62" s="337">
        <v>86</v>
      </c>
      <c r="D62" s="337">
        <v>71</v>
      </c>
      <c r="E62" s="337">
        <v>6734</v>
      </c>
      <c r="F62" s="337">
        <v>5</v>
      </c>
      <c r="G62" s="337" t="s">
        <v>173</v>
      </c>
      <c r="H62" s="337">
        <f t="shared" si="26"/>
        <v>186</v>
      </c>
      <c r="I62" s="337">
        <f t="shared" si="26"/>
        <v>889</v>
      </c>
      <c r="J62" s="337">
        <f t="shared" si="26"/>
        <v>54.6</v>
      </c>
      <c r="K62" s="337">
        <v>507</v>
      </c>
      <c r="L62" s="337">
        <f t="shared" si="31"/>
        <v>0.113</v>
      </c>
      <c r="M62" s="337">
        <f t="shared" si="31"/>
        <v>0.08</v>
      </c>
      <c r="N62" s="337">
        <f t="shared" si="31"/>
        <v>-2.4E-2</v>
      </c>
      <c r="O62" s="337">
        <f t="shared" si="31"/>
        <v>0</v>
      </c>
      <c r="P62" s="337">
        <f t="shared" si="31"/>
        <v>9.6999999999999993</v>
      </c>
      <c r="Q62" s="337">
        <f t="shared" si="31"/>
        <v>23</v>
      </c>
      <c r="R62" s="337">
        <f t="shared" si="31"/>
        <v>16</v>
      </c>
      <c r="S62" s="337">
        <f t="shared" si="31"/>
        <v>9.1999999999999998E-2</v>
      </c>
      <c r="T62" s="337">
        <f t="shared" si="31"/>
        <v>6.1</v>
      </c>
      <c r="U62" s="337">
        <f t="shared" si="31"/>
        <v>4.3999999999999997E-2</v>
      </c>
      <c r="V62" s="337">
        <f t="shared" si="32"/>
        <v>37.799999999999997</v>
      </c>
      <c r="W62" s="337">
        <f t="shared" si="32"/>
        <v>6.1</v>
      </c>
      <c r="X62" s="337">
        <f t="shared" si="32"/>
        <v>4.3999999999999997E-2</v>
      </c>
      <c r="Y62" s="337">
        <f t="shared" si="32"/>
        <v>37.799999999999997</v>
      </c>
      <c r="Z62" s="337">
        <f t="shared" si="32"/>
        <v>1.7</v>
      </c>
      <c r="AA62" s="337">
        <f t="shared" si="32"/>
        <v>2.5999999999999999E-2</v>
      </c>
      <c r="AB62" s="337">
        <f t="shared" si="32"/>
        <v>15</v>
      </c>
      <c r="AC62" s="337">
        <f t="shared" si="32"/>
        <v>4.8</v>
      </c>
      <c r="AD62" s="337">
        <f t="shared" si="32"/>
        <v>5.0000000000000001E-3</v>
      </c>
      <c r="AE62" s="337">
        <f t="shared" si="32"/>
        <v>15.5</v>
      </c>
      <c r="AF62" s="337">
        <f t="shared" si="33"/>
        <v>5.5500000000000007</v>
      </c>
      <c r="AG62" s="337">
        <f t="shared" si="33"/>
        <v>5.4999999999999997E-3</v>
      </c>
      <c r="AH62" s="337">
        <f t="shared" si="33"/>
        <v>18.599999999999998</v>
      </c>
      <c r="AI62" s="337">
        <f t="shared" si="33"/>
        <v>13.5</v>
      </c>
      <c r="AJ62" s="337">
        <f t="shared" si="33"/>
        <v>1.4E-2</v>
      </c>
      <c r="AK62" s="337">
        <f t="shared" si="33"/>
        <v>44.9</v>
      </c>
      <c r="AL62" s="337">
        <f t="shared" si="33"/>
        <v>7.4</v>
      </c>
      <c r="AM62" s="337">
        <f t="shared" si="33"/>
        <v>8.0000000000000002E-3</v>
      </c>
      <c r="AN62" s="337">
        <f t="shared" si="33"/>
        <v>25.1</v>
      </c>
      <c r="AO62" s="337">
        <f t="shared" si="33"/>
        <v>13.2</v>
      </c>
      <c r="AP62" s="337">
        <f t="shared" si="33"/>
        <v>1.4E-2</v>
      </c>
      <c r="AQ62" s="337">
        <f t="shared" si="33"/>
        <v>23.4</v>
      </c>
      <c r="AR62" s="337">
        <v>1934</v>
      </c>
      <c r="AS62" s="337">
        <v>6.0999999999999999E-2</v>
      </c>
      <c r="AT62" s="337">
        <f t="shared" si="30"/>
        <v>0.99099999999999999</v>
      </c>
      <c r="AU62" s="236" t="s">
        <v>408</v>
      </c>
      <c r="AV62" s="2130">
        <f t="shared" si="5"/>
        <v>0.06</v>
      </c>
      <c r="AW62" s="2130">
        <f t="shared" si="6"/>
        <v>0.94</v>
      </c>
    </row>
    <row r="63" spans="1:49" ht="12.75" customHeight="1">
      <c r="A63" s="522" t="s">
        <v>162</v>
      </c>
      <c r="B63" s="337">
        <v>7</v>
      </c>
      <c r="C63" s="337">
        <v>84</v>
      </c>
      <c r="D63" s="337">
        <v>73</v>
      </c>
      <c r="E63" s="337">
        <v>5750</v>
      </c>
      <c r="F63" s="337">
        <v>4</v>
      </c>
      <c r="G63" s="337" t="s">
        <v>177</v>
      </c>
      <c r="H63" s="337">
        <f t="shared" si="26"/>
        <v>382</v>
      </c>
      <c r="I63" s="337">
        <f t="shared" si="26"/>
        <v>526</v>
      </c>
      <c r="J63" s="337">
        <f t="shared" si="26"/>
        <v>55</v>
      </c>
      <c r="K63" s="337">
        <v>1096</v>
      </c>
      <c r="L63" s="337">
        <f t="shared" si="31"/>
        <v>0.19400000000000001</v>
      </c>
      <c r="M63" s="337">
        <f t="shared" si="31"/>
        <v>0.10100000000000001</v>
      </c>
      <c r="N63" s="337">
        <f t="shared" si="31"/>
        <v>-2.1000000000000001E-2</v>
      </c>
      <c r="O63" s="337">
        <f t="shared" si="31"/>
        <v>0</v>
      </c>
      <c r="P63" s="337">
        <f t="shared" si="31"/>
        <v>10.7</v>
      </c>
      <c r="Q63" s="337">
        <f t="shared" si="31"/>
        <v>56</v>
      </c>
      <c r="R63" s="337">
        <f t="shared" si="31"/>
        <v>17</v>
      </c>
      <c r="S63" s="337">
        <f t="shared" si="31"/>
        <v>9.8000000000000004E-2</v>
      </c>
      <c r="T63" s="337">
        <f t="shared" si="31"/>
        <v>20.3</v>
      </c>
      <c r="U63" s="337">
        <f t="shared" si="31"/>
        <v>2.5999999999999999E-2</v>
      </c>
      <c r="V63" s="337">
        <f t="shared" si="32"/>
        <v>28.3</v>
      </c>
      <c r="W63" s="337">
        <f t="shared" si="32"/>
        <v>20.3</v>
      </c>
      <c r="X63" s="337">
        <f t="shared" si="32"/>
        <v>2.5999999999999999E-2</v>
      </c>
      <c r="Y63" s="337">
        <f t="shared" si="32"/>
        <v>28.3</v>
      </c>
      <c r="Z63" s="337">
        <f t="shared" si="32"/>
        <v>6.7</v>
      </c>
      <c r="AA63" s="337">
        <f t="shared" si="32"/>
        <v>8.9999999999999993E-3</v>
      </c>
      <c r="AB63" s="337">
        <f t="shared" si="32"/>
        <v>9.4</v>
      </c>
      <c r="AC63" s="337">
        <f t="shared" si="32"/>
        <v>11</v>
      </c>
      <c r="AD63" s="337">
        <f t="shared" si="32"/>
        <v>3.0000000000000001E-3</v>
      </c>
      <c r="AE63" s="337">
        <f t="shared" si="32"/>
        <v>10.7</v>
      </c>
      <c r="AF63" s="337">
        <f t="shared" si="33"/>
        <v>13.05</v>
      </c>
      <c r="AG63" s="337">
        <f t="shared" si="33"/>
        <v>2.5000000000000001E-3</v>
      </c>
      <c r="AH63" s="337">
        <f t="shared" si="33"/>
        <v>12.75</v>
      </c>
      <c r="AI63" s="337">
        <f t="shared" si="33"/>
        <v>31.7</v>
      </c>
      <c r="AJ63" s="337">
        <f t="shared" si="33"/>
        <v>8.0000000000000002E-3</v>
      </c>
      <c r="AK63" s="337">
        <f t="shared" si="33"/>
        <v>30.9</v>
      </c>
      <c r="AL63" s="337">
        <f t="shared" si="33"/>
        <v>17.600000000000001</v>
      </c>
      <c r="AM63" s="337">
        <f t="shared" si="33"/>
        <v>5.4999999999999997E-3</v>
      </c>
      <c r="AN63" s="337">
        <f t="shared" si="33"/>
        <v>17.350000000000001</v>
      </c>
      <c r="AO63" s="337">
        <f t="shared" si="33"/>
        <v>9.1999999999999993</v>
      </c>
      <c r="AP63" s="337">
        <f t="shared" si="33"/>
        <v>6.0000000000000001E-3</v>
      </c>
      <c r="AQ63" s="337">
        <f t="shared" si="33"/>
        <v>17.399999999999999</v>
      </c>
      <c r="AR63" s="337">
        <v>1934</v>
      </c>
      <c r="AS63" s="337">
        <v>6.0999999999999999E-2</v>
      </c>
      <c r="AT63" s="337">
        <f t="shared" si="30"/>
        <v>1.34</v>
      </c>
      <c r="AU63" s="236" t="s">
        <v>361</v>
      </c>
      <c r="AV63" s="2130">
        <f t="shared" si="5"/>
        <v>0.15</v>
      </c>
      <c r="AW63" s="2130">
        <f t="shared" si="6"/>
        <v>0.85</v>
      </c>
    </row>
    <row r="64" spans="1:49" ht="12.75" customHeight="1">
      <c r="A64" s="522" t="s">
        <v>163</v>
      </c>
      <c r="B64" s="337">
        <v>1</v>
      </c>
      <c r="C64" s="337">
        <v>86</v>
      </c>
      <c r="D64" s="337">
        <v>71</v>
      </c>
      <c r="E64" s="337">
        <v>6734</v>
      </c>
      <c r="F64" s="337">
        <v>6</v>
      </c>
      <c r="G64" s="337" t="s">
        <v>173</v>
      </c>
      <c r="H64" s="337">
        <f t="shared" si="26"/>
        <v>151</v>
      </c>
      <c r="I64" s="337">
        <f t="shared" si="26"/>
        <v>966</v>
      </c>
      <c r="J64" s="337">
        <f t="shared" si="26"/>
        <v>54.3</v>
      </c>
      <c r="K64" s="337">
        <v>438</v>
      </c>
      <c r="L64" s="337">
        <f t="shared" si="31"/>
        <v>0.113</v>
      </c>
      <c r="M64" s="337">
        <f t="shared" si="31"/>
        <v>7.1999999999999995E-2</v>
      </c>
      <c r="N64" s="337">
        <f t="shared" si="31"/>
        <v>-2.5999999999999999E-2</v>
      </c>
      <c r="O64" s="337">
        <f t="shared" si="31"/>
        <v>0</v>
      </c>
      <c r="P64" s="337">
        <f t="shared" si="31"/>
        <v>9.9</v>
      </c>
      <c r="Q64" s="337">
        <f t="shared" si="31"/>
        <v>20</v>
      </c>
      <c r="R64" s="337">
        <f t="shared" si="31"/>
        <v>19</v>
      </c>
      <c r="S64" s="337">
        <f t="shared" si="31"/>
        <v>7.9000000000000001E-2</v>
      </c>
      <c r="T64" s="337">
        <f t="shared" si="31"/>
        <v>3.1</v>
      </c>
      <c r="U64" s="337">
        <f t="shared" si="31"/>
        <v>1.8E-3</v>
      </c>
      <c r="V64" s="337">
        <f t="shared" si="32"/>
        <v>38.6</v>
      </c>
      <c r="W64" s="337">
        <f t="shared" si="32"/>
        <v>3.1</v>
      </c>
      <c r="X64" s="337">
        <f t="shared" si="32"/>
        <v>1.7999999999999999E-2</v>
      </c>
      <c r="Y64" s="337">
        <f t="shared" si="32"/>
        <v>38.6</v>
      </c>
      <c r="Z64" s="337">
        <f t="shared" si="32"/>
        <v>0.7</v>
      </c>
      <c r="AA64" s="337">
        <f t="shared" si="32"/>
        <v>0</v>
      </c>
      <c r="AB64" s="337">
        <f t="shared" si="32"/>
        <v>13.9</v>
      </c>
      <c r="AC64" s="337">
        <f t="shared" si="32"/>
        <v>3</v>
      </c>
      <c r="AD64" s="337">
        <f t="shared" si="32"/>
        <v>3.0000000000000001E-3</v>
      </c>
      <c r="AE64" s="337">
        <f t="shared" si="32"/>
        <v>16.5</v>
      </c>
      <c r="AF64" s="337">
        <f t="shared" si="33"/>
        <v>3.45</v>
      </c>
      <c r="AG64" s="337">
        <f t="shared" si="33"/>
        <v>1.5E-3</v>
      </c>
      <c r="AH64" s="337">
        <f t="shared" si="33"/>
        <v>19.7</v>
      </c>
      <c r="AI64" s="337">
        <f t="shared" si="33"/>
        <v>8.5</v>
      </c>
      <c r="AJ64" s="337">
        <f t="shared" si="33"/>
        <v>5.0000000000000001E-3</v>
      </c>
      <c r="AK64" s="337">
        <f t="shared" si="33"/>
        <v>47.7</v>
      </c>
      <c r="AL64" s="337">
        <f t="shared" si="33"/>
        <v>4.6500000000000004</v>
      </c>
      <c r="AM64" s="337">
        <f t="shared" si="33"/>
        <v>4.0000000000000001E-3</v>
      </c>
      <c r="AN64" s="337">
        <f t="shared" si="33"/>
        <v>26.5</v>
      </c>
      <c r="AO64" s="337">
        <f t="shared" si="33"/>
        <v>11.2</v>
      </c>
      <c r="AP64" s="337">
        <f t="shared" si="33"/>
        <v>6.0000000000000001E-3</v>
      </c>
      <c r="AQ64" s="337">
        <f t="shared" si="33"/>
        <v>24</v>
      </c>
      <c r="AR64" s="337">
        <v>1934</v>
      </c>
      <c r="AS64" s="337">
        <v>6.0999999999999999E-2</v>
      </c>
      <c r="AT64" s="337">
        <f t="shared" si="30"/>
        <v>1.036</v>
      </c>
      <c r="AU64" s="236" t="s">
        <v>407</v>
      </c>
      <c r="AV64" s="2130">
        <f t="shared" si="5"/>
        <v>0.03</v>
      </c>
      <c r="AW64" s="2130">
        <f t="shared" si="6"/>
        <v>0.97</v>
      </c>
    </row>
    <row r="65" spans="1:49" ht="12.75" customHeight="1">
      <c r="A65" s="522" t="s">
        <v>164</v>
      </c>
      <c r="B65" s="337">
        <v>1</v>
      </c>
      <c r="C65" s="337">
        <v>86</v>
      </c>
      <c r="D65" s="337">
        <v>71</v>
      </c>
      <c r="E65" s="337">
        <v>6734</v>
      </c>
      <c r="F65" s="337">
        <v>5</v>
      </c>
      <c r="G65" s="337" t="s">
        <v>173</v>
      </c>
      <c r="H65" s="337">
        <f t="shared" si="26"/>
        <v>186</v>
      </c>
      <c r="I65" s="337">
        <f t="shared" si="26"/>
        <v>889</v>
      </c>
      <c r="J65" s="337">
        <f t="shared" si="26"/>
        <v>54.6</v>
      </c>
      <c r="K65" s="337">
        <v>507</v>
      </c>
      <c r="L65" s="337">
        <f t="shared" si="31"/>
        <v>0.113</v>
      </c>
      <c r="M65" s="337">
        <f t="shared" si="31"/>
        <v>0.08</v>
      </c>
      <c r="N65" s="337">
        <f t="shared" si="31"/>
        <v>-2.4E-2</v>
      </c>
      <c r="O65" s="337">
        <f t="shared" si="31"/>
        <v>0</v>
      </c>
      <c r="P65" s="337">
        <f t="shared" si="31"/>
        <v>9.6999999999999993</v>
      </c>
      <c r="Q65" s="337">
        <f t="shared" si="31"/>
        <v>23</v>
      </c>
      <c r="R65" s="337">
        <f t="shared" si="31"/>
        <v>16</v>
      </c>
      <c r="S65" s="337">
        <f t="shared" si="31"/>
        <v>9.1999999999999998E-2</v>
      </c>
      <c r="T65" s="337">
        <f t="shared" si="31"/>
        <v>6.1</v>
      </c>
      <c r="U65" s="337">
        <f t="shared" si="31"/>
        <v>4.3999999999999997E-2</v>
      </c>
      <c r="V65" s="337">
        <f t="shared" si="32"/>
        <v>37.799999999999997</v>
      </c>
      <c r="W65" s="337">
        <f t="shared" si="32"/>
        <v>6.1</v>
      </c>
      <c r="X65" s="337">
        <f t="shared" si="32"/>
        <v>4.3999999999999997E-2</v>
      </c>
      <c r="Y65" s="337">
        <f t="shared" si="32"/>
        <v>37.799999999999997</v>
      </c>
      <c r="Z65" s="337">
        <f t="shared" si="32"/>
        <v>1.7</v>
      </c>
      <c r="AA65" s="337">
        <f t="shared" si="32"/>
        <v>2.5999999999999999E-2</v>
      </c>
      <c r="AB65" s="337">
        <f t="shared" si="32"/>
        <v>15</v>
      </c>
      <c r="AC65" s="337">
        <f t="shared" si="32"/>
        <v>4.8</v>
      </c>
      <c r="AD65" s="337">
        <f t="shared" si="32"/>
        <v>5.0000000000000001E-3</v>
      </c>
      <c r="AE65" s="337">
        <f t="shared" si="32"/>
        <v>15.5</v>
      </c>
      <c r="AF65" s="337">
        <f t="shared" si="33"/>
        <v>5.5500000000000007</v>
      </c>
      <c r="AG65" s="337">
        <f t="shared" si="33"/>
        <v>5.4999999999999997E-3</v>
      </c>
      <c r="AH65" s="337">
        <f t="shared" si="33"/>
        <v>18.599999999999998</v>
      </c>
      <c r="AI65" s="337">
        <f t="shared" si="33"/>
        <v>13.5</v>
      </c>
      <c r="AJ65" s="337">
        <f t="shared" si="33"/>
        <v>1.4E-2</v>
      </c>
      <c r="AK65" s="337">
        <f t="shared" si="33"/>
        <v>44.9</v>
      </c>
      <c r="AL65" s="337">
        <f t="shared" si="33"/>
        <v>7.4</v>
      </c>
      <c r="AM65" s="337">
        <f t="shared" si="33"/>
        <v>8.0000000000000002E-3</v>
      </c>
      <c r="AN65" s="337">
        <f t="shared" si="33"/>
        <v>25.1</v>
      </c>
      <c r="AO65" s="337">
        <f t="shared" si="33"/>
        <v>13.2</v>
      </c>
      <c r="AP65" s="337">
        <f t="shared" si="33"/>
        <v>1.4E-2</v>
      </c>
      <c r="AQ65" s="337">
        <f t="shared" si="33"/>
        <v>23.4</v>
      </c>
      <c r="AR65" s="337">
        <v>1934</v>
      </c>
      <c r="AS65" s="337">
        <v>6.0999999999999999E-2</v>
      </c>
      <c r="AT65" s="337">
        <f t="shared" si="30"/>
        <v>0.99099999999999999</v>
      </c>
      <c r="AU65" s="236" t="s">
        <v>408</v>
      </c>
      <c r="AV65" s="2130">
        <f t="shared" si="5"/>
        <v>0.06</v>
      </c>
      <c r="AW65" s="2130">
        <f t="shared" si="6"/>
        <v>0.94</v>
      </c>
    </row>
    <row r="66" spans="1:49" ht="12.75" customHeight="1">
      <c r="K66" s="39"/>
    </row>
    <row r="67" spans="1:49" ht="12.75" customHeight="1">
      <c r="K67" s="39"/>
    </row>
    <row r="68" spans="1:49" ht="12.75" customHeight="1">
      <c r="K68" s="39"/>
    </row>
    <row r="69" spans="1:49" ht="12.75" customHeight="1">
      <c r="K69" s="39"/>
    </row>
    <row r="70" spans="1:49" ht="12.75" customHeight="1">
      <c r="K70" s="39"/>
    </row>
    <row r="71" spans="1:49" ht="12.75" customHeight="1">
      <c r="K71" s="39"/>
    </row>
    <row r="72" spans="1:49" ht="12.75" customHeight="1">
      <c r="K72" s="39"/>
    </row>
    <row r="73" spans="1:49" ht="12.75" customHeight="1">
      <c r="K73" s="39"/>
    </row>
    <row r="74" spans="1:49" ht="12.75" customHeight="1">
      <c r="K74" s="39"/>
    </row>
    <row r="75" spans="1:49" ht="12.75" customHeight="1">
      <c r="K75" s="39"/>
    </row>
    <row r="76" spans="1:49" ht="12.75" customHeight="1">
      <c r="K76" s="39"/>
    </row>
    <row r="77" spans="1:49" ht="12.75" customHeight="1">
      <c r="K77" s="39"/>
    </row>
    <row r="78" spans="1:49" ht="12.75" customHeight="1">
      <c r="K78" s="39"/>
    </row>
    <row r="79" spans="1:49" ht="12.75" customHeight="1">
      <c r="K79" s="39"/>
    </row>
    <row r="80" spans="1:49" ht="12.75" customHeight="1">
      <c r="K80" s="39"/>
    </row>
    <row r="81" spans="11:11" ht="12.75" customHeight="1">
      <c r="K81" s="39"/>
    </row>
    <row r="82" spans="11:11" ht="12.75" customHeight="1">
      <c r="K82" s="39"/>
    </row>
    <row r="83" spans="11:11" ht="12.75" customHeight="1">
      <c r="K83" s="39"/>
    </row>
    <row r="84" spans="11:11" ht="12.75" customHeight="1">
      <c r="K84" s="39"/>
    </row>
    <row r="85" spans="11:11" ht="12.75" customHeight="1">
      <c r="K85" s="39"/>
    </row>
    <row r="86" spans="11:11" ht="12.75" customHeight="1">
      <c r="K86" s="39"/>
    </row>
  </sheetData>
  <mergeCells count="27">
    <mergeCell ref="W2:Y2"/>
    <mergeCell ref="AL2:AN2"/>
    <mergeCell ref="AI2:AK2"/>
    <mergeCell ref="AF2:AH2"/>
    <mergeCell ref="AC2:AE2"/>
    <mergeCell ref="Z2:AB2"/>
    <mergeCell ref="B2:B3"/>
    <mergeCell ref="C2:C3"/>
    <mergeCell ref="D2:D3"/>
    <mergeCell ref="E2:E3"/>
    <mergeCell ref="F2:G2"/>
    <mergeCell ref="AU2:AU3"/>
    <mergeCell ref="H2:H3"/>
    <mergeCell ref="I2:I3"/>
    <mergeCell ref="J2:J3"/>
    <mergeCell ref="Q2:S2"/>
    <mergeCell ref="AT2:AT3"/>
    <mergeCell ref="K2:K3"/>
    <mergeCell ref="O2:O3"/>
    <mergeCell ref="P2:P3"/>
    <mergeCell ref="L2:L3"/>
    <mergeCell ref="M2:M3"/>
    <mergeCell ref="N2:N3"/>
    <mergeCell ref="AR2:AR3"/>
    <mergeCell ref="AS2:AS3"/>
    <mergeCell ref="AO2:AQ2"/>
    <mergeCell ref="T2:V2"/>
  </mergeCells>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0" tint="-0.14999847407452621"/>
  </sheetPr>
  <dimension ref="A1:AZ48"/>
  <sheetViews>
    <sheetView workbookViewId="0"/>
  </sheetViews>
  <sheetFormatPr defaultRowHeight="12"/>
  <cols>
    <col min="1" max="1" width="2.7109375" style="29" bestFit="1" customWidth="1"/>
    <col min="2" max="2" width="92.5703125" style="29" customWidth="1"/>
    <col min="3" max="3" width="12.42578125" style="29" customWidth="1"/>
    <col min="4" max="4" width="12" style="29" customWidth="1"/>
    <col min="5" max="52" width="11.28515625" style="29" customWidth="1"/>
    <col min="53" max="256" width="9.140625" style="29"/>
    <col min="257" max="257" width="81.140625" style="29" bestFit="1" customWidth="1"/>
    <col min="258" max="258" width="11.85546875" style="29" bestFit="1" customWidth="1"/>
    <col min="259" max="259" width="9.140625" style="29" bestFit="1" customWidth="1"/>
    <col min="260" max="307" width="8.28515625" style="29" bestFit="1" customWidth="1"/>
    <col min="308" max="512" width="9.140625" style="29"/>
    <col min="513" max="513" width="81.140625" style="29" bestFit="1" customWidth="1"/>
    <col min="514" max="514" width="11.85546875" style="29" bestFit="1" customWidth="1"/>
    <col min="515" max="515" width="9.140625" style="29" bestFit="1" customWidth="1"/>
    <col min="516" max="563" width="8.28515625" style="29" bestFit="1" customWidth="1"/>
    <col min="564" max="768" width="9.140625" style="29"/>
    <col min="769" max="769" width="81.140625" style="29" bestFit="1" customWidth="1"/>
    <col min="770" max="770" width="11.85546875" style="29" bestFit="1" customWidth="1"/>
    <col min="771" max="771" width="9.140625" style="29" bestFit="1" customWidth="1"/>
    <col min="772" max="819" width="8.28515625" style="29" bestFit="1" customWidth="1"/>
    <col min="820" max="1024" width="9.140625" style="29"/>
    <col min="1025" max="1025" width="81.140625" style="29" bestFit="1" customWidth="1"/>
    <col min="1026" max="1026" width="11.85546875" style="29" bestFit="1" customWidth="1"/>
    <col min="1027" max="1027" width="9.140625" style="29" bestFit="1" customWidth="1"/>
    <col min="1028" max="1075" width="8.28515625" style="29" bestFit="1" customWidth="1"/>
    <col min="1076" max="1280" width="9.140625" style="29"/>
    <col min="1281" max="1281" width="81.140625" style="29" bestFit="1" customWidth="1"/>
    <col min="1282" max="1282" width="11.85546875" style="29" bestFit="1" customWidth="1"/>
    <col min="1283" max="1283" width="9.140625" style="29" bestFit="1" customWidth="1"/>
    <col min="1284" max="1331" width="8.28515625" style="29" bestFit="1" customWidth="1"/>
    <col min="1332" max="1536" width="9.140625" style="29"/>
    <col min="1537" max="1537" width="81.140625" style="29" bestFit="1" customWidth="1"/>
    <col min="1538" max="1538" width="11.85546875" style="29" bestFit="1" customWidth="1"/>
    <col min="1539" max="1539" width="9.140625" style="29" bestFit="1" customWidth="1"/>
    <col min="1540" max="1587" width="8.28515625" style="29" bestFit="1" customWidth="1"/>
    <col min="1588" max="1792" width="9.140625" style="29"/>
    <col min="1793" max="1793" width="81.140625" style="29" bestFit="1" customWidth="1"/>
    <col min="1794" max="1794" width="11.85546875" style="29" bestFit="1" customWidth="1"/>
    <col min="1795" max="1795" width="9.140625" style="29" bestFit="1" customWidth="1"/>
    <col min="1796" max="1843" width="8.28515625" style="29" bestFit="1" customWidth="1"/>
    <col min="1844" max="2048" width="9.140625" style="29"/>
    <col min="2049" max="2049" width="81.140625" style="29" bestFit="1" customWidth="1"/>
    <col min="2050" max="2050" width="11.85546875" style="29" bestFit="1" customWidth="1"/>
    <col min="2051" max="2051" width="9.140625" style="29" bestFit="1" customWidth="1"/>
    <col min="2052" max="2099" width="8.28515625" style="29" bestFit="1" customWidth="1"/>
    <col min="2100" max="2304" width="9.140625" style="29"/>
    <col min="2305" max="2305" width="81.140625" style="29" bestFit="1" customWidth="1"/>
    <col min="2306" max="2306" width="11.85546875" style="29" bestFit="1" customWidth="1"/>
    <col min="2307" max="2307" width="9.140625" style="29" bestFit="1" customWidth="1"/>
    <col min="2308" max="2355" width="8.28515625" style="29" bestFit="1" customWidth="1"/>
    <col min="2356" max="2560" width="9.140625" style="29"/>
    <col min="2561" max="2561" width="81.140625" style="29" bestFit="1" customWidth="1"/>
    <col min="2562" max="2562" width="11.85546875" style="29" bestFit="1" customWidth="1"/>
    <col min="2563" max="2563" width="9.140625" style="29" bestFit="1" customWidth="1"/>
    <col min="2564" max="2611" width="8.28515625" style="29" bestFit="1" customWidth="1"/>
    <col min="2612" max="2816" width="9.140625" style="29"/>
    <col min="2817" max="2817" width="81.140625" style="29" bestFit="1" customWidth="1"/>
    <col min="2818" max="2818" width="11.85546875" style="29" bestFit="1" customWidth="1"/>
    <col min="2819" max="2819" width="9.140625" style="29" bestFit="1" customWidth="1"/>
    <col min="2820" max="2867" width="8.28515625" style="29" bestFit="1" customWidth="1"/>
    <col min="2868" max="3072" width="9.140625" style="29"/>
    <col min="3073" max="3073" width="81.140625" style="29" bestFit="1" customWidth="1"/>
    <col min="3074" max="3074" width="11.85546875" style="29" bestFit="1" customWidth="1"/>
    <col min="3075" max="3075" width="9.140625" style="29" bestFit="1" customWidth="1"/>
    <col min="3076" max="3123" width="8.28515625" style="29" bestFit="1" customWidth="1"/>
    <col min="3124" max="3328" width="9.140625" style="29"/>
    <col min="3329" max="3329" width="81.140625" style="29" bestFit="1" customWidth="1"/>
    <col min="3330" max="3330" width="11.85546875" style="29" bestFit="1" customWidth="1"/>
    <col min="3331" max="3331" width="9.140625" style="29" bestFit="1" customWidth="1"/>
    <col min="3332" max="3379" width="8.28515625" style="29" bestFit="1" customWidth="1"/>
    <col min="3380" max="3584" width="9.140625" style="29"/>
    <col min="3585" max="3585" width="81.140625" style="29" bestFit="1" customWidth="1"/>
    <col min="3586" max="3586" width="11.85546875" style="29" bestFit="1" customWidth="1"/>
    <col min="3587" max="3587" width="9.140625" style="29" bestFit="1" customWidth="1"/>
    <col min="3588" max="3635" width="8.28515625" style="29" bestFit="1" customWidth="1"/>
    <col min="3636" max="3840" width="9.140625" style="29"/>
    <col min="3841" max="3841" width="81.140625" style="29" bestFit="1" customWidth="1"/>
    <col min="3842" max="3842" width="11.85546875" style="29" bestFit="1" customWidth="1"/>
    <col min="3843" max="3843" width="9.140625" style="29" bestFit="1" customWidth="1"/>
    <col min="3844" max="3891" width="8.28515625" style="29" bestFit="1" customWidth="1"/>
    <col min="3892" max="4096" width="9.140625" style="29"/>
    <col min="4097" max="4097" width="81.140625" style="29" bestFit="1" customWidth="1"/>
    <col min="4098" max="4098" width="11.85546875" style="29" bestFit="1" customWidth="1"/>
    <col min="4099" max="4099" width="9.140625" style="29" bestFit="1" customWidth="1"/>
    <col min="4100" max="4147" width="8.28515625" style="29" bestFit="1" customWidth="1"/>
    <col min="4148" max="4352" width="9.140625" style="29"/>
    <col min="4353" max="4353" width="81.140625" style="29" bestFit="1" customWidth="1"/>
    <col min="4354" max="4354" width="11.85546875" style="29" bestFit="1" customWidth="1"/>
    <col min="4355" max="4355" width="9.140625" style="29" bestFit="1" customWidth="1"/>
    <col min="4356" max="4403" width="8.28515625" style="29" bestFit="1" customWidth="1"/>
    <col min="4404" max="4608" width="9.140625" style="29"/>
    <col min="4609" max="4609" width="81.140625" style="29" bestFit="1" customWidth="1"/>
    <col min="4610" max="4610" width="11.85546875" style="29" bestFit="1" customWidth="1"/>
    <col min="4611" max="4611" width="9.140625" style="29" bestFit="1" customWidth="1"/>
    <col min="4612" max="4659" width="8.28515625" style="29" bestFit="1" customWidth="1"/>
    <col min="4660" max="4864" width="9.140625" style="29"/>
    <col min="4865" max="4865" width="81.140625" style="29" bestFit="1" customWidth="1"/>
    <col min="4866" max="4866" width="11.85546875" style="29" bestFit="1" customWidth="1"/>
    <col min="4867" max="4867" width="9.140625" style="29" bestFit="1" customWidth="1"/>
    <col min="4868" max="4915" width="8.28515625" style="29" bestFit="1" customWidth="1"/>
    <col min="4916" max="5120" width="9.140625" style="29"/>
    <col min="5121" max="5121" width="81.140625" style="29" bestFit="1" customWidth="1"/>
    <col min="5122" max="5122" width="11.85546875" style="29" bestFit="1" customWidth="1"/>
    <col min="5123" max="5123" width="9.140625" style="29" bestFit="1" customWidth="1"/>
    <col min="5124" max="5171" width="8.28515625" style="29" bestFit="1" customWidth="1"/>
    <col min="5172" max="5376" width="9.140625" style="29"/>
    <col min="5377" max="5377" width="81.140625" style="29" bestFit="1" customWidth="1"/>
    <col min="5378" max="5378" width="11.85546875" style="29" bestFit="1" customWidth="1"/>
    <col min="5379" max="5379" width="9.140625" style="29" bestFit="1" customWidth="1"/>
    <col min="5380" max="5427" width="8.28515625" style="29" bestFit="1" customWidth="1"/>
    <col min="5428" max="5632" width="9.140625" style="29"/>
    <col min="5633" max="5633" width="81.140625" style="29" bestFit="1" customWidth="1"/>
    <col min="5634" max="5634" width="11.85546875" style="29" bestFit="1" customWidth="1"/>
    <col min="5635" max="5635" width="9.140625" style="29" bestFit="1" customWidth="1"/>
    <col min="5636" max="5683" width="8.28515625" style="29" bestFit="1" customWidth="1"/>
    <col min="5684" max="5888" width="9.140625" style="29"/>
    <col min="5889" max="5889" width="81.140625" style="29" bestFit="1" customWidth="1"/>
    <col min="5890" max="5890" width="11.85546875" style="29" bestFit="1" customWidth="1"/>
    <col min="5891" max="5891" width="9.140625" style="29" bestFit="1" customWidth="1"/>
    <col min="5892" max="5939" width="8.28515625" style="29" bestFit="1" customWidth="1"/>
    <col min="5940" max="6144" width="9.140625" style="29"/>
    <col min="6145" max="6145" width="81.140625" style="29" bestFit="1" customWidth="1"/>
    <col min="6146" max="6146" width="11.85546875" style="29" bestFit="1" customWidth="1"/>
    <col min="6147" max="6147" width="9.140625" style="29" bestFit="1" customWidth="1"/>
    <col min="6148" max="6195" width="8.28515625" style="29" bestFit="1" customWidth="1"/>
    <col min="6196" max="6400" width="9.140625" style="29"/>
    <col min="6401" max="6401" width="81.140625" style="29" bestFit="1" customWidth="1"/>
    <col min="6402" max="6402" width="11.85546875" style="29" bestFit="1" customWidth="1"/>
    <col min="6403" max="6403" width="9.140625" style="29" bestFit="1" customWidth="1"/>
    <col min="6404" max="6451" width="8.28515625" style="29" bestFit="1" customWidth="1"/>
    <col min="6452" max="6656" width="9.140625" style="29"/>
    <col min="6657" max="6657" width="81.140625" style="29" bestFit="1" customWidth="1"/>
    <col min="6658" max="6658" width="11.85546875" style="29" bestFit="1" customWidth="1"/>
    <col min="6659" max="6659" width="9.140625" style="29" bestFit="1" customWidth="1"/>
    <col min="6660" max="6707" width="8.28515625" style="29" bestFit="1" customWidth="1"/>
    <col min="6708" max="6912" width="9.140625" style="29"/>
    <col min="6913" max="6913" width="81.140625" style="29" bestFit="1" customWidth="1"/>
    <col min="6914" max="6914" width="11.85546875" style="29" bestFit="1" customWidth="1"/>
    <col min="6915" max="6915" width="9.140625" style="29" bestFit="1" customWidth="1"/>
    <col min="6916" max="6963" width="8.28515625" style="29" bestFit="1" customWidth="1"/>
    <col min="6964" max="7168" width="9.140625" style="29"/>
    <col min="7169" max="7169" width="81.140625" style="29" bestFit="1" customWidth="1"/>
    <col min="7170" max="7170" width="11.85546875" style="29" bestFit="1" customWidth="1"/>
    <col min="7171" max="7171" width="9.140625" style="29" bestFit="1" customWidth="1"/>
    <col min="7172" max="7219" width="8.28515625" style="29" bestFit="1" customWidth="1"/>
    <col min="7220" max="7424" width="9.140625" style="29"/>
    <col min="7425" max="7425" width="81.140625" style="29" bestFit="1" customWidth="1"/>
    <col min="7426" max="7426" width="11.85546875" style="29" bestFit="1" customWidth="1"/>
    <col min="7427" max="7427" width="9.140625" style="29" bestFit="1" customWidth="1"/>
    <col min="7428" max="7475" width="8.28515625" style="29" bestFit="1" customWidth="1"/>
    <col min="7476" max="7680" width="9.140625" style="29"/>
    <col min="7681" max="7681" width="81.140625" style="29" bestFit="1" customWidth="1"/>
    <col min="7682" max="7682" width="11.85546875" style="29" bestFit="1" customWidth="1"/>
    <col min="7683" max="7683" width="9.140625" style="29" bestFit="1" customWidth="1"/>
    <col min="7684" max="7731" width="8.28515625" style="29" bestFit="1" customWidth="1"/>
    <col min="7732" max="7936" width="9.140625" style="29"/>
    <col min="7937" max="7937" width="81.140625" style="29" bestFit="1" customWidth="1"/>
    <col min="7938" max="7938" width="11.85546875" style="29" bestFit="1" customWidth="1"/>
    <col min="7939" max="7939" width="9.140625" style="29" bestFit="1" customWidth="1"/>
    <col min="7940" max="7987" width="8.28515625" style="29" bestFit="1" customWidth="1"/>
    <col min="7988" max="8192" width="9.140625" style="29"/>
    <col min="8193" max="8193" width="81.140625" style="29" bestFit="1" customWidth="1"/>
    <col min="8194" max="8194" width="11.85546875" style="29" bestFit="1" customWidth="1"/>
    <col min="8195" max="8195" width="9.140625" style="29" bestFit="1" customWidth="1"/>
    <col min="8196" max="8243" width="8.28515625" style="29" bestFit="1" customWidth="1"/>
    <col min="8244" max="8448" width="9.140625" style="29"/>
    <col min="8449" max="8449" width="81.140625" style="29" bestFit="1" customWidth="1"/>
    <col min="8450" max="8450" width="11.85546875" style="29" bestFit="1" customWidth="1"/>
    <col min="8451" max="8451" width="9.140625" style="29" bestFit="1" customWidth="1"/>
    <col min="8452" max="8499" width="8.28515625" style="29" bestFit="1" customWidth="1"/>
    <col min="8500" max="8704" width="9.140625" style="29"/>
    <col min="8705" max="8705" width="81.140625" style="29" bestFit="1" customWidth="1"/>
    <col min="8706" max="8706" width="11.85546875" style="29" bestFit="1" customWidth="1"/>
    <col min="8707" max="8707" width="9.140625" style="29" bestFit="1" customWidth="1"/>
    <col min="8708" max="8755" width="8.28515625" style="29" bestFit="1" customWidth="1"/>
    <col min="8756" max="8960" width="9.140625" style="29"/>
    <col min="8961" max="8961" width="81.140625" style="29" bestFit="1" customWidth="1"/>
    <col min="8962" max="8962" width="11.85546875" style="29" bestFit="1" customWidth="1"/>
    <col min="8963" max="8963" width="9.140625" style="29" bestFit="1" customWidth="1"/>
    <col min="8964" max="9011" width="8.28515625" style="29" bestFit="1" customWidth="1"/>
    <col min="9012" max="9216" width="9.140625" style="29"/>
    <col min="9217" max="9217" width="81.140625" style="29" bestFit="1" customWidth="1"/>
    <col min="9218" max="9218" width="11.85546875" style="29" bestFit="1" customWidth="1"/>
    <col min="9219" max="9219" width="9.140625" style="29" bestFit="1" customWidth="1"/>
    <col min="9220" max="9267" width="8.28515625" style="29" bestFit="1" customWidth="1"/>
    <col min="9268" max="9472" width="9.140625" style="29"/>
    <col min="9473" max="9473" width="81.140625" style="29" bestFit="1" customWidth="1"/>
    <col min="9474" max="9474" width="11.85546875" style="29" bestFit="1" customWidth="1"/>
    <col min="9475" max="9475" width="9.140625" style="29" bestFit="1" customWidth="1"/>
    <col min="9476" max="9523" width="8.28515625" style="29" bestFit="1" customWidth="1"/>
    <col min="9524" max="9728" width="9.140625" style="29"/>
    <col min="9729" max="9729" width="81.140625" style="29" bestFit="1" customWidth="1"/>
    <col min="9730" max="9730" width="11.85546875" style="29" bestFit="1" customWidth="1"/>
    <col min="9731" max="9731" width="9.140625" style="29" bestFit="1" customWidth="1"/>
    <col min="9732" max="9779" width="8.28515625" style="29" bestFit="1" customWidth="1"/>
    <col min="9780" max="9984" width="9.140625" style="29"/>
    <col min="9985" max="9985" width="81.140625" style="29" bestFit="1" customWidth="1"/>
    <col min="9986" max="9986" width="11.85546875" style="29" bestFit="1" customWidth="1"/>
    <col min="9987" max="9987" width="9.140625" style="29" bestFit="1" customWidth="1"/>
    <col min="9988" max="10035" width="8.28515625" style="29" bestFit="1" customWidth="1"/>
    <col min="10036" max="10240" width="9.140625" style="29"/>
    <col min="10241" max="10241" width="81.140625" style="29" bestFit="1" customWidth="1"/>
    <col min="10242" max="10242" width="11.85546875" style="29" bestFit="1" customWidth="1"/>
    <col min="10243" max="10243" width="9.140625" style="29" bestFit="1" customWidth="1"/>
    <col min="10244" max="10291" width="8.28515625" style="29" bestFit="1" customWidth="1"/>
    <col min="10292" max="10496" width="9.140625" style="29"/>
    <col min="10497" max="10497" width="81.140625" style="29" bestFit="1" customWidth="1"/>
    <col min="10498" max="10498" width="11.85546875" style="29" bestFit="1" customWidth="1"/>
    <col min="10499" max="10499" width="9.140625" style="29" bestFit="1" customWidth="1"/>
    <col min="10500" max="10547" width="8.28515625" style="29" bestFit="1" customWidth="1"/>
    <col min="10548" max="10752" width="9.140625" style="29"/>
    <col min="10753" max="10753" width="81.140625" style="29" bestFit="1" customWidth="1"/>
    <col min="10754" max="10754" width="11.85546875" style="29" bestFit="1" customWidth="1"/>
    <col min="10755" max="10755" width="9.140625" style="29" bestFit="1" customWidth="1"/>
    <col min="10756" max="10803" width="8.28515625" style="29" bestFit="1" customWidth="1"/>
    <col min="10804" max="11008" width="9.140625" style="29"/>
    <col min="11009" max="11009" width="81.140625" style="29" bestFit="1" customWidth="1"/>
    <col min="11010" max="11010" width="11.85546875" style="29" bestFit="1" customWidth="1"/>
    <col min="11011" max="11011" width="9.140625" style="29" bestFit="1" customWidth="1"/>
    <col min="11012" max="11059" width="8.28515625" style="29" bestFit="1" customWidth="1"/>
    <col min="11060" max="11264" width="9.140625" style="29"/>
    <col min="11265" max="11265" width="81.140625" style="29" bestFit="1" customWidth="1"/>
    <col min="11266" max="11266" width="11.85546875" style="29" bestFit="1" customWidth="1"/>
    <col min="11267" max="11267" width="9.140625" style="29" bestFit="1" customWidth="1"/>
    <col min="11268" max="11315" width="8.28515625" style="29" bestFit="1" customWidth="1"/>
    <col min="11316" max="11520" width="9.140625" style="29"/>
    <col min="11521" max="11521" width="81.140625" style="29" bestFit="1" customWidth="1"/>
    <col min="11522" max="11522" width="11.85546875" style="29" bestFit="1" customWidth="1"/>
    <col min="11523" max="11523" width="9.140625" style="29" bestFit="1" customWidth="1"/>
    <col min="11524" max="11571" width="8.28515625" style="29" bestFit="1" customWidth="1"/>
    <col min="11572" max="11776" width="9.140625" style="29"/>
    <col min="11777" max="11777" width="81.140625" style="29" bestFit="1" customWidth="1"/>
    <col min="11778" max="11778" width="11.85546875" style="29" bestFit="1" customWidth="1"/>
    <col min="11779" max="11779" width="9.140625" style="29" bestFit="1" customWidth="1"/>
    <col min="11780" max="11827" width="8.28515625" style="29" bestFit="1" customWidth="1"/>
    <col min="11828" max="12032" width="9.140625" style="29"/>
    <col min="12033" max="12033" width="81.140625" style="29" bestFit="1" customWidth="1"/>
    <col min="12034" max="12034" width="11.85546875" style="29" bestFit="1" customWidth="1"/>
    <col min="12035" max="12035" width="9.140625" style="29" bestFit="1" customWidth="1"/>
    <col min="12036" max="12083" width="8.28515625" style="29" bestFit="1" customWidth="1"/>
    <col min="12084" max="12288" width="9.140625" style="29"/>
    <col min="12289" max="12289" width="81.140625" style="29" bestFit="1" customWidth="1"/>
    <col min="12290" max="12290" width="11.85546875" style="29" bestFit="1" customWidth="1"/>
    <col min="12291" max="12291" width="9.140625" style="29" bestFit="1" customWidth="1"/>
    <col min="12292" max="12339" width="8.28515625" style="29" bestFit="1" customWidth="1"/>
    <col min="12340" max="12544" width="9.140625" style="29"/>
    <col min="12545" max="12545" width="81.140625" style="29" bestFit="1" customWidth="1"/>
    <col min="12546" max="12546" width="11.85546875" style="29" bestFit="1" customWidth="1"/>
    <col min="12547" max="12547" width="9.140625" style="29" bestFit="1" customWidth="1"/>
    <col min="12548" max="12595" width="8.28515625" style="29" bestFit="1" customWidth="1"/>
    <col min="12596" max="12800" width="9.140625" style="29"/>
    <col min="12801" max="12801" width="81.140625" style="29" bestFit="1" customWidth="1"/>
    <col min="12802" max="12802" width="11.85546875" style="29" bestFit="1" customWidth="1"/>
    <col min="12803" max="12803" width="9.140625" style="29" bestFit="1" customWidth="1"/>
    <col min="12804" max="12851" width="8.28515625" style="29" bestFit="1" customWidth="1"/>
    <col min="12852" max="13056" width="9.140625" style="29"/>
    <col min="13057" max="13057" width="81.140625" style="29" bestFit="1" customWidth="1"/>
    <col min="13058" max="13058" width="11.85546875" style="29" bestFit="1" customWidth="1"/>
    <col min="13059" max="13059" width="9.140625" style="29" bestFit="1" customWidth="1"/>
    <col min="13060" max="13107" width="8.28515625" style="29" bestFit="1" customWidth="1"/>
    <col min="13108" max="13312" width="9.140625" style="29"/>
    <col min="13313" max="13313" width="81.140625" style="29" bestFit="1" customWidth="1"/>
    <col min="13314" max="13314" width="11.85546875" style="29" bestFit="1" customWidth="1"/>
    <col min="13315" max="13315" width="9.140625" style="29" bestFit="1" customWidth="1"/>
    <col min="13316" max="13363" width="8.28515625" style="29" bestFit="1" customWidth="1"/>
    <col min="13364" max="13568" width="9.140625" style="29"/>
    <col min="13569" max="13569" width="81.140625" style="29" bestFit="1" customWidth="1"/>
    <col min="13570" max="13570" width="11.85546875" style="29" bestFit="1" customWidth="1"/>
    <col min="13571" max="13571" width="9.140625" style="29" bestFit="1" customWidth="1"/>
    <col min="13572" max="13619" width="8.28515625" style="29" bestFit="1" customWidth="1"/>
    <col min="13620" max="13824" width="9.140625" style="29"/>
    <col min="13825" max="13825" width="81.140625" style="29" bestFit="1" customWidth="1"/>
    <col min="13826" max="13826" width="11.85546875" style="29" bestFit="1" customWidth="1"/>
    <col min="13827" max="13827" width="9.140625" style="29" bestFit="1" customWidth="1"/>
    <col min="13828" max="13875" width="8.28515625" style="29" bestFit="1" customWidth="1"/>
    <col min="13876" max="14080" width="9.140625" style="29"/>
    <col min="14081" max="14081" width="81.140625" style="29" bestFit="1" customWidth="1"/>
    <col min="14082" max="14082" width="11.85546875" style="29" bestFit="1" customWidth="1"/>
    <col min="14083" max="14083" width="9.140625" style="29" bestFit="1" customWidth="1"/>
    <col min="14084" max="14131" width="8.28515625" style="29" bestFit="1" customWidth="1"/>
    <col min="14132" max="14336" width="9.140625" style="29"/>
    <col min="14337" max="14337" width="81.140625" style="29" bestFit="1" customWidth="1"/>
    <col min="14338" max="14338" width="11.85546875" style="29" bestFit="1" customWidth="1"/>
    <col min="14339" max="14339" width="9.140625" style="29" bestFit="1" customWidth="1"/>
    <col min="14340" max="14387" width="8.28515625" style="29" bestFit="1" customWidth="1"/>
    <col min="14388" max="14592" width="9.140625" style="29"/>
    <col min="14593" max="14593" width="81.140625" style="29" bestFit="1" customWidth="1"/>
    <col min="14594" max="14594" width="11.85546875" style="29" bestFit="1" customWidth="1"/>
    <col min="14595" max="14595" width="9.140625" style="29" bestFit="1" customWidth="1"/>
    <col min="14596" max="14643" width="8.28515625" style="29" bestFit="1" customWidth="1"/>
    <col min="14644" max="14848" width="9.140625" style="29"/>
    <col min="14849" max="14849" width="81.140625" style="29" bestFit="1" customWidth="1"/>
    <col min="14850" max="14850" width="11.85546875" style="29" bestFit="1" customWidth="1"/>
    <col min="14851" max="14851" width="9.140625" style="29" bestFit="1" customWidth="1"/>
    <col min="14852" max="14899" width="8.28515625" style="29" bestFit="1" customWidth="1"/>
    <col min="14900" max="15104" width="9.140625" style="29"/>
    <col min="15105" max="15105" width="81.140625" style="29" bestFit="1" customWidth="1"/>
    <col min="15106" max="15106" width="11.85546875" style="29" bestFit="1" customWidth="1"/>
    <col min="15107" max="15107" width="9.140625" style="29" bestFit="1" customWidth="1"/>
    <col min="15108" max="15155" width="8.28515625" style="29" bestFit="1" customWidth="1"/>
    <col min="15156" max="15360" width="9.140625" style="29"/>
    <col min="15361" max="15361" width="81.140625" style="29" bestFit="1" customWidth="1"/>
    <col min="15362" max="15362" width="11.85546875" style="29" bestFit="1" customWidth="1"/>
    <col min="15363" max="15363" width="9.140625" style="29" bestFit="1" customWidth="1"/>
    <col min="15364" max="15411" width="8.28515625" style="29" bestFit="1" customWidth="1"/>
    <col min="15412" max="15616" width="9.140625" style="29"/>
    <col min="15617" max="15617" width="81.140625" style="29" bestFit="1" customWidth="1"/>
    <col min="15618" max="15618" width="11.85546875" style="29" bestFit="1" customWidth="1"/>
    <col min="15619" max="15619" width="9.140625" style="29" bestFit="1" customWidth="1"/>
    <col min="15620" max="15667" width="8.28515625" style="29" bestFit="1" customWidth="1"/>
    <col min="15668" max="15872" width="9.140625" style="29"/>
    <col min="15873" max="15873" width="81.140625" style="29" bestFit="1" customWidth="1"/>
    <col min="15874" max="15874" width="11.85546875" style="29" bestFit="1" customWidth="1"/>
    <col min="15875" max="15875" width="9.140625" style="29" bestFit="1" customWidth="1"/>
    <col min="15876" max="15923" width="8.28515625" style="29" bestFit="1" customWidth="1"/>
    <col min="15924" max="16128" width="9.140625" style="29"/>
    <col min="16129" max="16129" width="81.140625" style="29" bestFit="1" customWidth="1"/>
    <col min="16130" max="16130" width="11.85546875" style="29" bestFit="1" customWidth="1"/>
    <col min="16131" max="16131" width="9.140625" style="29" bestFit="1" customWidth="1"/>
    <col min="16132" max="16179" width="8.28515625" style="29" bestFit="1" customWidth="1"/>
    <col min="16180" max="16384" width="9.140625" style="29"/>
  </cols>
  <sheetData>
    <row r="1" spans="2:52" s="701" customFormat="1" ht="19.5" thickBot="1">
      <c r="B1" s="702" t="s">
        <v>243</v>
      </c>
      <c r="C1" s="703" t="s">
        <v>520</v>
      </c>
      <c r="D1" s="704"/>
      <c r="E1" s="704"/>
      <c r="F1" s="704"/>
      <c r="G1" s="704"/>
      <c r="H1" s="704"/>
      <c r="I1" s="704"/>
      <c r="J1" s="704"/>
      <c r="K1" s="704"/>
      <c r="L1" s="704"/>
      <c r="M1" s="704"/>
      <c r="N1" s="704"/>
      <c r="O1" s="704"/>
      <c r="P1" s="704"/>
      <c r="Q1" s="704"/>
      <c r="R1" s="704"/>
      <c r="S1" s="704"/>
      <c r="T1" s="704"/>
      <c r="U1" s="704"/>
      <c r="V1" s="704"/>
      <c r="W1" s="704"/>
      <c r="X1" s="704"/>
      <c r="Y1" s="704"/>
      <c r="Z1" s="704"/>
      <c r="AA1" s="704"/>
      <c r="AB1" s="704"/>
      <c r="AC1" s="704"/>
      <c r="AD1" s="704"/>
      <c r="AE1" s="704"/>
      <c r="AF1" s="704"/>
      <c r="AG1" s="704"/>
      <c r="AH1" s="704"/>
      <c r="AI1" s="704"/>
      <c r="AJ1" s="704"/>
      <c r="AK1" s="704"/>
      <c r="AL1" s="704"/>
      <c r="AM1" s="704"/>
      <c r="AN1" s="704"/>
      <c r="AO1" s="704"/>
      <c r="AP1" s="704"/>
      <c r="AQ1" s="704"/>
      <c r="AR1" s="704"/>
      <c r="AS1" s="704"/>
      <c r="AT1" s="704"/>
      <c r="AU1" s="704"/>
      <c r="AV1" s="704"/>
      <c r="AW1" s="704"/>
      <c r="AX1" s="704"/>
      <c r="AY1" s="704"/>
      <c r="AZ1" s="704"/>
    </row>
    <row r="2" spans="2:52" s="701" customFormat="1" ht="12.75" thickBot="1">
      <c r="C2" s="705" t="s">
        <v>244</v>
      </c>
      <c r="D2" s="706">
        <v>5.5E-2</v>
      </c>
      <c r="E2" s="704"/>
      <c r="F2" s="704"/>
      <c r="G2" s="704"/>
      <c r="H2" s="704"/>
      <c r="I2" s="704"/>
      <c r="J2" s="704"/>
      <c r="K2" s="704"/>
      <c r="L2" s="704"/>
      <c r="M2" s="704"/>
      <c r="N2" s="704"/>
      <c r="O2" s="704"/>
      <c r="P2" s="704"/>
      <c r="Q2" s="704"/>
      <c r="R2" s="704"/>
      <c r="S2" s="704"/>
      <c r="T2" s="704"/>
      <c r="U2" s="704"/>
      <c r="V2" s="704"/>
      <c r="W2" s="704"/>
      <c r="X2" s="704"/>
      <c r="Y2" s="704"/>
      <c r="Z2" s="704"/>
      <c r="AA2" s="704"/>
      <c r="AB2" s="704"/>
      <c r="AC2" s="704"/>
      <c r="AD2" s="704"/>
      <c r="AE2" s="704"/>
      <c r="AF2" s="704"/>
      <c r="AG2" s="704"/>
      <c r="AH2" s="704"/>
      <c r="AI2" s="704"/>
      <c r="AJ2" s="704"/>
      <c r="AK2" s="704"/>
      <c r="AL2" s="704"/>
      <c r="AM2" s="704"/>
      <c r="AN2" s="704"/>
      <c r="AO2" s="704"/>
      <c r="AP2" s="704"/>
      <c r="AQ2" s="704"/>
      <c r="AR2" s="704"/>
      <c r="AS2" s="704"/>
      <c r="AT2" s="704"/>
      <c r="AU2" s="704"/>
      <c r="AV2" s="704"/>
      <c r="AW2" s="704"/>
      <c r="AX2" s="704"/>
      <c r="AY2" s="704"/>
      <c r="AZ2" s="704"/>
    </row>
    <row r="3" spans="2:52" s="701" customFormat="1" ht="15.75" thickBot="1">
      <c r="B3" s="707" t="s">
        <v>245</v>
      </c>
      <c r="C3" s="704"/>
      <c r="D3" s="704"/>
      <c r="E3" s="704"/>
      <c r="F3" s="704"/>
      <c r="G3" s="704"/>
      <c r="H3" s="704"/>
      <c r="I3" s="704"/>
      <c r="J3" s="704"/>
      <c r="K3" s="704"/>
      <c r="L3" s="704"/>
      <c r="M3" s="704"/>
      <c r="N3" s="704"/>
      <c r="O3" s="704"/>
      <c r="P3" s="704"/>
      <c r="Q3" s="704"/>
      <c r="R3" s="704"/>
      <c r="S3" s="704"/>
      <c r="T3" s="704"/>
      <c r="U3" s="704"/>
      <c r="V3" s="704"/>
      <c r="W3" s="704"/>
      <c r="X3" s="704"/>
      <c r="Y3" s="704"/>
      <c r="Z3" s="704"/>
      <c r="AA3" s="704"/>
      <c r="AB3" s="704"/>
      <c r="AC3" s="704"/>
      <c r="AD3" s="704"/>
      <c r="AE3" s="704"/>
      <c r="AF3" s="704"/>
      <c r="AG3" s="704"/>
      <c r="AH3" s="704"/>
      <c r="AI3" s="704"/>
      <c r="AJ3" s="704"/>
      <c r="AK3" s="704"/>
      <c r="AL3" s="704"/>
      <c r="AM3" s="704"/>
      <c r="AN3" s="704"/>
      <c r="AO3" s="704"/>
      <c r="AP3" s="704"/>
      <c r="AQ3" s="704"/>
      <c r="AR3" s="704"/>
      <c r="AS3" s="704"/>
      <c r="AT3" s="704"/>
      <c r="AU3" s="704"/>
      <c r="AV3" s="704"/>
      <c r="AW3" s="704"/>
      <c r="AX3" s="704"/>
      <c r="AY3" s="704"/>
      <c r="AZ3" s="704"/>
    </row>
    <row r="4" spans="2:52" s="708" customFormat="1" ht="12.75" thickBot="1">
      <c r="B4" s="709" t="s">
        <v>214</v>
      </c>
      <c r="C4" s="710">
        <v>2012</v>
      </c>
      <c r="D4" s="711">
        <v>2013</v>
      </c>
      <c r="E4" s="710">
        <v>2014</v>
      </c>
      <c r="F4" s="711">
        <v>2015</v>
      </c>
      <c r="G4" s="710">
        <v>2016</v>
      </c>
      <c r="H4" s="711">
        <v>2017</v>
      </c>
      <c r="I4" s="710">
        <v>2018</v>
      </c>
      <c r="J4" s="711">
        <v>2019</v>
      </c>
      <c r="K4" s="710">
        <v>2020</v>
      </c>
      <c r="L4" s="711">
        <v>2021</v>
      </c>
      <c r="M4" s="710">
        <v>2022</v>
      </c>
      <c r="N4" s="711">
        <v>2023</v>
      </c>
      <c r="O4" s="710">
        <v>2024</v>
      </c>
      <c r="P4" s="711">
        <v>2025</v>
      </c>
      <c r="Q4" s="710">
        <v>2026</v>
      </c>
      <c r="R4" s="711">
        <v>2027</v>
      </c>
      <c r="S4" s="710">
        <v>2028</v>
      </c>
      <c r="T4" s="711">
        <v>2029</v>
      </c>
      <c r="U4" s="710">
        <v>2030</v>
      </c>
      <c r="V4" s="711">
        <v>2031</v>
      </c>
      <c r="W4" s="710">
        <v>2032</v>
      </c>
      <c r="X4" s="711">
        <v>2033</v>
      </c>
      <c r="Y4" s="710">
        <v>2034</v>
      </c>
      <c r="Z4" s="711">
        <v>2035</v>
      </c>
      <c r="AA4" s="710">
        <v>2036</v>
      </c>
      <c r="AB4" s="711">
        <v>2037</v>
      </c>
      <c r="AC4" s="710">
        <v>2038</v>
      </c>
      <c r="AD4" s="711">
        <v>2039</v>
      </c>
      <c r="AE4" s="710">
        <v>2040</v>
      </c>
      <c r="AF4" s="711">
        <v>2041</v>
      </c>
      <c r="AG4" s="710">
        <v>2042</v>
      </c>
      <c r="AH4" s="711">
        <v>2043</v>
      </c>
      <c r="AI4" s="710">
        <v>2044</v>
      </c>
      <c r="AJ4" s="711">
        <v>2045</v>
      </c>
      <c r="AK4" s="710">
        <v>2046</v>
      </c>
      <c r="AL4" s="711">
        <v>2047</v>
      </c>
      <c r="AM4" s="710">
        <v>2048</v>
      </c>
      <c r="AN4" s="711">
        <v>2049</v>
      </c>
      <c r="AO4" s="710">
        <v>2050</v>
      </c>
      <c r="AP4" s="711">
        <v>2051</v>
      </c>
      <c r="AQ4" s="710">
        <v>2052</v>
      </c>
      <c r="AR4" s="711">
        <v>2053</v>
      </c>
      <c r="AS4" s="710">
        <v>2054</v>
      </c>
      <c r="AT4" s="711">
        <v>2055</v>
      </c>
      <c r="AU4" s="710">
        <v>2056</v>
      </c>
      <c r="AV4" s="711">
        <v>2057</v>
      </c>
      <c r="AW4" s="710">
        <v>2058</v>
      </c>
      <c r="AX4" s="711">
        <v>2059</v>
      </c>
      <c r="AY4" s="710">
        <v>2060</v>
      </c>
      <c r="AZ4" s="711">
        <v>2061</v>
      </c>
    </row>
    <row r="5" spans="2:52" s="708" customFormat="1">
      <c r="B5" s="712" t="s">
        <v>521</v>
      </c>
      <c r="C5" s="713">
        <v>6.5588502098988602E-2</v>
      </c>
      <c r="D5" s="714">
        <v>6.5435445711828133E-2</v>
      </c>
      <c r="E5" s="714">
        <v>6.5282747024346111E-2</v>
      </c>
      <c r="F5" s="714">
        <v>6.5130405199274086E-2</v>
      </c>
      <c r="G5" s="714">
        <v>6.5290245871708744E-2</v>
      </c>
      <c r="H5" s="714">
        <v>6.5450478819310237E-2</v>
      </c>
      <c r="I5" s="714">
        <v>6.5611105004785966E-2</v>
      </c>
      <c r="J5" s="714">
        <v>6.5772125393206066E-2</v>
      </c>
      <c r="K5" s="714">
        <v>6.5933540952009068E-2</v>
      </c>
      <c r="L5" s="714">
        <v>6.6095352651007758E-2</v>
      </c>
      <c r="M5" s="714">
        <v>6.6257561462395004E-2</v>
      </c>
      <c r="N5" s="714">
        <v>6.6420168360749557E-2</v>
      </c>
      <c r="O5" s="714">
        <v>6.6583174323042019E-2</v>
      </c>
      <c r="P5" s="714">
        <v>6.6583174323042019E-2</v>
      </c>
      <c r="Q5" s="714">
        <v>6.6583174323042019E-2</v>
      </c>
      <c r="R5" s="714">
        <v>6.6583174323042019E-2</v>
      </c>
      <c r="S5" s="714">
        <v>6.6583174323042005E-2</v>
      </c>
      <c r="T5" s="714">
        <v>6.6583174323042005E-2</v>
      </c>
      <c r="U5" s="714">
        <v>6.6583174323042005E-2</v>
      </c>
      <c r="V5" s="714">
        <v>6.6583174323042005E-2</v>
      </c>
      <c r="W5" s="714">
        <v>6.6583174323042005E-2</v>
      </c>
      <c r="X5" s="714">
        <v>6.6583174323042005E-2</v>
      </c>
      <c r="Y5" s="714">
        <v>6.6583174323042005E-2</v>
      </c>
      <c r="Z5" s="714">
        <v>6.6583174323042005E-2</v>
      </c>
      <c r="AA5" s="714">
        <v>6.6583174323042005E-2</v>
      </c>
      <c r="AB5" s="714">
        <v>6.6583174323042005E-2</v>
      </c>
      <c r="AC5" s="714">
        <v>6.6583174323042005E-2</v>
      </c>
      <c r="AD5" s="714">
        <v>6.6583174323042005E-2</v>
      </c>
      <c r="AE5" s="714">
        <v>6.6583174323042005E-2</v>
      </c>
      <c r="AF5" s="714">
        <v>6.6583174323042005E-2</v>
      </c>
      <c r="AG5" s="714">
        <v>6.6583174323042005E-2</v>
      </c>
      <c r="AH5" s="714">
        <v>6.6583174323042005E-2</v>
      </c>
      <c r="AI5" s="714">
        <v>6.6583174323042005E-2</v>
      </c>
      <c r="AJ5" s="714">
        <v>6.6583174323042005E-2</v>
      </c>
      <c r="AK5" s="714">
        <v>6.6583174323042005E-2</v>
      </c>
      <c r="AL5" s="714">
        <v>6.6583174323042005E-2</v>
      </c>
      <c r="AM5" s="714">
        <v>6.6583174323042005E-2</v>
      </c>
      <c r="AN5" s="714">
        <v>6.6583174323042005E-2</v>
      </c>
      <c r="AO5" s="714">
        <v>6.6583174323042005E-2</v>
      </c>
      <c r="AP5" s="714">
        <v>6.6583174323042005E-2</v>
      </c>
      <c r="AQ5" s="714">
        <v>6.6583174323042005E-2</v>
      </c>
      <c r="AR5" s="714">
        <v>6.6583174323042005E-2</v>
      </c>
      <c r="AS5" s="714">
        <v>6.6583174323042005E-2</v>
      </c>
      <c r="AT5" s="714">
        <v>6.6583174323042005E-2</v>
      </c>
      <c r="AU5" s="714">
        <v>6.6583174323042005E-2</v>
      </c>
      <c r="AV5" s="714">
        <v>6.6583174323042005E-2</v>
      </c>
      <c r="AW5" s="714">
        <v>6.6583174323042005E-2</v>
      </c>
      <c r="AX5" s="714">
        <v>6.6586025539465465E-2</v>
      </c>
      <c r="AY5" s="714">
        <v>6.6586025539465465E-2</v>
      </c>
      <c r="AZ5" s="715">
        <v>6.6586025539465465E-2</v>
      </c>
    </row>
    <row r="6" spans="2:52" s="708" customFormat="1">
      <c r="B6" s="716" t="s">
        <v>522</v>
      </c>
      <c r="C6" s="717">
        <v>8.2733317921206181E-2</v>
      </c>
      <c r="D6" s="718">
        <v>8.2091437401162343E-2</v>
      </c>
      <c r="E6" s="718">
        <v>8.1454536865148627E-2</v>
      </c>
      <c r="F6" s="718">
        <v>8.0822577676315802E-2</v>
      </c>
      <c r="G6" s="718">
        <v>8.102092950790904E-2</v>
      </c>
      <c r="H6" s="718">
        <v>8.1219768127355679E-2</v>
      </c>
      <c r="I6" s="718">
        <v>8.141909472931283E-2</v>
      </c>
      <c r="J6" s="718">
        <v>8.1618910511369408E-2</v>
      </c>
      <c r="K6" s="718">
        <v>8.1819216674053424E-2</v>
      </c>
      <c r="L6" s="718">
        <v>8.2020014420839171E-2</v>
      </c>
      <c r="M6" s="718">
        <v>8.2221304958154509E-2</v>
      </c>
      <c r="N6" s="718">
        <v>8.2423089495388027E-2</v>
      </c>
      <c r="O6" s="718">
        <v>8.2625369244896343E-2</v>
      </c>
      <c r="P6" s="718">
        <v>8.2625369244896343E-2</v>
      </c>
      <c r="Q6" s="718">
        <v>8.2625369244896343E-2</v>
      </c>
      <c r="R6" s="718">
        <v>8.2625369244896357E-2</v>
      </c>
      <c r="S6" s="718">
        <v>8.2625369244896343E-2</v>
      </c>
      <c r="T6" s="718">
        <v>8.2625369244896343E-2</v>
      </c>
      <c r="U6" s="718">
        <v>8.2625369244896343E-2</v>
      </c>
      <c r="V6" s="718">
        <v>8.2625369244896343E-2</v>
      </c>
      <c r="W6" s="718">
        <v>8.2625369244896343E-2</v>
      </c>
      <c r="X6" s="718">
        <v>8.2625369244896343E-2</v>
      </c>
      <c r="Y6" s="718">
        <v>8.2625369244896343E-2</v>
      </c>
      <c r="Z6" s="718">
        <v>8.2625369244896343E-2</v>
      </c>
      <c r="AA6" s="718">
        <v>8.2625369244896343E-2</v>
      </c>
      <c r="AB6" s="718">
        <v>8.2625369244896343E-2</v>
      </c>
      <c r="AC6" s="718">
        <v>8.2625369244896343E-2</v>
      </c>
      <c r="AD6" s="718">
        <v>8.2625369244896343E-2</v>
      </c>
      <c r="AE6" s="718">
        <v>8.2625369244896343E-2</v>
      </c>
      <c r="AF6" s="718">
        <v>8.2625369244896343E-2</v>
      </c>
      <c r="AG6" s="718">
        <v>8.2625369244896343E-2</v>
      </c>
      <c r="AH6" s="718">
        <v>8.2625369244896343E-2</v>
      </c>
      <c r="AI6" s="718">
        <v>8.2625369244896343E-2</v>
      </c>
      <c r="AJ6" s="718">
        <v>8.2625369244896343E-2</v>
      </c>
      <c r="AK6" s="718">
        <v>8.2625369244896343E-2</v>
      </c>
      <c r="AL6" s="718">
        <v>8.2625369244896343E-2</v>
      </c>
      <c r="AM6" s="718">
        <v>8.2625369244896343E-2</v>
      </c>
      <c r="AN6" s="718">
        <v>8.2625369244896343E-2</v>
      </c>
      <c r="AO6" s="718">
        <v>8.2625369244896343E-2</v>
      </c>
      <c r="AP6" s="718">
        <v>8.2625369244896343E-2</v>
      </c>
      <c r="AQ6" s="718">
        <v>8.2625369244896343E-2</v>
      </c>
      <c r="AR6" s="718">
        <v>8.2625369244896343E-2</v>
      </c>
      <c r="AS6" s="718">
        <v>8.2625369244896343E-2</v>
      </c>
      <c r="AT6" s="718">
        <v>8.2625369244896343E-2</v>
      </c>
      <c r="AU6" s="718">
        <v>8.2625369244896343E-2</v>
      </c>
      <c r="AV6" s="718">
        <v>8.2625369244896343E-2</v>
      </c>
      <c r="AW6" s="718">
        <v>8.2625369244896343E-2</v>
      </c>
      <c r="AX6" s="718">
        <v>8.2629310344827595E-2</v>
      </c>
      <c r="AY6" s="718">
        <v>8.2629310344827595E-2</v>
      </c>
      <c r="AZ6" s="719">
        <v>8.2629310344827595E-2</v>
      </c>
    </row>
    <row r="7" spans="2:52" s="708" customFormat="1">
      <c r="B7" s="716" t="s">
        <v>523</v>
      </c>
      <c r="C7" s="717">
        <v>8.4651579508867661E-2</v>
      </c>
      <c r="D7" s="718">
        <v>8.4336349386247261E-2</v>
      </c>
      <c r="E7" s="718">
        <v>8.4022293134578652E-2</v>
      </c>
      <c r="F7" s="718">
        <v>8.3709406382537752E-2</v>
      </c>
      <c r="G7" s="718">
        <v>8.3914842964182709E-2</v>
      </c>
      <c r="H7" s="718">
        <v>8.4120783720817119E-2</v>
      </c>
      <c r="I7" s="718">
        <v>8.4327229889768873E-2</v>
      </c>
      <c r="J7" s="718">
        <v>8.4534182711402506E-2</v>
      </c>
      <c r="K7" s="718">
        <v>8.4741643429126642E-2</v>
      </c>
      <c r="L7" s="718">
        <v>8.4949613289401385E-2</v>
      </c>
      <c r="M7" s="718">
        <v>8.5158093541745861E-2</v>
      </c>
      <c r="N7" s="718">
        <v>8.5367085438745716E-2</v>
      </c>
      <c r="O7" s="718">
        <v>8.5576590236060679E-2</v>
      </c>
      <c r="P7" s="718">
        <v>8.5576590236060679E-2</v>
      </c>
      <c r="Q7" s="718">
        <v>8.5576590236060679E-2</v>
      </c>
      <c r="R7" s="718">
        <v>8.5576590236060679E-2</v>
      </c>
      <c r="S7" s="718">
        <v>8.5576590236060679E-2</v>
      </c>
      <c r="T7" s="718">
        <v>8.5576590236060679E-2</v>
      </c>
      <c r="U7" s="718">
        <v>8.5576590236060679E-2</v>
      </c>
      <c r="V7" s="718">
        <v>8.5576590236060679E-2</v>
      </c>
      <c r="W7" s="718">
        <v>8.5576590236060679E-2</v>
      </c>
      <c r="X7" s="718">
        <v>8.5576590236060679E-2</v>
      </c>
      <c r="Y7" s="718">
        <v>8.5576590236060679E-2</v>
      </c>
      <c r="Z7" s="718">
        <v>8.5576590236060679E-2</v>
      </c>
      <c r="AA7" s="718">
        <v>8.5576590236060679E-2</v>
      </c>
      <c r="AB7" s="718">
        <v>8.5576590236060679E-2</v>
      </c>
      <c r="AC7" s="718">
        <v>8.5576590236060679E-2</v>
      </c>
      <c r="AD7" s="718">
        <v>8.5576590236060679E-2</v>
      </c>
      <c r="AE7" s="718">
        <v>8.5576590236060679E-2</v>
      </c>
      <c r="AF7" s="718">
        <v>8.5576590236060679E-2</v>
      </c>
      <c r="AG7" s="718">
        <v>8.5576590236060679E-2</v>
      </c>
      <c r="AH7" s="718">
        <v>8.5576590236060679E-2</v>
      </c>
      <c r="AI7" s="718">
        <v>8.5576590236060679E-2</v>
      </c>
      <c r="AJ7" s="718">
        <v>8.5576590236060679E-2</v>
      </c>
      <c r="AK7" s="718">
        <v>8.5576590236060679E-2</v>
      </c>
      <c r="AL7" s="718">
        <v>8.5576590236060679E-2</v>
      </c>
      <c r="AM7" s="718">
        <v>8.5576590236060679E-2</v>
      </c>
      <c r="AN7" s="718">
        <v>8.5576590236060679E-2</v>
      </c>
      <c r="AO7" s="718">
        <v>8.5576590236060679E-2</v>
      </c>
      <c r="AP7" s="718">
        <v>8.5576590236060679E-2</v>
      </c>
      <c r="AQ7" s="718">
        <v>8.5576590236060679E-2</v>
      </c>
      <c r="AR7" s="718">
        <v>8.5576590236060679E-2</v>
      </c>
      <c r="AS7" s="718">
        <v>8.5576590236060679E-2</v>
      </c>
      <c r="AT7" s="718">
        <v>8.5576590236060679E-2</v>
      </c>
      <c r="AU7" s="718">
        <v>8.5576590236060679E-2</v>
      </c>
      <c r="AV7" s="718">
        <v>8.5576590236060679E-2</v>
      </c>
      <c r="AW7" s="718">
        <v>8.5576590236060679E-2</v>
      </c>
      <c r="AX7" s="718">
        <v>8.5580000000000003E-2</v>
      </c>
      <c r="AY7" s="718">
        <v>8.5580000000000003E-2</v>
      </c>
      <c r="AZ7" s="719">
        <v>8.5580000000000003E-2</v>
      </c>
    </row>
    <row r="8" spans="2:52" s="708" customFormat="1">
      <c r="B8" s="716" t="s">
        <v>524</v>
      </c>
      <c r="C8" s="720">
        <v>99.234913793103445</v>
      </c>
      <c r="D8" s="721">
        <v>105.54956896551722</v>
      </c>
      <c r="E8" s="721">
        <v>111.48706896551724</v>
      </c>
      <c r="F8" s="721">
        <v>117.06896551724135</v>
      </c>
      <c r="G8" s="721">
        <v>122.32758620689656</v>
      </c>
      <c r="H8" s="721">
        <v>127.26293103448275</v>
      </c>
      <c r="I8" s="721">
        <v>131.90732758620689</v>
      </c>
      <c r="J8" s="721">
        <v>136.27155172413794</v>
      </c>
      <c r="K8" s="721">
        <v>140.3663793103448</v>
      </c>
      <c r="L8" s="721">
        <v>144.21336206896549</v>
      </c>
      <c r="M8" s="721">
        <v>144.21336206896549</v>
      </c>
      <c r="N8" s="721">
        <v>144.21336206896549</v>
      </c>
      <c r="O8" s="721">
        <v>144.21336206896549</v>
      </c>
      <c r="P8" s="721">
        <v>144.21336206896549</v>
      </c>
      <c r="Q8" s="721">
        <v>144.21336206896549</v>
      </c>
      <c r="R8" s="721">
        <v>144.21336206896549</v>
      </c>
      <c r="S8" s="721">
        <v>144.21336206896549</v>
      </c>
      <c r="T8" s="721">
        <v>144.21336206896549</v>
      </c>
      <c r="U8" s="721">
        <v>144.21336206896549</v>
      </c>
      <c r="V8" s="721">
        <v>144.21336206896549</v>
      </c>
      <c r="W8" s="721">
        <v>144.21336206896549</v>
      </c>
      <c r="X8" s="721">
        <v>144.21336206896549</v>
      </c>
      <c r="Y8" s="721">
        <v>144.21336206896549</v>
      </c>
      <c r="Z8" s="721">
        <v>144.21336206896549</v>
      </c>
      <c r="AA8" s="721">
        <v>144.21336206896549</v>
      </c>
      <c r="AB8" s="721">
        <v>144.21336206896549</v>
      </c>
      <c r="AC8" s="721">
        <v>144.21336206896549</v>
      </c>
      <c r="AD8" s="721">
        <v>144.21336206896549</v>
      </c>
      <c r="AE8" s="721">
        <v>144.21336206896549</v>
      </c>
      <c r="AF8" s="721">
        <v>144.21336206896549</v>
      </c>
      <c r="AG8" s="721">
        <v>144.21336206896549</v>
      </c>
      <c r="AH8" s="721">
        <v>144.21336206896549</v>
      </c>
      <c r="AI8" s="721">
        <v>144.21336206896549</v>
      </c>
      <c r="AJ8" s="721">
        <v>144.21336206896549</v>
      </c>
      <c r="AK8" s="721">
        <v>144.21336206896549</v>
      </c>
      <c r="AL8" s="721">
        <v>144.21336206896549</v>
      </c>
      <c r="AM8" s="721">
        <v>144.21336206896549</v>
      </c>
      <c r="AN8" s="721">
        <v>144.21336206896549</v>
      </c>
      <c r="AO8" s="721">
        <v>144.21336206896549</v>
      </c>
      <c r="AP8" s="721">
        <v>144.21336206896549</v>
      </c>
      <c r="AQ8" s="721">
        <v>144.21336206896549</v>
      </c>
      <c r="AR8" s="721">
        <v>144.21336206896549</v>
      </c>
      <c r="AS8" s="721">
        <v>144.21336206896549</v>
      </c>
      <c r="AT8" s="721">
        <v>144.21336206896549</v>
      </c>
      <c r="AU8" s="721">
        <v>144.21336206896549</v>
      </c>
      <c r="AV8" s="721">
        <v>144.21336206896549</v>
      </c>
      <c r="AW8" s="721">
        <v>144.21336206896549</v>
      </c>
      <c r="AX8" s="721">
        <v>144.21336206896501</v>
      </c>
      <c r="AY8" s="721">
        <v>144.21336206896501</v>
      </c>
      <c r="AZ8" s="722">
        <v>144.21336206896501</v>
      </c>
    </row>
    <row r="9" spans="2:52" s="708" customFormat="1">
      <c r="B9" s="716" t="s">
        <v>525</v>
      </c>
      <c r="C9" s="720">
        <v>236.22844827586206</v>
      </c>
      <c r="D9" s="721">
        <v>242.54310344827584</v>
      </c>
      <c r="E9" s="721">
        <v>238.18965517241381</v>
      </c>
      <c r="F9" s="721">
        <v>229.91379310344828</v>
      </c>
      <c r="G9" s="721">
        <v>239.53663793103451</v>
      </c>
      <c r="H9" s="721">
        <v>254.39655172413794</v>
      </c>
      <c r="I9" s="721">
        <v>255.54956896551724</v>
      </c>
      <c r="J9" s="721">
        <v>256.58405172413791</v>
      </c>
      <c r="K9" s="721">
        <v>257.52155172413791</v>
      </c>
      <c r="L9" s="721">
        <v>258.36206896551721</v>
      </c>
      <c r="M9" s="721">
        <v>258.36206896551721</v>
      </c>
      <c r="N9" s="721">
        <v>258.36206896551721</v>
      </c>
      <c r="O9" s="721">
        <v>258.36206896551721</v>
      </c>
      <c r="P9" s="721">
        <v>258.36206896551721</v>
      </c>
      <c r="Q9" s="721">
        <v>258.36206896551721</v>
      </c>
      <c r="R9" s="721">
        <v>258.36206896551721</v>
      </c>
      <c r="S9" s="721">
        <v>258.36206896551721</v>
      </c>
      <c r="T9" s="721">
        <v>258.36206896551721</v>
      </c>
      <c r="U9" s="721">
        <v>258.36206896551721</v>
      </c>
      <c r="V9" s="721">
        <v>258.36206896551721</v>
      </c>
      <c r="W9" s="721">
        <v>258.36206896551721</v>
      </c>
      <c r="X9" s="721">
        <v>258.36206896551721</v>
      </c>
      <c r="Y9" s="721">
        <v>258.36206896551721</v>
      </c>
      <c r="Z9" s="721">
        <v>258.36206896551721</v>
      </c>
      <c r="AA9" s="721">
        <v>258.36206896551721</v>
      </c>
      <c r="AB9" s="721">
        <v>258.36206896551721</v>
      </c>
      <c r="AC9" s="721">
        <v>258.36206896551721</v>
      </c>
      <c r="AD9" s="721">
        <v>258.36206896551721</v>
      </c>
      <c r="AE9" s="721">
        <v>258.36206896551721</v>
      </c>
      <c r="AF9" s="721">
        <v>258.36206896551721</v>
      </c>
      <c r="AG9" s="721">
        <v>258.36206896551721</v>
      </c>
      <c r="AH9" s="721">
        <v>258.36206896551721</v>
      </c>
      <c r="AI9" s="721">
        <v>258.36206896551721</v>
      </c>
      <c r="AJ9" s="721">
        <v>258.36206896551721</v>
      </c>
      <c r="AK9" s="721">
        <v>258.36206896551721</v>
      </c>
      <c r="AL9" s="721">
        <v>258.36206896551721</v>
      </c>
      <c r="AM9" s="721">
        <v>258.36206896551721</v>
      </c>
      <c r="AN9" s="721">
        <v>258.36206896551721</v>
      </c>
      <c r="AO9" s="721">
        <v>258.36206896551721</v>
      </c>
      <c r="AP9" s="721">
        <v>258.36206896551721</v>
      </c>
      <c r="AQ9" s="721">
        <v>258.36206896551721</v>
      </c>
      <c r="AR9" s="721">
        <v>258.36206896551721</v>
      </c>
      <c r="AS9" s="721">
        <v>258.36206896551721</v>
      </c>
      <c r="AT9" s="721">
        <v>258.36206896551721</v>
      </c>
      <c r="AU9" s="721">
        <v>258.36206896551721</v>
      </c>
      <c r="AV9" s="721">
        <v>258.36206896551721</v>
      </c>
      <c r="AW9" s="721">
        <v>258.36206896551721</v>
      </c>
      <c r="AX9" s="721">
        <v>258.36200000000002</v>
      </c>
      <c r="AY9" s="721">
        <v>258.36200000000002</v>
      </c>
      <c r="AZ9" s="722">
        <v>258.36200000000002</v>
      </c>
    </row>
    <row r="10" spans="2:52" s="708" customFormat="1">
      <c r="B10" s="716" t="s">
        <v>526</v>
      </c>
      <c r="C10" s="720">
        <v>13.190951389656604</v>
      </c>
      <c r="D10" s="721">
        <v>13.190951389656604</v>
      </c>
      <c r="E10" s="721">
        <v>13.190951389656604</v>
      </c>
      <c r="F10" s="721">
        <v>13.190951389656604</v>
      </c>
      <c r="G10" s="721">
        <v>13.266769846394517</v>
      </c>
      <c r="H10" s="721">
        <v>13.34258830313243</v>
      </c>
      <c r="I10" s="721">
        <v>13.418406759870344</v>
      </c>
      <c r="J10" s="721">
        <v>13.418406759870344</v>
      </c>
      <c r="K10" s="721">
        <v>13.418406759870344</v>
      </c>
      <c r="L10" s="721">
        <v>13.418406759870344</v>
      </c>
      <c r="M10" s="721">
        <v>13.418406759870344</v>
      </c>
      <c r="N10" s="721">
        <v>13.418406759870344</v>
      </c>
      <c r="O10" s="721">
        <v>13.418406759870344</v>
      </c>
      <c r="P10" s="721">
        <v>13.418406759870344</v>
      </c>
      <c r="Q10" s="721">
        <v>13.42</v>
      </c>
      <c r="R10" s="721">
        <v>13.42</v>
      </c>
      <c r="S10" s="721">
        <v>13.42</v>
      </c>
      <c r="T10" s="721">
        <v>13.42</v>
      </c>
      <c r="U10" s="721">
        <v>13.42</v>
      </c>
      <c r="V10" s="721">
        <v>13.42</v>
      </c>
      <c r="W10" s="721">
        <v>13.42</v>
      </c>
      <c r="X10" s="721">
        <v>13.42</v>
      </c>
      <c r="Y10" s="721">
        <v>13.42</v>
      </c>
      <c r="Z10" s="721">
        <v>13.42</v>
      </c>
      <c r="AA10" s="721">
        <v>13.42</v>
      </c>
      <c r="AB10" s="721">
        <v>13.42</v>
      </c>
      <c r="AC10" s="721">
        <v>13.42</v>
      </c>
      <c r="AD10" s="721">
        <v>13.42</v>
      </c>
      <c r="AE10" s="721">
        <v>13.42</v>
      </c>
      <c r="AF10" s="721">
        <v>13.42</v>
      </c>
      <c r="AG10" s="721">
        <v>13.42</v>
      </c>
      <c r="AH10" s="721">
        <v>13.42</v>
      </c>
      <c r="AI10" s="721">
        <v>13.42</v>
      </c>
      <c r="AJ10" s="721">
        <v>13.42</v>
      </c>
      <c r="AK10" s="721">
        <v>13.42</v>
      </c>
      <c r="AL10" s="721">
        <v>13.42</v>
      </c>
      <c r="AM10" s="721">
        <v>13.42</v>
      </c>
      <c r="AN10" s="721">
        <v>13.42</v>
      </c>
      <c r="AO10" s="721">
        <v>13.42</v>
      </c>
      <c r="AP10" s="721">
        <v>13.42</v>
      </c>
      <c r="AQ10" s="721">
        <v>13.42</v>
      </c>
      <c r="AR10" s="721">
        <v>13.42</v>
      </c>
      <c r="AS10" s="721">
        <v>13.42</v>
      </c>
      <c r="AT10" s="721">
        <v>13.42</v>
      </c>
      <c r="AU10" s="721">
        <v>13.42</v>
      </c>
      <c r="AV10" s="721">
        <v>13.42</v>
      </c>
      <c r="AW10" s="721">
        <v>13.42</v>
      </c>
      <c r="AX10" s="721">
        <v>13.42</v>
      </c>
      <c r="AY10" s="721">
        <v>13.42</v>
      </c>
      <c r="AZ10" s="722">
        <v>13.42</v>
      </c>
    </row>
    <row r="11" spans="2:52" s="708" customFormat="1">
      <c r="B11" s="716" t="s">
        <v>527</v>
      </c>
      <c r="C11" s="720">
        <v>9.7918893785465375</v>
      </c>
      <c r="D11" s="721">
        <v>9.7918893785465375</v>
      </c>
      <c r="E11" s="721">
        <v>9.7918893785465375</v>
      </c>
      <c r="F11" s="721">
        <v>9.7918893785465375</v>
      </c>
      <c r="G11" s="721">
        <v>9.8677078352844525</v>
      </c>
      <c r="H11" s="721">
        <v>9.9435262920223639</v>
      </c>
      <c r="I11" s="721">
        <v>10.019344748760279</v>
      </c>
      <c r="J11" s="721">
        <v>10.019344748760279</v>
      </c>
      <c r="K11" s="721">
        <v>10.019344748760279</v>
      </c>
      <c r="L11" s="721">
        <v>10.019344748760279</v>
      </c>
      <c r="M11" s="721">
        <v>10.019344748760279</v>
      </c>
      <c r="N11" s="721">
        <v>10.019344748760279</v>
      </c>
      <c r="O11" s="721">
        <v>10.019344748760279</v>
      </c>
      <c r="P11" s="721">
        <v>10.019344748760279</v>
      </c>
      <c r="Q11" s="721">
        <v>10.02</v>
      </c>
      <c r="R11" s="721">
        <v>10.02</v>
      </c>
      <c r="S11" s="721">
        <v>10.02</v>
      </c>
      <c r="T11" s="721">
        <v>10.02</v>
      </c>
      <c r="U11" s="721">
        <v>10.02</v>
      </c>
      <c r="V11" s="721">
        <v>10.02</v>
      </c>
      <c r="W11" s="721">
        <v>10.02</v>
      </c>
      <c r="X11" s="721">
        <v>10.02</v>
      </c>
      <c r="Y11" s="721">
        <v>10.02</v>
      </c>
      <c r="Z11" s="721">
        <v>10.02</v>
      </c>
      <c r="AA11" s="721">
        <v>10.02</v>
      </c>
      <c r="AB11" s="721">
        <v>10.02</v>
      </c>
      <c r="AC11" s="721">
        <v>10.02</v>
      </c>
      <c r="AD11" s="721">
        <v>10.02</v>
      </c>
      <c r="AE11" s="721">
        <v>10.02</v>
      </c>
      <c r="AF11" s="721">
        <v>10.02</v>
      </c>
      <c r="AG11" s="721">
        <v>10.02</v>
      </c>
      <c r="AH11" s="721">
        <v>10.02</v>
      </c>
      <c r="AI11" s="721">
        <v>10.02</v>
      </c>
      <c r="AJ11" s="721">
        <v>10.02</v>
      </c>
      <c r="AK11" s="721">
        <v>10.02</v>
      </c>
      <c r="AL11" s="721">
        <v>10.02</v>
      </c>
      <c r="AM11" s="721">
        <v>10.02</v>
      </c>
      <c r="AN11" s="721">
        <v>10.02</v>
      </c>
      <c r="AO11" s="721">
        <v>10.02</v>
      </c>
      <c r="AP11" s="721">
        <v>10.02</v>
      </c>
      <c r="AQ11" s="721">
        <v>10.02</v>
      </c>
      <c r="AR11" s="721">
        <v>10.02</v>
      </c>
      <c r="AS11" s="721">
        <v>10.02</v>
      </c>
      <c r="AT11" s="721">
        <v>10.02</v>
      </c>
      <c r="AU11" s="721">
        <v>10.02</v>
      </c>
      <c r="AV11" s="721">
        <v>10.02</v>
      </c>
      <c r="AW11" s="721">
        <v>10.02</v>
      </c>
      <c r="AX11" s="721">
        <v>10.02</v>
      </c>
      <c r="AY11" s="721">
        <v>10.02</v>
      </c>
      <c r="AZ11" s="722">
        <v>10.02</v>
      </c>
    </row>
    <row r="12" spans="2:52" s="708" customFormat="1">
      <c r="B12" s="716" t="s">
        <v>528</v>
      </c>
      <c r="C12" s="720">
        <v>11.586722846755794</v>
      </c>
      <c r="D12" s="721">
        <v>11.586722846755794</v>
      </c>
      <c r="E12" s="721">
        <v>11.586722846755794</v>
      </c>
      <c r="F12" s="721">
        <v>11.586722846755794</v>
      </c>
      <c r="G12" s="721">
        <v>11.659522846755793</v>
      </c>
      <c r="H12" s="721">
        <v>11.732322846755793</v>
      </c>
      <c r="I12" s="721">
        <v>11.805122846755793</v>
      </c>
      <c r="J12" s="721">
        <v>11.805122846755793</v>
      </c>
      <c r="K12" s="721">
        <v>11.805122846755793</v>
      </c>
      <c r="L12" s="721">
        <v>11.805122846755793</v>
      </c>
      <c r="M12" s="721">
        <v>11.805122846755793</v>
      </c>
      <c r="N12" s="721">
        <v>11.805122846755793</v>
      </c>
      <c r="O12" s="721">
        <v>11.805122846755793</v>
      </c>
      <c r="P12" s="721">
        <v>11.805122846755793</v>
      </c>
      <c r="Q12" s="721">
        <v>11.804166666666667</v>
      </c>
      <c r="R12" s="721">
        <v>11.804166666666667</v>
      </c>
      <c r="S12" s="721">
        <v>11.804166666666667</v>
      </c>
      <c r="T12" s="721">
        <v>11.804166666666667</v>
      </c>
      <c r="U12" s="721">
        <v>11.804166666666667</v>
      </c>
      <c r="V12" s="721">
        <v>11.804166666666667</v>
      </c>
      <c r="W12" s="721">
        <v>11.804166666666667</v>
      </c>
      <c r="X12" s="721">
        <v>11.804166666666667</v>
      </c>
      <c r="Y12" s="721">
        <v>11.804166666666667</v>
      </c>
      <c r="Z12" s="721">
        <v>11.804166666666667</v>
      </c>
      <c r="AA12" s="721">
        <v>11.804166666666667</v>
      </c>
      <c r="AB12" s="721">
        <v>11.804166666666667</v>
      </c>
      <c r="AC12" s="721">
        <v>11.804166666666667</v>
      </c>
      <c r="AD12" s="721">
        <v>11.804166666666667</v>
      </c>
      <c r="AE12" s="721">
        <v>11.804166666666667</v>
      </c>
      <c r="AF12" s="721">
        <v>11.804166666666667</v>
      </c>
      <c r="AG12" s="721">
        <v>11.804166666666667</v>
      </c>
      <c r="AH12" s="721">
        <v>11.804166666666667</v>
      </c>
      <c r="AI12" s="721">
        <v>11.804166666666667</v>
      </c>
      <c r="AJ12" s="721">
        <v>11.804166666666667</v>
      </c>
      <c r="AK12" s="721">
        <v>11.804166666666667</v>
      </c>
      <c r="AL12" s="721">
        <v>11.804166666666667</v>
      </c>
      <c r="AM12" s="721">
        <v>11.804166666666667</v>
      </c>
      <c r="AN12" s="721">
        <v>11.804166666666667</v>
      </c>
      <c r="AO12" s="721">
        <v>11.804166666666667</v>
      </c>
      <c r="AP12" s="721">
        <v>11.804166666666667</v>
      </c>
      <c r="AQ12" s="721">
        <v>11.804166666666667</v>
      </c>
      <c r="AR12" s="721">
        <v>11.804166666666667</v>
      </c>
      <c r="AS12" s="721">
        <v>11.804166666666667</v>
      </c>
      <c r="AT12" s="721">
        <v>11.804166666666667</v>
      </c>
      <c r="AU12" s="721">
        <v>11.804166666666667</v>
      </c>
      <c r="AV12" s="721">
        <v>11.804166666666699</v>
      </c>
      <c r="AW12" s="721">
        <v>11.804166666666699</v>
      </c>
      <c r="AX12" s="721">
        <v>11.804166666666667</v>
      </c>
      <c r="AY12" s="721">
        <v>11.804166666666699</v>
      </c>
      <c r="AZ12" s="722">
        <v>11.804166666666699</v>
      </c>
    </row>
    <row r="13" spans="2:52" s="708" customFormat="1">
      <c r="B13" s="716" t="s">
        <v>529</v>
      </c>
      <c r="C13" s="720">
        <v>9.0231722420115865</v>
      </c>
      <c r="D13" s="721">
        <v>9.0231722420115865</v>
      </c>
      <c r="E13" s="721">
        <v>9.0231722420115865</v>
      </c>
      <c r="F13" s="721">
        <v>9.0231722420115865</v>
      </c>
      <c r="G13" s="721">
        <v>9.0959722420115874</v>
      </c>
      <c r="H13" s="721">
        <v>9.1687722420115847</v>
      </c>
      <c r="I13" s="721">
        <v>9.2415722420115856</v>
      </c>
      <c r="J13" s="721">
        <v>9.2415722420115856</v>
      </c>
      <c r="K13" s="721">
        <v>9.2415722420115856</v>
      </c>
      <c r="L13" s="721">
        <v>9.2415722420115856</v>
      </c>
      <c r="M13" s="721">
        <v>9.2415722420115856</v>
      </c>
      <c r="N13" s="721">
        <v>9.2415722420115856</v>
      </c>
      <c r="O13" s="721">
        <v>9.2415722420115856</v>
      </c>
      <c r="P13" s="721">
        <v>9.2415722420115856</v>
      </c>
      <c r="Q13" s="721">
        <v>9.2441666666666666</v>
      </c>
      <c r="R13" s="721">
        <v>9.2441666666666666</v>
      </c>
      <c r="S13" s="721">
        <v>9.2441666666666666</v>
      </c>
      <c r="T13" s="721">
        <v>9.2441666666666666</v>
      </c>
      <c r="U13" s="721">
        <v>9.2441666666666666</v>
      </c>
      <c r="V13" s="721">
        <v>9.2441666666666666</v>
      </c>
      <c r="W13" s="721">
        <v>9.2441666666666666</v>
      </c>
      <c r="X13" s="721">
        <v>9.2441666666666666</v>
      </c>
      <c r="Y13" s="721">
        <v>9.2441666666666666</v>
      </c>
      <c r="Z13" s="721">
        <v>9.2441666666666666</v>
      </c>
      <c r="AA13" s="721">
        <v>9.2441666666666666</v>
      </c>
      <c r="AB13" s="721">
        <v>9.2441666666666666</v>
      </c>
      <c r="AC13" s="721">
        <v>9.2441666666666666</v>
      </c>
      <c r="AD13" s="721">
        <v>9.2441666666666666</v>
      </c>
      <c r="AE13" s="721">
        <v>9.2441666666666666</v>
      </c>
      <c r="AF13" s="721">
        <v>9.2441666666666666</v>
      </c>
      <c r="AG13" s="721">
        <v>9.2441666666666666</v>
      </c>
      <c r="AH13" s="721">
        <v>9.2441666666666666</v>
      </c>
      <c r="AI13" s="721">
        <v>9.2441666666666666</v>
      </c>
      <c r="AJ13" s="721">
        <v>9.2441666666666666</v>
      </c>
      <c r="AK13" s="721">
        <v>9.2441666666666666</v>
      </c>
      <c r="AL13" s="721">
        <v>9.2441666666666666</v>
      </c>
      <c r="AM13" s="721">
        <v>9.2441666666666666</v>
      </c>
      <c r="AN13" s="721">
        <v>9.2441666666666666</v>
      </c>
      <c r="AO13" s="721">
        <v>9.2441666666666666</v>
      </c>
      <c r="AP13" s="721">
        <v>9.2441666666666666</v>
      </c>
      <c r="AQ13" s="721">
        <v>9.2441666666666666</v>
      </c>
      <c r="AR13" s="721">
        <v>9.2441666666666666</v>
      </c>
      <c r="AS13" s="721">
        <v>9.2441666666666666</v>
      </c>
      <c r="AT13" s="721">
        <v>9.2441666666666666</v>
      </c>
      <c r="AU13" s="721">
        <v>9.2441666666666666</v>
      </c>
      <c r="AV13" s="721">
        <v>9.2441666666666702</v>
      </c>
      <c r="AW13" s="721">
        <v>9.2441666666666702</v>
      </c>
      <c r="AX13" s="721">
        <v>9.2441666666666666</v>
      </c>
      <c r="AY13" s="721">
        <v>9.2441666666666702</v>
      </c>
      <c r="AZ13" s="722">
        <v>9.2441666666666702</v>
      </c>
    </row>
    <row r="14" spans="2:52" s="708" customFormat="1">
      <c r="B14" s="723" t="s">
        <v>246</v>
      </c>
      <c r="C14" s="724">
        <v>7.2607266726146298</v>
      </c>
      <c r="D14" s="725">
        <v>7.9112857970161548</v>
      </c>
      <c r="E14" s="725">
        <v>8.1995068031839171</v>
      </c>
      <c r="F14" s="725">
        <v>8.4073776927334265</v>
      </c>
      <c r="G14" s="725">
        <v>8.5736326363918245</v>
      </c>
      <c r="H14" s="725">
        <v>8.7208261649062617</v>
      </c>
      <c r="I14" s="725">
        <v>8.8285181377174773</v>
      </c>
      <c r="J14" s="725">
        <v>8.8829506598476691</v>
      </c>
      <c r="K14" s="725">
        <v>9.0100552678251411</v>
      </c>
      <c r="L14" s="725">
        <v>9.0500408716374903</v>
      </c>
      <c r="M14" s="725">
        <v>9.1558646250250764</v>
      </c>
      <c r="N14" s="725">
        <v>9.244954159045637</v>
      </c>
      <c r="O14" s="725">
        <v>9.2425044625563437</v>
      </c>
      <c r="P14" s="725">
        <v>9.3135366023628183</v>
      </c>
      <c r="Q14" s="725">
        <v>9.3834258849192018</v>
      </c>
      <c r="R14" s="725">
        <v>9.4457625151136106</v>
      </c>
      <c r="S14" s="725">
        <v>9.4294343454096037</v>
      </c>
      <c r="T14" s="725">
        <v>9.4065940080935402</v>
      </c>
      <c r="U14" s="725">
        <v>9.3718934835830296</v>
      </c>
      <c r="V14" s="725">
        <v>9.3718934835830296</v>
      </c>
      <c r="W14" s="725">
        <v>9.3718934835830296</v>
      </c>
      <c r="X14" s="725">
        <v>9.3718934835830296</v>
      </c>
      <c r="Y14" s="725">
        <v>9.3718934835830296</v>
      </c>
      <c r="Z14" s="725">
        <v>9.3718934835830296</v>
      </c>
      <c r="AA14" s="725">
        <v>9.3718934835830296</v>
      </c>
      <c r="AB14" s="725">
        <v>9.3718934835830296</v>
      </c>
      <c r="AC14" s="725">
        <v>9.3718934835830296</v>
      </c>
      <c r="AD14" s="725">
        <v>9.3718934835830296</v>
      </c>
      <c r="AE14" s="725">
        <v>9.3718934835830296</v>
      </c>
      <c r="AF14" s="725">
        <v>9.3718934835830296</v>
      </c>
      <c r="AG14" s="725">
        <v>9.3718934835830296</v>
      </c>
      <c r="AH14" s="725">
        <v>9.3718934835830296</v>
      </c>
      <c r="AI14" s="725">
        <v>9.3718934835830296</v>
      </c>
      <c r="AJ14" s="725">
        <v>9.3718934835830296</v>
      </c>
      <c r="AK14" s="725">
        <v>9.3718934835830296</v>
      </c>
      <c r="AL14" s="725">
        <v>9.3718934835830296</v>
      </c>
      <c r="AM14" s="725">
        <v>9.3718934835830296</v>
      </c>
      <c r="AN14" s="725">
        <v>9.3718934835830296</v>
      </c>
      <c r="AO14" s="725">
        <v>9.3718934835830296</v>
      </c>
      <c r="AP14" s="725">
        <v>9.3718934835830296</v>
      </c>
      <c r="AQ14" s="725">
        <v>9.3718934835830296</v>
      </c>
      <c r="AR14" s="725">
        <v>9.3718934835830296</v>
      </c>
      <c r="AS14" s="725">
        <v>9.3718934835830296</v>
      </c>
      <c r="AT14" s="725">
        <v>9.3718934835830296</v>
      </c>
      <c r="AU14" s="725">
        <v>9.3718934835830296</v>
      </c>
      <c r="AV14" s="725">
        <v>9.3718934835830296</v>
      </c>
      <c r="AW14" s="725">
        <v>9.3718934835830296</v>
      </c>
      <c r="AX14" s="725">
        <v>9.3718934835830296</v>
      </c>
      <c r="AY14" s="725">
        <v>9.3718934835830296</v>
      </c>
      <c r="AZ14" s="726">
        <v>9.3718934835830296</v>
      </c>
    </row>
    <row r="15" spans="2:52" s="708" customFormat="1">
      <c r="B15" s="716" t="s">
        <v>247</v>
      </c>
      <c r="C15" s="717">
        <v>6.1196529523205416E-3</v>
      </c>
      <c r="D15" s="718">
        <v>5.9978268477040445E-3</v>
      </c>
      <c r="E15" s="718">
        <v>5.8815987968481786E-3</v>
      </c>
      <c r="F15" s="718">
        <v>5.7707817871553947E-3</v>
      </c>
      <c r="G15" s="718">
        <v>5.7665380026881916E-3</v>
      </c>
      <c r="H15" s="718">
        <v>5.762283803279443E-3</v>
      </c>
      <c r="I15" s="718">
        <v>5.7580191633691807E-3</v>
      </c>
      <c r="J15" s="718">
        <v>5.7537440573347037E-3</v>
      </c>
      <c r="K15" s="718">
        <v>5.7494584594904299E-3</v>
      </c>
      <c r="L15" s="718">
        <v>5.7451623440877425E-3</v>
      </c>
      <c r="M15" s="718">
        <v>5.7408556853148322E-3</v>
      </c>
      <c r="N15" s="718">
        <v>5.736538457296542E-3</v>
      </c>
      <c r="O15" s="718">
        <v>5.7322106340942152E-3</v>
      </c>
      <c r="P15" s="718">
        <v>5.7322106340942152E-3</v>
      </c>
      <c r="Q15" s="718">
        <v>5.7322106340942152E-3</v>
      </c>
      <c r="R15" s="718">
        <v>5.7322106340942152E-3</v>
      </c>
      <c r="S15" s="718">
        <v>5.7322106340942152E-3</v>
      </c>
      <c r="T15" s="718">
        <v>5.7322106340942152E-3</v>
      </c>
      <c r="U15" s="718">
        <v>5.7322106340942152E-3</v>
      </c>
      <c r="V15" s="718">
        <v>5.7322106340942152E-3</v>
      </c>
      <c r="W15" s="718">
        <v>5.7322106340942152E-3</v>
      </c>
      <c r="X15" s="718">
        <v>5.7322106340942152E-3</v>
      </c>
      <c r="Y15" s="718">
        <v>5.7300000000000007E-3</v>
      </c>
      <c r="Z15" s="718">
        <v>5.7300000000000007E-3</v>
      </c>
      <c r="AA15" s="718">
        <v>5.7300000000000007E-3</v>
      </c>
      <c r="AB15" s="718">
        <v>5.7300000000000007E-3</v>
      </c>
      <c r="AC15" s="718">
        <v>5.7300000000000007E-3</v>
      </c>
      <c r="AD15" s="718">
        <v>5.7300000000000007E-3</v>
      </c>
      <c r="AE15" s="718">
        <v>5.7300000000000007E-3</v>
      </c>
      <c r="AF15" s="718">
        <v>5.7300000000000007E-3</v>
      </c>
      <c r="AG15" s="718">
        <v>5.7300000000000007E-3</v>
      </c>
      <c r="AH15" s="718">
        <v>5.7300000000000007E-3</v>
      </c>
      <c r="AI15" s="718">
        <v>5.7300000000000007E-3</v>
      </c>
      <c r="AJ15" s="718">
        <v>5.7300000000000007E-3</v>
      </c>
      <c r="AK15" s="718">
        <v>5.7300000000000007E-3</v>
      </c>
      <c r="AL15" s="718">
        <v>5.7300000000000007E-3</v>
      </c>
      <c r="AM15" s="718">
        <v>5.7300000000000007E-3</v>
      </c>
      <c r="AN15" s="718">
        <v>5.7300000000000007E-3</v>
      </c>
      <c r="AO15" s="718">
        <v>5.7300000000000007E-3</v>
      </c>
      <c r="AP15" s="718">
        <v>5.7300000000000007E-3</v>
      </c>
      <c r="AQ15" s="718">
        <v>5.7300000000000007E-3</v>
      </c>
      <c r="AR15" s="718">
        <v>5.7300000000000007E-3</v>
      </c>
      <c r="AS15" s="718">
        <v>5.7300000000000007E-3</v>
      </c>
      <c r="AT15" s="718">
        <v>5.7300000000000007E-3</v>
      </c>
      <c r="AU15" s="718">
        <v>5.7300000000000007E-3</v>
      </c>
      <c r="AV15" s="718">
        <v>5.7300000000000007E-3</v>
      </c>
      <c r="AW15" s="718">
        <v>5.7300000000000007E-3</v>
      </c>
      <c r="AX15" s="718">
        <v>5.7300000000000007E-3</v>
      </c>
      <c r="AY15" s="718">
        <v>5.7300000000000007E-3</v>
      </c>
      <c r="AZ15" s="719">
        <v>5.7300000000000007E-3</v>
      </c>
    </row>
    <row r="16" spans="2:52" s="708" customFormat="1">
      <c r="B16" s="716" t="s">
        <v>248</v>
      </c>
      <c r="C16" s="720">
        <v>0.87750000000000006</v>
      </c>
      <c r="D16" s="721">
        <v>0.87750000000000006</v>
      </c>
      <c r="E16" s="721">
        <v>0.87750000000000006</v>
      </c>
      <c r="F16" s="721">
        <v>0.87750000000000006</v>
      </c>
      <c r="G16" s="721">
        <v>0.87750000000000006</v>
      </c>
      <c r="H16" s="721">
        <v>0.87750000000000006</v>
      </c>
      <c r="I16" s="721">
        <v>0.87750000000000006</v>
      </c>
      <c r="J16" s="721">
        <v>0.87750000000000006</v>
      </c>
      <c r="K16" s="721">
        <v>0.87750000000000006</v>
      </c>
      <c r="L16" s="721">
        <v>0.87750000000000006</v>
      </c>
      <c r="M16" s="721">
        <v>0.87750000000000006</v>
      </c>
      <c r="N16" s="721">
        <v>0.87750000000000006</v>
      </c>
      <c r="O16" s="721">
        <v>0.87750000000000006</v>
      </c>
      <c r="P16" s="721">
        <v>0.87750000000000006</v>
      </c>
      <c r="Q16" s="721">
        <v>0.87750000000000006</v>
      </c>
      <c r="R16" s="721">
        <v>0.87750000000000006</v>
      </c>
      <c r="S16" s="721">
        <v>0.87750000000000006</v>
      </c>
      <c r="T16" s="721">
        <v>0.87750000000000006</v>
      </c>
      <c r="U16" s="721">
        <v>0.87750000000000006</v>
      </c>
      <c r="V16" s="721">
        <v>0.87750000000000006</v>
      </c>
      <c r="W16" s="721">
        <v>0.87750000000000006</v>
      </c>
      <c r="X16" s="721">
        <v>0.87750000000000006</v>
      </c>
      <c r="Y16" s="721">
        <v>0.87750000000000006</v>
      </c>
      <c r="Z16" s="721">
        <v>0.87750000000000006</v>
      </c>
      <c r="AA16" s="721">
        <v>0.87750000000000006</v>
      </c>
      <c r="AB16" s="721">
        <v>0.87750000000000006</v>
      </c>
      <c r="AC16" s="721">
        <v>0.87750000000000006</v>
      </c>
      <c r="AD16" s="721">
        <v>0.87750000000000006</v>
      </c>
      <c r="AE16" s="721">
        <v>0.87750000000000006</v>
      </c>
      <c r="AF16" s="721">
        <v>0.87750000000000006</v>
      </c>
      <c r="AG16" s="721">
        <v>0.87750000000000006</v>
      </c>
      <c r="AH16" s="721">
        <v>0.87750000000000006</v>
      </c>
      <c r="AI16" s="721">
        <v>0.87750000000000006</v>
      </c>
      <c r="AJ16" s="721">
        <v>0.87750000000000006</v>
      </c>
      <c r="AK16" s="721">
        <v>0.87750000000000006</v>
      </c>
      <c r="AL16" s="721">
        <v>0.87750000000000006</v>
      </c>
      <c r="AM16" s="721">
        <v>0.87750000000000006</v>
      </c>
      <c r="AN16" s="721">
        <v>0.87750000000000006</v>
      </c>
      <c r="AO16" s="721">
        <v>0.87750000000000006</v>
      </c>
      <c r="AP16" s="721">
        <v>0.87750000000000006</v>
      </c>
      <c r="AQ16" s="721">
        <v>0.87750000000000006</v>
      </c>
      <c r="AR16" s="721">
        <v>0.87750000000000006</v>
      </c>
      <c r="AS16" s="721">
        <v>0.87750000000000006</v>
      </c>
      <c r="AT16" s="721">
        <v>0.87750000000000006</v>
      </c>
      <c r="AU16" s="721">
        <v>0.87750000000000006</v>
      </c>
      <c r="AV16" s="721">
        <v>0.87750000000000006</v>
      </c>
      <c r="AW16" s="721">
        <v>0.87750000000000006</v>
      </c>
      <c r="AX16" s="721">
        <f t="shared" ref="AX16:AZ17" si="0">(58.5/1000)*15</f>
        <v>0.87750000000000006</v>
      </c>
      <c r="AY16" s="721">
        <f t="shared" si="0"/>
        <v>0.87750000000000006</v>
      </c>
      <c r="AZ16" s="722">
        <f t="shared" si="0"/>
        <v>0.87750000000000006</v>
      </c>
    </row>
    <row r="17" spans="1:52" s="708" customFormat="1" ht="12.75" thickBot="1">
      <c r="B17" s="727" t="s">
        <v>249</v>
      </c>
      <c r="C17" s="728">
        <v>0.87750000000000006</v>
      </c>
      <c r="D17" s="729">
        <v>0.87750000000000006</v>
      </c>
      <c r="E17" s="729">
        <v>0.87750000000000006</v>
      </c>
      <c r="F17" s="729">
        <v>0.87750000000000006</v>
      </c>
      <c r="G17" s="729">
        <v>0.87750000000000006</v>
      </c>
      <c r="H17" s="729">
        <v>0.87750000000000006</v>
      </c>
      <c r="I17" s="729">
        <v>0.87750000000000006</v>
      </c>
      <c r="J17" s="729">
        <v>0.87750000000000006</v>
      </c>
      <c r="K17" s="729">
        <v>0.87750000000000006</v>
      </c>
      <c r="L17" s="729">
        <v>0.87750000000000006</v>
      </c>
      <c r="M17" s="729">
        <v>0.87750000000000006</v>
      </c>
      <c r="N17" s="729">
        <v>0.87750000000000006</v>
      </c>
      <c r="O17" s="729">
        <v>0.87750000000000006</v>
      </c>
      <c r="P17" s="729">
        <v>0.87750000000000006</v>
      </c>
      <c r="Q17" s="729">
        <v>0.87750000000000006</v>
      </c>
      <c r="R17" s="729">
        <v>0.87750000000000006</v>
      </c>
      <c r="S17" s="729">
        <v>0.87750000000000006</v>
      </c>
      <c r="T17" s="729">
        <v>0.87750000000000006</v>
      </c>
      <c r="U17" s="729">
        <v>0.87750000000000006</v>
      </c>
      <c r="V17" s="729">
        <v>0.87750000000000006</v>
      </c>
      <c r="W17" s="729">
        <v>0.87750000000000006</v>
      </c>
      <c r="X17" s="729">
        <v>0.87750000000000006</v>
      </c>
      <c r="Y17" s="729">
        <v>0.87750000000000006</v>
      </c>
      <c r="Z17" s="729">
        <v>0.87750000000000006</v>
      </c>
      <c r="AA17" s="729">
        <v>0.87750000000000006</v>
      </c>
      <c r="AB17" s="729">
        <v>0.87750000000000006</v>
      </c>
      <c r="AC17" s="729">
        <v>0.87750000000000006</v>
      </c>
      <c r="AD17" s="729">
        <v>0.87750000000000006</v>
      </c>
      <c r="AE17" s="729">
        <v>0.87750000000000006</v>
      </c>
      <c r="AF17" s="729">
        <v>0.87750000000000006</v>
      </c>
      <c r="AG17" s="729">
        <v>0.87750000000000006</v>
      </c>
      <c r="AH17" s="729">
        <v>0.87750000000000006</v>
      </c>
      <c r="AI17" s="729">
        <v>0.87750000000000006</v>
      </c>
      <c r="AJ17" s="729">
        <v>0.87750000000000006</v>
      </c>
      <c r="AK17" s="729">
        <v>0.87750000000000006</v>
      </c>
      <c r="AL17" s="729">
        <v>0.87750000000000006</v>
      </c>
      <c r="AM17" s="729">
        <v>0.87750000000000006</v>
      </c>
      <c r="AN17" s="729">
        <v>0.87750000000000006</v>
      </c>
      <c r="AO17" s="729">
        <v>0.87750000000000006</v>
      </c>
      <c r="AP17" s="729">
        <v>0.87750000000000006</v>
      </c>
      <c r="AQ17" s="729">
        <v>0.87750000000000006</v>
      </c>
      <c r="AR17" s="729">
        <v>0.87750000000000006</v>
      </c>
      <c r="AS17" s="729">
        <v>0.87750000000000006</v>
      </c>
      <c r="AT17" s="729">
        <v>0.87750000000000006</v>
      </c>
      <c r="AU17" s="729">
        <v>0.87750000000000006</v>
      </c>
      <c r="AV17" s="729">
        <v>0.87750000000000006</v>
      </c>
      <c r="AW17" s="729">
        <v>0.87750000000000006</v>
      </c>
      <c r="AX17" s="729">
        <f t="shared" si="0"/>
        <v>0.87750000000000006</v>
      </c>
      <c r="AY17" s="729">
        <f t="shared" si="0"/>
        <v>0.87750000000000006</v>
      </c>
      <c r="AZ17" s="730">
        <f t="shared" si="0"/>
        <v>0.87750000000000006</v>
      </c>
    </row>
    <row r="18" spans="1:52" s="701" customFormat="1">
      <c r="C18" s="704"/>
      <c r="D18" s="704"/>
      <c r="E18" s="704"/>
      <c r="F18" s="704"/>
      <c r="G18" s="704"/>
      <c r="H18" s="704"/>
      <c r="I18" s="704"/>
      <c r="J18" s="704"/>
      <c r="K18" s="704"/>
      <c r="L18" s="704"/>
      <c r="M18" s="704"/>
      <c r="N18" s="704"/>
      <c r="O18" s="704"/>
      <c r="P18" s="704"/>
      <c r="Q18" s="704"/>
      <c r="R18" s="704"/>
      <c r="S18" s="704"/>
      <c r="T18" s="704"/>
      <c r="U18" s="704"/>
      <c r="V18" s="704"/>
      <c r="W18" s="704"/>
      <c r="X18" s="704"/>
      <c r="Y18" s="704"/>
      <c r="Z18" s="704"/>
      <c r="AA18" s="704"/>
      <c r="AB18" s="704"/>
      <c r="AC18" s="704"/>
      <c r="AD18" s="704"/>
      <c r="AE18" s="704"/>
      <c r="AF18" s="704"/>
    </row>
    <row r="19" spans="1:52" s="701" customFormat="1" ht="15.75" thickBot="1">
      <c r="B19" s="707" t="s">
        <v>250</v>
      </c>
      <c r="C19" s="704"/>
      <c r="D19" s="704"/>
      <c r="E19" s="704"/>
      <c r="F19" s="704"/>
      <c r="G19" s="704"/>
      <c r="H19" s="704"/>
      <c r="I19" s="704"/>
      <c r="J19" s="704"/>
      <c r="K19" s="704"/>
      <c r="L19" s="704"/>
      <c r="M19" s="704"/>
      <c r="N19" s="704"/>
      <c r="O19" s="704"/>
      <c r="P19" s="704"/>
      <c r="Q19" s="704"/>
      <c r="R19" s="704"/>
      <c r="S19" s="704"/>
      <c r="T19" s="704"/>
      <c r="U19" s="704"/>
      <c r="V19" s="704"/>
      <c r="W19" s="704"/>
      <c r="X19" s="704"/>
      <c r="Y19" s="704"/>
      <c r="Z19" s="704"/>
      <c r="AA19" s="704"/>
      <c r="AB19" s="704"/>
      <c r="AC19" s="704"/>
      <c r="AD19" s="704"/>
      <c r="AE19" s="704"/>
      <c r="AF19" s="704"/>
    </row>
    <row r="20" spans="1:52" s="708" customFormat="1" ht="12.75" thickBot="1">
      <c r="A20" s="731">
        <v>1</v>
      </c>
      <c r="B20" s="709" t="s">
        <v>214</v>
      </c>
      <c r="C20" s="710">
        <v>1</v>
      </c>
      <c r="D20" s="711">
        <v>2</v>
      </c>
      <c r="E20" s="710">
        <v>3</v>
      </c>
      <c r="F20" s="711">
        <v>4</v>
      </c>
      <c r="G20" s="710">
        <v>5</v>
      </c>
      <c r="H20" s="711">
        <v>6</v>
      </c>
      <c r="I20" s="710">
        <v>7</v>
      </c>
      <c r="J20" s="711">
        <v>8</v>
      </c>
      <c r="K20" s="710">
        <v>9</v>
      </c>
      <c r="L20" s="711">
        <v>10</v>
      </c>
      <c r="M20" s="710">
        <v>11</v>
      </c>
      <c r="N20" s="711">
        <v>12</v>
      </c>
      <c r="O20" s="710">
        <v>13</v>
      </c>
      <c r="P20" s="711">
        <v>14</v>
      </c>
      <c r="Q20" s="710">
        <v>15</v>
      </c>
      <c r="R20" s="711">
        <v>16</v>
      </c>
      <c r="S20" s="710">
        <v>17</v>
      </c>
      <c r="T20" s="711">
        <v>18</v>
      </c>
      <c r="U20" s="710">
        <v>19</v>
      </c>
      <c r="V20" s="711">
        <v>20</v>
      </c>
      <c r="W20" s="710">
        <v>21</v>
      </c>
      <c r="X20" s="711">
        <v>22</v>
      </c>
      <c r="Y20" s="710">
        <v>23</v>
      </c>
      <c r="Z20" s="711">
        <v>24</v>
      </c>
      <c r="AA20" s="710">
        <v>25</v>
      </c>
      <c r="AB20" s="711">
        <v>26</v>
      </c>
      <c r="AC20" s="710">
        <v>27</v>
      </c>
      <c r="AD20" s="711">
        <v>28</v>
      </c>
      <c r="AE20" s="710">
        <v>29</v>
      </c>
      <c r="AF20" s="711">
        <v>30</v>
      </c>
      <c r="AG20" s="710">
        <f t="shared" ref="AG20:AZ20" si="1">AF20+1</f>
        <v>31</v>
      </c>
      <c r="AH20" s="711">
        <f t="shared" si="1"/>
        <v>32</v>
      </c>
      <c r="AI20" s="710">
        <f t="shared" si="1"/>
        <v>33</v>
      </c>
      <c r="AJ20" s="711">
        <f t="shared" si="1"/>
        <v>34</v>
      </c>
      <c r="AK20" s="710">
        <f t="shared" si="1"/>
        <v>35</v>
      </c>
      <c r="AL20" s="711">
        <f t="shared" si="1"/>
        <v>36</v>
      </c>
      <c r="AM20" s="710">
        <f t="shared" si="1"/>
        <v>37</v>
      </c>
      <c r="AN20" s="711">
        <f t="shared" si="1"/>
        <v>38</v>
      </c>
      <c r="AO20" s="710">
        <f t="shared" si="1"/>
        <v>39</v>
      </c>
      <c r="AP20" s="711">
        <f t="shared" si="1"/>
        <v>40</v>
      </c>
      <c r="AQ20" s="710">
        <f t="shared" si="1"/>
        <v>41</v>
      </c>
      <c r="AR20" s="711">
        <f t="shared" si="1"/>
        <v>42</v>
      </c>
      <c r="AS20" s="710">
        <f t="shared" si="1"/>
        <v>43</v>
      </c>
      <c r="AT20" s="711">
        <f t="shared" si="1"/>
        <v>44</v>
      </c>
      <c r="AU20" s="710">
        <f t="shared" si="1"/>
        <v>45</v>
      </c>
      <c r="AV20" s="711">
        <f t="shared" si="1"/>
        <v>46</v>
      </c>
      <c r="AW20" s="710">
        <f t="shared" si="1"/>
        <v>47</v>
      </c>
      <c r="AX20" s="711">
        <f t="shared" si="1"/>
        <v>48</v>
      </c>
      <c r="AY20" s="710">
        <f t="shared" si="1"/>
        <v>49</v>
      </c>
      <c r="AZ20" s="711">
        <f t="shared" si="1"/>
        <v>50</v>
      </c>
    </row>
    <row r="21" spans="1:52" s="708" customFormat="1">
      <c r="A21" s="731">
        <v>2</v>
      </c>
      <c r="B21" s="712" t="s">
        <v>530</v>
      </c>
      <c r="C21" s="713">
        <f>NPV($D$2,$C5:C5)*1.061*1.055</f>
        <v>6.9589400727026907E-2</v>
      </c>
      <c r="D21" s="714">
        <f>NPV($D$2,$C5:D5)*1.061*1.055</f>
        <v>0.13539699115380383</v>
      </c>
      <c r="E21" s="714">
        <f>NPV($D$2,$C5:E5)*1.061*1.055</f>
        <v>0.19762829287014549</v>
      </c>
      <c r="F21" s="714">
        <f>NPV($D$2,$C5:F5)*1.061*1.055</f>
        <v>0.2564776584159898</v>
      </c>
      <c r="G21" s="714">
        <f>NPV($D$2,$C5:G5)*1.061*1.055</f>
        <v>0.31239594421611017</v>
      </c>
      <c r="H21" s="714">
        <f>NPV($D$2,$C5:H5)*1.061*1.055</f>
        <v>0.36552913703512341</v>
      </c>
      <c r="I21" s="714">
        <f>NPV($D$2,$C5:I5)*1.061*1.055</f>
        <v>0.41601595255078022</v>
      </c>
      <c r="J21" s="714">
        <f>NPV($D$2,$C5:J5)*1.061*1.055</f>
        <v>0.46398819750120696</v>
      </c>
      <c r="K21" s="714">
        <f>NPV($D$2,$C5:K5)*1.061*1.055</f>
        <v>0.50957111379486897</v>
      </c>
      <c r="L21" s="714">
        <f>NPV($D$2,$C5:L5)*1.061*1.055</f>
        <v>0.5528837054816278</v>
      </c>
      <c r="M21" s="714">
        <f>NPV($D$2,$C5:M5)*1.061*1.055</f>
        <v>0.59403904943851982</v>
      </c>
      <c r="N21" s="714">
        <f>NPV($D$2,$C5:N5)*1.061*1.055</f>
        <v>0.63314459058137174</v>
      </c>
      <c r="O21" s="714">
        <f>NPV($D$2,$C5:O5)*1.061*1.055</f>
        <v>0.67030242237296311</v>
      </c>
      <c r="P21" s="714">
        <f>NPV($D$2,$C5:P5)*1.061*1.055</f>
        <v>0.70552311601428208</v>
      </c>
      <c r="Q21" s="714">
        <f>NPV($D$2,$C5:Q5)*1.061*1.055</f>
        <v>0.73890765975012929</v>
      </c>
      <c r="R21" s="714">
        <f>NPV($D$2,$C5:R5)*1.061*1.055</f>
        <v>0.77055177703529254</v>
      </c>
      <c r="S21" s="714">
        <f>NPV($D$2,$C5:S5)*1.061*1.055</f>
        <v>0.80054620100227181</v>
      </c>
      <c r="T21" s="714">
        <f>NPV($D$2,$C5:T5)*1.061*1.055</f>
        <v>0.8289769346202619</v>
      </c>
      <c r="U21" s="714">
        <f>NPV($D$2,$C5:U5)*1.061*1.055</f>
        <v>0.85592549729134237</v>
      </c>
      <c r="V21" s="714">
        <f>NPV($D$2,$C5:V5)*1.061*1.055</f>
        <v>0.88146915859094477</v>
      </c>
      <c r="W21" s="714">
        <f>NPV($D$2,$C5:W5)*1.061*1.055</f>
        <v>0.90568115982279529</v>
      </c>
      <c r="X21" s="714">
        <f>NPV($D$2,$C5:X5)*1.061*1.055</f>
        <v>0.92863092402360159</v>
      </c>
      <c r="Y21" s="714">
        <f>NPV($D$2,$C5:Y5)*1.061*1.055</f>
        <v>0.95038425501962642</v>
      </c>
      <c r="Z21" s="714">
        <f>NPV($D$2,$C5:Z5)*1.061*1.055</f>
        <v>0.97100352610590612</v>
      </c>
      <c r="AA21" s="714">
        <f>NPV($D$2,$C5:AA5)*1.061*1.055</f>
        <v>0.99054785888910934</v>
      </c>
      <c r="AB21" s="714">
        <f>NPV($D$2,$C5:AB5)*1.061*1.055</f>
        <v>1.0090732928068378</v>
      </c>
      <c r="AC21" s="714">
        <f>NPV($D$2,$C5:AC5)*1.061*1.055</f>
        <v>1.0266329458094237</v>
      </c>
      <c r="AD21" s="714">
        <f>NPV($D$2,$C5:AD5)*1.061*1.055</f>
        <v>1.0432771666649554</v>
      </c>
      <c r="AE21" s="714">
        <f>NPV($D$2,$C5:AE5)*1.061*1.055</f>
        <v>1.0590536793242273</v>
      </c>
      <c r="AF21" s="714">
        <f>NPV($D$2,$C5:AF5)*1.061*1.055</f>
        <v>1.0740077197595563</v>
      </c>
      <c r="AG21" s="714">
        <f>NPV($D$2,$C5:AG5)*1.061*1.055</f>
        <v>1.0881821656698203</v>
      </c>
      <c r="AH21" s="714">
        <f>NPV($D$2,$C5:AH5)*1.061*1.055</f>
        <v>1.1016176594236253</v>
      </c>
      <c r="AI21" s="714">
        <f>NPV($D$2,$C5:AI5)*1.061*1.055</f>
        <v>1.1143527245931086</v>
      </c>
      <c r="AJ21" s="714">
        <f>NPV($D$2,$C5:AJ5)*1.061*1.055</f>
        <v>1.1264238764125243</v>
      </c>
      <c r="AK21" s="714">
        <f>NPV($D$2,$C5:AK5)*1.061*1.055</f>
        <v>1.137865726478321</v>
      </c>
      <c r="AL21" s="714">
        <f>NPV($D$2,$C5:AL5)*1.061*1.055</f>
        <v>1.1487110819909245</v>
      </c>
      <c r="AM21" s="714">
        <f>NPV($D$2,$C5:AM5)*1.061*1.055</f>
        <v>1.1589910398227761</v>
      </c>
      <c r="AN21" s="714">
        <f>NPV($D$2,$C5:AN5)*1.061*1.055</f>
        <v>1.1687350756823511</v>
      </c>
      <c r="AO21" s="714">
        <f>NPV($D$2,$C5:AO5)*1.061*1.055</f>
        <v>1.1779711286298153</v>
      </c>
      <c r="AP21" s="714">
        <f>NPV($D$2,$C5:AP5)*1.061*1.055</f>
        <v>1.186725681186654</v>
      </c>
      <c r="AQ21" s="714">
        <f>NPV($D$2,$C5:AQ5)*1.061*1.055</f>
        <v>1.1950238352689653</v>
      </c>
      <c r="AR21" s="714">
        <f>NPV($D$2,$C5:AR5)*1.061*1.055</f>
        <v>1.2028893841621513</v>
      </c>
      <c r="AS21" s="714">
        <f>NPV($D$2,$C5:AS5)*1.061*1.055</f>
        <v>1.2103448807433701</v>
      </c>
      <c r="AT21" s="714">
        <f>NPV($D$2,$C5:AT5)*1.061*1.055</f>
        <v>1.2174117021473694</v>
      </c>
      <c r="AU21" s="714">
        <f>NPV($D$2,$C5:AU5)*1.061*1.055</f>
        <v>1.2241101110611123</v>
      </c>
      <c r="AV21" s="714">
        <f>NPV($D$2,$C5:AV5)*1.061*1.055</f>
        <v>1.2304593138229545</v>
      </c>
      <c r="AW21" s="714">
        <f>NPV($D$2,$C5:AW5)*1.061*1.055</f>
        <v>1.2364775154929466</v>
      </c>
      <c r="AX21" s="714">
        <f>NPV($D$2,$C5:AX5)*1.061*1.055</f>
        <v>1.2421822163277119</v>
      </c>
      <c r="AY21" s="714">
        <f>NPV($D$2,$C5:AY5)*1.061*1.055</f>
        <v>1.247589515697157</v>
      </c>
      <c r="AZ21" s="715">
        <f>NPV($D$2,$C5:AZ5)*1.061*1.055</f>
        <v>1.2527149179430772</v>
      </c>
    </row>
    <row r="22" spans="1:52" s="708" customFormat="1">
      <c r="A22" s="731">
        <v>3</v>
      </c>
      <c r="B22" s="716" t="s">
        <v>531</v>
      </c>
      <c r="C22" s="717">
        <f>NPV($D$2,$C6:C6)*1.061*1.055</f>
        <v>8.7780050314399755E-2</v>
      </c>
      <c r="D22" s="718">
        <f>NPV($D$2,$C6:D6)*1.061*1.055</f>
        <v>0.17033835844959713</v>
      </c>
      <c r="E22" s="718">
        <f>NPV($D$2,$C6:E6)*1.061*1.055</f>
        <v>0.247985548417408</v>
      </c>
      <c r="F22" s="718">
        <f>NPV($D$2,$C6:F6)*1.061*1.055</f>
        <v>0.32101376624406319</v>
      </c>
      <c r="G22" s="718">
        <f>NPV($D$2,$C6:G6)*1.061*1.055</f>
        <v>0.39040470560301294</v>
      </c>
      <c r="H22" s="718">
        <f>NPV($D$2,$C6:H6)*1.061*1.055</f>
        <v>0.45633952653136833</v>
      </c>
      <c r="I22" s="718">
        <f>NPV($D$2,$C6:I6)*1.061*1.055</f>
        <v>0.5189903661224825</v>
      </c>
      <c r="J22" s="718">
        <f>NPV($D$2,$C6:J6)*1.061*1.055</f>
        <v>0.57852078792701822</v>
      </c>
      <c r="K22" s="718">
        <f>NPV($D$2,$C6:K6)*1.061*1.055</f>
        <v>0.6350862089709296</v>
      </c>
      <c r="L22" s="718">
        <f>NPV($D$2,$C6:L6)*1.061*1.055</f>
        <v>0.68883430550518288</v>
      </c>
      <c r="M22" s="718">
        <f>NPV($D$2,$C6:M6)*1.061*1.055</f>
        <v>0.73990539854650894</v>
      </c>
      <c r="N22" s="718">
        <f>NPV($D$2,$C6:N6)*1.061*1.055</f>
        <v>0.78843282021573169</v>
      </c>
      <c r="O22" s="718">
        <f>NPV($D$2,$C6:O6)*1.061*1.055</f>
        <v>0.83454326183007077</v>
      </c>
      <c r="P22" s="718">
        <f>NPV($D$2,$C6:P6)*1.061*1.055</f>
        <v>0.87824984155930208</v>
      </c>
      <c r="Q22" s="718">
        <f>NPV($D$2,$C6:Q6)*1.061*1.055</f>
        <v>0.91967787921734123</v>
      </c>
      <c r="R22" s="718">
        <f>NPV($D$2,$C6:R6)*1.061*1.055</f>
        <v>0.95894616135766264</v>
      </c>
      <c r="S22" s="718">
        <f>NPV($D$2,$C6:S6)*1.061*1.055</f>
        <v>0.99616728186981562</v>
      </c>
      <c r="T22" s="718">
        <f>NPV($D$2,$C6:T6)*1.061*1.055</f>
        <v>1.0314479648197237</v>
      </c>
      <c r="U22" s="718">
        <f>NPV($D$2,$C6:U6)*1.061*1.055</f>
        <v>1.0648893704594471</v>
      </c>
      <c r="V22" s="718">
        <f>NPV($D$2,$C6:V6)*1.061*1.055</f>
        <v>1.0965873852838293</v>
      </c>
      <c r="W22" s="718">
        <f>NPV($D$2,$C6:W6)*1.061*1.055</f>
        <v>1.1266328969657085</v>
      </c>
      <c r="X22" s="718">
        <f>NPV($D$2,$C6:X6)*1.061*1.055</f>
        <v>1.1551120549580107</v>
      </c>
      <c r="Y22" s="718">
        <f>NPV($D$2,$C6:Y6)*1.061*1.055</f>
        <v>1.1821065175099561</v>
      </c>
      <c r="Z22" s="718">
        <f>NPV($D$2,$C6:Z6)*1.061*1.055</f>
        <v>1.2076936858056389</v>
      </c>
      <c r="AA22" s="718">
        <f>NPV($D$2,$C6:AA6)*1.061*1.055</f>
        <v>1.2319469258963336</v>
      </c>
      <c r="AB22" s="718">
        <f>NPV($D$2,$C6:AB6)*1.061*1.055</f>
        <v>1.2549357790628684</v>
      </c>
      <c r="AC22" s="718">
        <f>NPV($D$2,$C6:AC6)*1.061*1.055</f>
        <v>1.2767261612112433</v>
      </c>
      <c r="AD22" s="718">
        <f>NPV($D$2,$C6:AD6)*1.061*1.055</f>
        <v>1.2973805518732093</v>
      </c>
      <c r="AE22" s="718">
        <f>NPV($D$2,$C6:AE6)*1.061*1.055</f>
        <v>1.3169581733537461</v>
      </c>
      <c r="AF22" s="718">
        <f>NPV($D$2,$C6:AF6)*1.061*1.055</f>
        <v>1.3355151605390891</v>
      </c>
      <c r="AG22" s="718">
        <f>NPV($D$2,$C6:AG6)*1.061*1.055</f>
        <v>1.3531047218522108</v>
      </c>
      <c r="AH22" s="718">
        <f>NPV($D$2,$C6:AH6)*1.061*1.055</f>
        <v>1.3697772918172546</v>
      </c>
      <c r="AI22" s="718">
        <f>NPV($D$2,$C6:AI6)*1.061*1.055</f>
        <v>1.385580675670377</v>
      </c>
      <c r="AJ22" s="718">
        <f>NPV($D$2,$C6:AJ6)*1.061*1.055</f>
        <v>1.4005601864316302</v>
      </c>
      <c r="AK22" s="718">
        <f>NPV($D$2,$C6:AK6)*1.061*1.055</f>
        <v>1.4147587748309225</v>
      </c>
      <c r="AL22" s="718">
        <f>NPV($D$2,$C6:AL6)*1.061*1.055</f>
        <v>1.4282171524605833</v>
      </c>
      <c r="AM22" s="718">
        <f>NPV($D$2,$C6:AM6)*1.061*1.055</f>
        <v>1.4409739085076554</v>
      </c>
      <c r="AN22" s="718">
        <f>NPV($D$2,$C6:AN6)*1.061*1.055</f>
        <v>1.4530656204006147</v>
      </c>
      <c r="AO22" s="718">
        <f>NPV($D$2,$C6:AO6)*1.061*1.055</f>
        <v>1.4645269586877798</v>
      </c>
      <c r="AP22" s="718">
        <f>NPV($D$2,$C6:AP6)*1.061*1.055</f>
        <v>1.4753907864481257</v>
      </c>
      <c r="AQ22" s="718">
        <f>NPV($D$2,$C6:AQ6)*1.061*1.055</f>
        <v>1.4856882535195437</v>
      </c>
      <c r="AR22" s="718">
        <f>NPV($D$2,$C6:AR6)*1.061*1.055</f>
        <v>1.4954488858147266</v>
      </c>
      <c r="AS22" s="718">
        <f>NPV($D$2,$C6:AS6)*1.061*1.055</f>
        <v>1.504700669980777</v>
      </c>
      <c r="AT22" s="718">
        <f>NPV($D$2,$C6:AT6)*1.061*1.055</f>
        <v>1.5134701336452794</v>
      </c>
      <c r="AU22" s="718">
        <f>NPV($D$2,$C6:AU6)*1.061*1.055</f>
        <v>1.5217824214789313</v>
      </c>
      <c r="AV22" s="718">
        <f>NPV($D$2,$C6:AV6)*1.061*1.055</f>
        <v>1.529661367292819</v>
      </c>
      <c r="AW22" s="718">
        <f>NPV($D$2,$C6:AW6)*1.061*1.055</f>
        <v>1.5371295623770731</v>
      </c>
      <c r="AX22" s="718">
        <f>NPV($D$2,$C6:AX6)*1.061*1.055</f>
        <v>1.5442087579272086</v>
      </c>
      <c r="AY22" s="718">
        <f>NPV($D$2,$C6:AY6)*1.061*1.055</f>
        <v>1.5509188958894222</v>
      </c>
      <c r="AZ22" s="719">
        <f>NPV($D$2,$C6:AZ6)*1.061*1.055</f>
        <v>1.5572792162327527</v>
      </c>
    </row>
    <row r="23" spans="1:52" s="708" customFormat="1">
      <c r="A23" s="731">
        <v>4</v>
      </c>
      <c r="B23" s="716" t="s">
        <v>532</v>
      </c>
      <c r="C23" s="717">
        <f>NPV($D$2,$C7:C7)*1.061*1.055</f>
        <v>8.9815325858908585E-2</v>
      </c>
      <c r="D23" s="718">
        <f>NPV($D$2,$C7:D7)*1.061*1.055</f>
        <v>0.17463131325114395</v>
      </c>
      <c r="E23" s="718">
        <f>NPV($D$2,$C7:E7)*1.061*1.055</f>
        <v>0.25472623745840611</v>
      </c>
      <c r="F23" s="718">
        <f>NPV($D$2,$C7:F7)*1.061*1.055</f>
        <v>0.33036288428655297</v>
      </c>
      <c r="G23" s="718">
        <f>NPV($D$2,$C7:G7)*1.061*1.055</f>
        <v>0.40223233598020425</v>
      </c>
      <c r="H23" s="718">
        <f>NPV($D$2,$C7:H7)*1.061*1.055</f>
        <v>0.47052222326833198</v>
      </c>
      <c r="I23" s="718">
        <f>NPV($D$2,$C7:I7)*1.061*1.055</f>
        <v>0.53541083165376591</v>
      </c>
      <c r="J23" s="718">
        <f>NPV($D$2,$C7:J7)*1.061*1.055</f>
        <v>0.59706756686601159</v>
      </c>
      <c r="K23" s="718">
        <f>NPV($D$2,$C7:K7)*1.061*1.055</f>
        <v>0.65565339713150317</v>
      </c>
      <c r="L23" s="718">
        <f>NPV($D$2,$C7:L7)*1.061*1.055</f>
        <v>0.71132127341593054</v>
      </c>
      <c r="M23" s="718">
        <f>NPV($D$2,$C7:M7)*1.061*1.055</f>
        <v>0.76421652873577595</v>
      </c>
      <c r="N23" s="718">
        <f>NPV($D$2,$C7:N7)*1.061*1.055</f>
        <v>0.81447725758154887</v>
      </c>
      <c r="O23" s="718">
        <f>NPV($D$2,$C7:O7)*1.061*1.055</f>
        <v>0.86223467644328455</v>
      </c>
      <c r="P23" s="718">
        <f>NPV($D$2,$C7:P7)*1.061*1.055</f>
        <v>0.9075023720468256</v>
      </c>
      <c r="Q23" s="718">
        <f>NPV($D$2,$C7:Q7)*1.061*1.055</f>
        <v>0.95041014039141425</v>
      </c>
      <c r="R23" s="718">
        <f>NPV($D$2,$C7:R7)*1.061*1.055</f>
        <v>0.9910810108602186</v>
      </c>
      <c r="S23" s="718">
        <f>NPV($D$2,$C7:S7)*1.061*1.055</f>
        <v>1.0296315989823082</v>
      </c>
      <c r="T23" s="718">
        <f>NPV($D$2,$C7:T7)*1.061*1.055</f>
        <v>1.0661724408041937</v>
      </c>
      <c r="U23" s="718">
        <f>NPV($D$2,$C7:U7)*1.061*1.055</f>
        <v>1.1008083098296779</v>
      </c>
      <c r="V23" s="718">
        <f>NPV($D$2,$C7:V7)*1.061*1.055</f>
        <v>1.1336385174367718</v>
      </c>
      <c r="W23" s="718">
        <f>NPV($D$2,$C7:W7)*1.061*1.055</f>
        <v>1.1647571976330697</v>
      </c>
      <c r="X23" s="718">
        <f>NPV($D$2,$C7:X7)*1.061*1.055</f>
        <v>1.1942535769660529</v>
      </c>
      <c r="Y23" s="718">
        <f>NPV($D$2,$C7:Y7)*1.061*1.055</f>
        <v>1.2222122303622458</v>
      </c>
      <c r="Z23" s="718">
        <f>NPV($D$2,$C7:Z7)*1.061*1.055</f>
        <v>1.2487133236287795</v>
      </c>
      <c r="AA23" s="718">
        <f>NPV($D$2,$C7:AA7)*1.061*1.055</f>
        <v>1.2738328433126973</v>
      </c>
      <c r="AB23" s="718">
        <f>NPV($D$2,$C7:AB7)*1.061*1.055</f>
        <v>1.2976428145770746</v>
      </c>
      <c r="AC23" s="718">
        <f>NPV($D$2,$C7:AC7)*1.061*1.055</f>
        <v>1.3202115077186642</v>
      </c>
      <c r="AD23" s="718">
        <f>NPV($D$2,$C7:AD7)*1.061*1.055</f>
        <v>1.3416036339192237</v>
      </c>
      <c r="AE23" s="718">
        <f>NPV($D$2,$C7:AE7)*1.061*1.055</f>
        <v>1.3618805307917916</v>
      </c>
      <c r="AF23" s="718">
        <f>NPV($D$2,$C7:AF7)*1.061*1.055</f>
        <v>1.3811003382539413</v>
      </c>
      <c r="AG23" s="718">
        <f>NPV($D$2,$C7:AG7)*1.061*1.055</f>
        <v>1.3993181652322821</v>
      </c>
      <c r="AH23" s="718">
        <f>NPV($D$2,$C7:AH7)*1.061*1.055</f>
        <v>1.4165862476762072</v>
      </c>
      <c r="AI23" s="718">
        <f>NPV($D$2,$C7:AI7)*1.061*1.055</f>
        <v>1.4329540983339561</v>
      </c>
      <c r="AJ23" s="718">
        <f>NPV($D$2,$C7:AJ7)*1.061*1.055</f>
        <v>1.4484686487204479</v>
      </c>
      <c r="AK23" s="718">
        <f>NPV($D$2,$C7:AK7)*1.061*1.055</f>
        <v>1.4631743836839473</v>
      </c>
      <c r="AL23" s="718">
        <f>NPV($D$2,$C7:AL7)*1.061*1.055</f>
        <v>1.4771134689574064</v>
      </c>
      <c r="AM23" s="718">
        <f>NPV($D$2,$C7:AM7)*1.061*1.055</f>
        <v>1.4903258720602111</v>
      </c>
      <c r="AN23" s="718">
        <f>NPV($D$2,$C7:AN7)*1.061*1.055</f>
        <v>1.5028494768969929</v>
      </c>
      <c r="AO23" s="718">
        <f>NPV($D$2,$C7:AO7)*1.061*1.055</f>
        <v>1.5147201923820939</v>
      </c>
      <c r="AP23" s="718">
        <f>NPV($D$2,$C7:AP7)*1.061*1.055</f>
        <v>1.5259720554011471</v>
      </c>
      <c r="AQ23" s="718">
        <f>NPV($D$2,$C7:AQ7)*1.061*1.055</f>
        <v>1.5366373284049892</v>
      </c>
      <c r="AR23" s="718">
        <f>NPV($D$2,$C7:AR7)*1.061*1.055</f>
        <v>1.5467465919157399</v>
      </c>
      <c r="AS23" s="718">
        <f>NPV($D$2,$C7:AS7)*1.061*1.055</f>
        <v>1.5563288322102902</v>
      </c>
      <c r="AT23" s="718">
        <f>NPV($D$2,$C7:AT7)*1.061*1.055</f>
        <v>1.5654115244326132</v>
      </c>
      <c r="AU23" s="718">
        <f>NPV($D$2,$C7:AU7)*1.061*1.055</f>
        <v>1.5740207113732032</v>
      </c>
      <c r="AV23" s="718">
        <f>NPV($D$2,$C7:AV7)*1.061*1.055</f>
        <v>1.5821810781415355</v>
      </c>
      <c r="AW23" s="718">
        <f>NPV($D$2,$C7:AW7)*1.061*1.055</f>
        <v>1.5899160229456415</v>
      </c>
      <c r="AX23" s="718">
        <f>NPV($D$2,$C7:AX7)*1.061*1.055</f>
        <v>1.5972480163103728</v>
      </c>
      <c r="AY23" s="718">
        <f>NPV($D$2,$C7:AY7)*1.061*1.055</f>
        <v>1.6041977730541936</v>
      </c>
      <c r="AZ23" s="719">
        <f>NPV($D$2,$C7:AZ7)*1.061*1.055</f>
        <v>1.610785220204735</v>
      </c>
    </row>
    <row r="24" spans="1:52" s="708" customFormat="1">
      <c r="A24" s="731">
        <v>5</v>
      </c>
      <c r="B24" s="716" t="s">
        <v>533</v>
      </c>
      <c r="C24" s="720">
        <f>NPV($D$2,$C8:C8)*1.061*1.055</f>
        <v>105.28824353448275</v>
      </c>
      <c r="D24" s="721">
        <f>NPV($D$2,$C8:D8)*1.061*1.055</f>
        <v>211.43809440880861</v>
      </c>
      <c r="E24" s="721">
        <f>NPV($D$2,$C8:E8)*1.061*1.055</f>
        <v>317.71403625415246</v>
      </c>
      <c r="F24" s="721">
        <f>NPV($D$2,$C8:F8)*1.061*1.055</f>
        <v>423.49311631236714</v>
      </c>
      <c r="G24" s="721">
        <f>NPV($D$2,$C8:G8)*1.061*1.055</f>
        <v>528.26142948730842</v>
      </c>
      <c r="H24" s="721">
        <f>NPV($D$2,$C8:H8)*1.061*1.055</f>
        <v>631.57443766308609</v>
      </c>
      <c r="I24" s="721">
        <f>NPV($D$2,$C8:I8)*1.061*1.055</f>
        <v>733.07525696070888</v>
      </c>
      <c r="J24" s="721">
        <f>NPV($D$2,$C8:J8)*1.061*1.055</f>
        <v>832.46770049211943</v>
      </c>
      <c r="K24" s="721">
        <f>NPV($D$2,$C8:K8)*1.061*1.055</f>
        <v>929.50949175894959</v>
      </c>
      <c r="L24" s="721">
        <f>NPV($D$2,$C8:L8)*1.061*1.055</f>
        <v>1024.0131779719404</v>
      </c>
      <c r="M24" s="721">
        <f>NPV($D$2,$C8:M8)*1.061*1.055</f>
        <v>1113.5901317283297</v>
      </c>
      <c r="N24" s="721">
        <f>NPV($D$2,$C8:N8)*1.061*1.055</f>
        <v>1198.4971969002625</v>
      </c>
      <c r="O24" s="721">
        <f>NPV($D$2,$C8:O8)*1.061*1.055</f>
        <v>1278.9778273949858</v>
      </c>
      <c r="P24" s="721">
        <f>NPV($D$2,$C8:P8)*1.061*1.055</f>
        <v>1355.2627852098894</v>
      </c>
      <c r="Q24" s="721">
        <f>NPV($D$2,$C8:Q8)*1.061*1.055</f>
        <v>1427.5708020960535</v>
      </c>
      <c r="R24" s="721">
        <f>NPV($D$2,$C8:R8)*1.061*1.055</f>
        <v>1496.1092067274892</v>
      </c>
      <c r="S24" s="721">
        <f>NPV($D$2,$C8:S8)*1.061*1.055</f>
        <v>1561.0745191743474</v>
      </c>
      <c r="T24" s="721">
        <f>NPV($D$2,$C8:T8)*1.061*1.055</f>
        <v>1622.6530143846394</v>
      </c>
      <c r="U24" s="721">
        <f>NPV($D$2,$C8:U8)*1.061*1.055</f>
        <v>1681.0212562901299</v>
      </c>
      <c r="V24" s="721">
        <f>NPV($D$2,$C8:V8)*1.061*1.055</f>
        <v>1736.3466040678456</v>
      </c>
      <c r="W24" s="721">
        <f>NPV($D$2,$C8:W8)*1.061*1.055</f>
        <v>1788.7876920088088</v>
      </c>
      <c r="X24" s="721">
        <f>NPV($D$2,$C8:X8)*1.061*1.055</f>
        <v>1838.494884369911</v>
      </c>
      <c r="Y24" s="721">
        <f>NPV($D$2,$C8:Y8)*1.061*1.055</f>
        <v>1885.6107065131359</v>
      </c>
      <c r="Z24" s="721">
        <f>NPV($D$2,$C8:Z8)*1.061*1.055</f>
        <v>1930.2702535683256</v>
      </c>
      <c r="AA24" s="721">
        <f>NPV($D$2,$C8:AA8)*1.061*1.055</f>
        <v>1972.6015777912537</v>
      </c>
      <c r="AB24" s="721">
        <f>NPV($D$2,$C8:AB8)*1.061*1.055</f>
        <v>2012.7260557276786</v>
      </c>
      <c r="AC24" s="721">
        <f>NPV($D$2,$C8:AC8)*1.061*1.055</f>
        <v>2050.7587362361387</v>
      </c>
      <c r="AD24" s="721">
        <f>NPV($D$2,$C8:AD8)*1.061*1.055</f>
        <v>2086.8086703673803</v>
      </c>
      <c r="AE24" s="721">
        <f>NPV($D$2,$C8:AE8)*1.061*1.055</f>
        <v>2120.9792240462821</v>
      </c>
      <c r="AF24" s="721">
        <f>NPV($D$2,$C8:AF8)*1.061*1.055</f>
        <v>2153.3683744528244</v>
      </c>
      <c r="AG24" s="721">
        <f>NPV($D$2,$C8:AG8)*1.061*1.055</f>
        <v>2184.0689909519165</v>
      </c>
      <c r="AH24" s="721">
        <f>NPV($D$2,$C8:AH8)*1.061*1.055</f>
        <v>2213.1691013775958</v>
      </c>
      <c r="AI24" s="721">
        <f>NPV($D$2,$C8:AI8)*1.061*1.055</f>
        <v>2240.7521444351123</v>
      </c>
      <c r="AJ24" s="721">
        <f>NPV($D$2,$C8:AJ8)*1.061*1.055</f>
        <v>2266.8972089446065</v>
      </c>
      <c r="AK24" s="721">
        <f>NPV($D$2,$C8:AK8)*1.061*1.055</f>
        <v>2291.6792606123731</v>
      </c>
      <c r="AL24" s="721">
        <f>NPV($D$2,$C8:AL8)*1.061*1.055</f>
        <v>2315.1693569799245</v>
      </c>
      <c r="AM24" s="721">
        <f>NPV($D$2,$C8:AM8)*1.061*1.055</f>
        <v>2337.4348511671774</v>
      </c>
      <c r="AN24" s="721">
        <f>NPV($D$2,$C8:AN8)*1.061*1.055</f>
        <v>2358.5395849939569</v>
      </c>
      <c r="AO24" s="721">
        <f>NPV($D$2,$C8:AO8)*1.061*1.055</f>
        <v>2378.5440720335587</v>
      </c>
      <c r="AP24" s="721">
        <f>NPV($D$2,$C8:AP8)*1.061*1.055</f>
        <v>2397.5056711232287</v>
      </c>
      <c r="AQ24" s="721">
        <f>NPV($D$2,$C8:AQ8)*1.061*1.055</f>
        <v>2415.4787508290765</v>
      </c>
      <c r="AR24" s="721">
        <f>NPV($D$2,$C8:AR8)*1.061*1.055</f>
        <v>2432.5148453369898</v>
      </c>
      <c r="AS24" s="721">
        <f>NPV($D$2,$C8:AS8)*1.061*1.055</f>
        <v>2448.6628022165287</v>
      </c>
      <c r="AT24" s="721">
        <f>NPV($D$2,$C8:AT8)*1.061*1.055</f>
        <v>2463.9689224814933</v>
      </c>
      <c r="AU24" s="721">
        <f>NPV($D$2,$C8:AU8)*1.061*1.055</f>
        <v>2478.4770933487598</v>
      </c>
      <c r="AV24" s="721">
        <f>NPV($D$2,$C8:AV8)*1.061*1.055</f>
        <v>2492.2289140760249</v>
      </c>
      <c r="AW24" s="721">
        <f>NPV($D$2,$C8:AW8)*1.061*1.055</f>
        <v>2505.263815239311</v>
      </c>
      <c r="AX24" s="721">
        <f>NPV($D$2,$C8:AX8)*1.061*1.055</f>
        <v>2517.6191717921884</v>
      </c>
      <c r="AY24" s="721">
        <f>NPV($D$2,$C8:AY8)*1.061*1.055</f>
        <v>2529.3304102309339</v>
      </c>
      <c r="AZ24" s="722">
        <f>NPV($D$2,$C8:AZ8)*1.061*1.055</f>
        <v>2540.4311101728736</v>
      </c>
    </row>
    <row r="25" spans="1:52" s="708" customFormat="1">
      <c r="A25" s="731">
        <v>6</v>
      </c>
      <c r="B25" s="716" t="s">
        <v>534</v>
      </c>
      <c r="C25" s="720">
        <f>NPV($D$2,$C9:C9)*1.061*1.055</f>
        <v>250.63838362068964</v>
      </c>
      <c r="D25" s="721">
        <f>NPV($D$2,$C9:D9)*1.061*1.055</f>
        <v>494.56087912649122</v>
      </c>
      <c r="E25" s="721">
        <f>NPV($D$2,$C9:E9)*1.061*1.055</f>
        <v>721.61707655056614</v>
      </c>
      <c r="F25" s="721">
        <f>NPV($D$2,$C9:F9)*1.061*1.055</f>
        <v>929.3584657370601</v>
      </c>
      <c r="G25" s="721">
        <f>NPV($D$2,$C9:G9)*1.061*1.055</f>
        <v>1134.5112875804152</v>
      </c>
      <c r="H25" s="721">
        <f>NPV($D$2,$C9:H9)*1.061*1.055</f>
        <v>1341.0323288178211</v>
      </c>
      <c r="I25" s="721">
        <f>NPV($D$2,$C9:I9)*1.061*1.055</f>
        <v>1537.6741007027263</v>
      </c>
      <c r="J25" s="721">
        <f>NPV($D$2,$C9:J9)*1.061*1.055</f>
        <v>1724.8189269660834</v>
      </c>
      <c r="K25" s="721">
        <f>NPV($D$2,$C9:K9)*1.061*1.055</f>
        <v>1902.8555251308851</v>
      </c>
      <c r="L25" s="721">
        <f>NPV($D$2,$C9:L9)*1.061*1.055</f>
        <v>2072.1613893349249</v>
      </c>
      <c r="M25" s="721">
        <f>NPV($D$2,$C9:M9)*1.061*1.055</f>
        <v>2232.6408814714555</v>
      </c>
      <c r="N25" s="721">
        <f>NPV($D$2,$C9:N9)*1.061*1.055</f>
        <v>2384.7541441601106</v>
      </c>
      <c r="O25" s="721">
        <f>NPV($D$2,$C9:O9)*1.061*1.055</f>
        <v>2528.937331542721</v>
      </c>
      <c r="P25" s="721">
        <f>NPV($D$2,$C9:P9)*1.061*1.055</f>
        <v>2665.6038598674713</v>
      </c>
      <c r="Q25" s="721">
        <f>NPV($D$2,$C9:Q9)*1.061*1.055</f>
        <v>2795.1455928767127</v>
      </c>
      <c r="R25" s="721">
        <f>NPV($D$2,$C9:R9)*1.061*1.055</f>
        <v>2917.9339653973211</v>
      </c>
      <c r="S25" s="721">
        <f>NPV($D$2,$C9:S9)*1.061*1.055</f>
        <v>3034.3210483552434</v>
      </c>
      <c r="T25" s="721">
        <f>NPV($D$2,$C9:T9)*1.061*1.055</f>
        <v>3144.6405582679658</v>
      </c>
      <c r="U25" s="721">
        <f>NPV($D$2,$C9:U9)*1.061*1.055</f>
        <v>3249.2088141094091</v>
      </c>
      <c r="V25" s="721">
        <f>NPV($D$2,$C9:V9)*1.061*1.055</f>
        <v>3348.3256442908719</v>
      </c>
      <c r="W25" s="721">
        <f>NPV($D$2,$C9:W9)*1.061*1.055</f>
        <v>3442.2752463586089</v>
      </c>
      <c r="X25" s="721">
        <f>NPV($D$2,$C9:X9)*1.061*1.055</f>
        <v>3531.3270018730523</v>
      </c>
      <c r="Y25" s="721">
        <f>NPV($D$2,$C9:Y9)*1.061*1.055</f>
        <v>3615.7362488061735</v>
      </c>
      <c r="Z25" s="721">
        <f>NPV($D$2,$C9:Z9)*1.061*1.055</f>
        <v>3695.7450136716907</v>
      </c>
      <c r="AA25" s="721">
        <f>NPV($D$2,$C9:AA9)*1.061*1.055</f>
        <v>3771.5827054873475</v>
      </c>
      <c r="AB25" s="721">
        <f>NPV($D$2,$C9:AB9)*1.061*1.055</f>
        <v>3843.4667735590597</v>
      </c>
      <c r="AC25" s="721">
        <f>NPV($D$2,$C9:AC9)*1.061*1.055</f>
        <v>3911.6033309730055</v>
      </c>
      <c r="AD25" s="721">
        <f>NPV($D$2,$C9:AD9)*1.061*1.055</f>
        <v>3976.1877455833801</v>
      </c>
      <c r="AE25" s="721">
        <f>NPV($D$2,$C9:AE9)*1.061*1.055</f>
        <v>4037.4052001903706</v>
      </c>
      <c r="AF25" s="721">
        <f>NPV($D$2,$C9:AF9)*1.061*1.055</f>
        <v>4095.4312235145321</v>
      </c>
      <c r="AG25" s="721">
        <f>NPV($D$2,$C9:AG9)*1.061*1.055</f>
        <v>4150.4321934900408</v>
      </c>
      <c r="AH25" s="721">
        <f>NPV($D$2,$C9:AH9)*1.061*1.055</f>
        <v>4202.5658143199062</v>
      </c>
      <c r="AI25" s="721">
        <f>NPV($D$2,$C9:AI9)*1.061*1.055</f>
        <v>4251.9815686610118</v>
      </c>
      <c r="AJ25" s="721">
        <f>NPV($D$2,$C9:AJ9)*1.061*1.055</f>
        <v>4298.8211462355184</v>
      </c>
      <c r="AK25" s="721">
        <f>NPV($D$2,$C9:AK9)*1.061*1.055</f>
        <v>4343.2188500976108</v>
      </c>
      <c r="AL25" s="721">
        <f>NPV($D$2,$C9:AL9)*1.061*1.055</f>
        <v>4385.3019817204477</v>
      </c>
      <c r="AM25" s="721">
        <f>NPV($D$2,$C9:AM9)*1.061*1.055</f>
        <v>4425.1912060074956</v>
      </c>
      <c r="AN25" s="721">
        <f>NPV($D$2,$C9:AN9)*1.061*1.055</f>
        <v>4463.0008972748401</v>
      </c>
      <c r="AO25" s="721">
        <f>NPV($D$2,$C9:AO9)*1.061*1.055</f>
        <v>4498.8394671964934</v>
      </c>
      <c r="AP25" s="721">
        <f>NPV($D$2,$C9:AP9)*1.061*1.055</f>
        <v>4532.8096756530376</v>
      </c>
      <c r="AQ25" s="721">
        <f>NPV($D$2,$C9:AQ9)*1.061*1.055</f>
        <v>4565.0089253748802</v>
      </c>
      <c r="AR25" s="721">
        <f>NPV($D$2,$C9:AR9)*1.061*1.055</f>
        <v>4595.5295412249679</v>
      </c>
      <c r="AS25" s="721">
        <f>NPV($D$2,$C9:AS9)*1.061*1.055</f>
        <v>4624.4590349217333</v>
      </c>
      <c r="AT25" s="721">
        <f>NPV($D$2,$C9:AT9)*1.061*1.055</f>
        <v>4651.8803559613216</v>
      </c>
      <c r="AU25" s="721">
        <f>NPV($D$2,$C9:AU9)*1.061*1.055</f>
        <v>4677.8721294585612</v>
      </c>
      <c r="AV25" s="721">
        <f>NPV($D$2,$C9:AV9)*1.061*1.055</f>
        <v>4702.5088815886475</v>
      </c>
      <c r="AW25" s="721">
        <f>NPV($D$2,$C9:AW9)*1.061*1.055</f>
        <v>4725.8612532759316</v>
      </c>
      <c r="AX25" s="721">
        <f>NPV($D$2,$C9:AX9)*1.061*1.055</f>
        <v>4747.9961968339903</v>
      </c>
      <c r="AY25" s="721">
        <f>NPV($D$2,$C9:AY9)*1.061*1.055</f>
        <v>4768.9771859885495</v>
      </c>
      <c r="AZ25" s="722">
        <f>NPV($D$2,$C9:AZ9)*1.061*1.055</f>
        <v>4788.8643794999789</v>
      </c>
    </row>
    <row r="26" spans="1:52" s="708" customFormat="1">
      <c r="A26" s="731">
        <v>7</v>
      </c>
      <c r="B26" s="716" t="s">
        <v>535</v>
      </c>
      <c r="C26" s="720">
        <f>NPV($D$2,$C10:C10)*1.061*1.055</f>
        <v>13.995599424425656</v>
      </c>
      <c r="D26" s="721">
        <f>NPV($D$2,$C10:D10)*1.061*1.055</f>
        <v>27.261570442838604</v>
      </c>
      <c r="E26" s="721">
        <f>NPV($D$2,$C10:E10)*1.061*1.055</f>
        <v>39.835950555078362</v>
      </c>
      <c r="F26" s="721">
        <f>NPV($D$2,$C10:F10)*1.061*1.055</f>
        <v>51.754794263362484</v>
      </c>
      <c r="G26" s="721">
        <f>NPV($D$2,$C10:G10)*1.061*1.055</f>
        <v>63.117211696631252</v>
      </c>
      <c r="H26" s="721">
        <f>NPV($D$2,$C10:H10)*1.061*1.055</f>
        <v>73.948825609987182</v>
      </c>
      <c r="I26" s="721">
        <f>NPV($D$2,$C10:I10)*1.061*1.055</f>
        <v>84.274099457306136</v>
      </c>
      <c r="J26" s="721">
        <f>NPV($D$2,$C10:J10)*1.061*1.055</f>
        <v>94.061088886044502</v>
      </c>
      <c r="K26" s="721">
        <f>NPV($D$2,$C10:K10)*1.061*1.055</f>
        <v>103.3378561170761</v>
      </c>
      <c r="L26" s="721">
        <f>NPV($D$2,$C10:L10)*1.061*1.055</f>
        <v>112.13100041189284</v>
      </c>
      <c r="M26" s="721">
        <f>NPV($D$2,$C10:M10)*1.061*1.055</f>
        <v>120.46573434062903</v>
      </c>
      <c r="N26" s="721">
        <f>NPV($D$2,$C10:N10)*1.061*1.055</f>
        <v>128.3659560740283</v>
      </c>
      <c r="O26" s="721">
        <f>NPV($D$2,$C10:O10)*1.061*1.055</f>
        <v>135.85431790663424</v>
      </c>
      <c r="P26" s="721">
        <f>NPV($D$2,$C10:P10)*1.061*1.055</f>
        <v>142.95229120768252</v>
      </c>
      <c r="Q26" s="721">
        <f>NPV($D$2,$C10:Q10)*1.061*1.055</f>
        <v>149.68102683031003</v>
      </c>
      <c r="R26" s="721">
        <f>NPV($D$2,$C10:R10)*1.061*1.055</f>
        <v>156.05897528777686</v>
      </c>
      <c r="S26" s="721">
        <f>NPV($D$2,$C10:S10)*1.061*1.055</f>
        <v>162.10442406262692</v>
      </c>
      <c r="T26" s="721">
        <f>NPV($D$2,$C10:T10)*1.061*1.055</f>
        <v>167.83470726153695</v>
      </c>
      <c r="U26" s="721">
        <f>NPV($D$2,$C10:U10)*1.061*1.055</f>
        <v>173.26625531737582</v>
      </c>
      <c r="V26" s="721">
        <f>NPV($D$2,$C10:V10)*1.061*1.055</f>
        <v>178.4146421001615</v>
      </c>
      <c r="W26" s="721">
        <f>NPV($D$2,$C10:W10)*1.061*1.055</f>
        <v>183.2946295719963</v>
      </c>
      <c r="X26" s="721">
        <f>NPV($D$2,$C10:X10)*1.061*1.055</f>
        <v>187.92021011401977</v>
      </c>
      <c r="Y26" s="721">
        <f>NPV($D$2,$C10:Y10)*1.061*1.055</f>
        <v>192.30464664674344</v>
      </c>
      <c r="Z26" s="721">
        <f>NPV($D$2,$C10:Z10)*1.061*1.055</f>
        <v>196.4605106588038</v>
      </c>
      <c r="AA26" s="721">
        <f>NPV($D$2,$C10:AA10)*1.061*1.055</f>
        <v>200.39971825317383</v>
      </c>
      <c r="AB26" s="721">
        <f>NPV($D$2,$C10:AB10)*1.061*1.055</f>
        <v>204.13356431418805</v>
      </c>
      <c r="AC26" s="721">
        <f>NPV($D$2,$C10:AC10)*1.061*1.055</f>
        <v>207.67275489334844</v>
      </c>
      <c r="AD26" s="721">
        <f>NPV($D$2,$C10:AD10)*1.061*1.055</f>
        <v>211.02743790677061</v>
      </c>
      <c r="AE26" s="721">
        <f>NPV($D$2,$C10:AE10)*1.061*1.055</f>
        <v>214.20723223228924</v>
      </c>
      <c r="AF26" s="721">
        <f>NPV($D$2,$C10:AF10)*1.061*1.055</f>
        <v>217.2212552896529</v>
      </c>
      <c r="AG26" s="721">
        <f>NPV($D$2,$C10:AG10)*1.061*1.055</f>
        <v>220.07814918288858</v>
      </c>
      <c r="AH26" s="721">
        <f>NPV($D$2,$C10:AH10)*1.061*1.055</f>
        <v>222.78610547979446</v>
      </c>
      <c r="AI26" s="721">
        <f>NPV($D$2,$C10:AI10)*1.061*1.055</f>
        <v>225.35288869961045</v>
      </c>
      <c r="AJ26" s="721">
        <f>NPV($D$2,$C10:AJ10)*1.061*1.055</f>
        <v>227.78585857621331</v>
      </c>
      <c r="AK26" s="721">
        <f>NPV($D$2,$C10:AK10)*1.061*1.055</f>
        <v>230.09199116067097</v>
      </c>
      <c r="AL26" s="721">
        <f>NPV($D$2,$C10:AL10)*1.061*1.055</f>
        <v>232.27789882366406</v>
      </c>
      <c r="AM26" s="721">
        <f>NPV($D$2,$C10:AM10)*1.061*1.055</f>
        <v>234.34984921512662</v>
      </c>
      <c r="AN26" s="721">
        <f>NPV($D$2,$C10:AN10)*1.061*1.055</f>
        <v>236.31378323547031</v>
      </c>
      <c r="AO26" s="721">
        <f>NPV($D$2,$C10:AO10)*1.061*1.055</f>
        <v>238.17533206991934</v>
      </c>
      <c r="AP26" s="721">
        <f>NPV($D$2,$C10:AP10)*1.061*1.055</f>
        <v>239.93983333479986</v>
      </c>
      <c r="AQ26" s="721">
        <f>NPV($D$2,$C10:AQ10)*1.061*1.055</f>
        <v>241.61234638208006</v>
      </c>
      <c r="AR26" s="721">
        <f>NPV($D$2,$C10:AR10)*1.061*1.055</f>
        <v>243.19766680604226</v>
      </c>
      <c r="AS26" s="721">
        <f>NPV($D$2,$C10:AS10)*1.061*1.055</f>
        <v>244.70034019368421</v>
      </c>
      <c r="AT26" s="721">
        <f>NPV($D$2,$C10:AT10)*1.061*1.055</f>
        <v>246.12467515827373</v>
      </c>
      <c r="AU26" s="721">
        <f>NPV($D$2,$C10:AU10)*1.061*1.055</f>
        <v>247.47475569342967</v>
      </c>
      <c r="AV26" s="721">
        <f>NPV($D$2,$C10:AV10)*1.061*1.055</f>
        <v>248.75445288315095</v>
      </c>
      <c r="AW26" s="721">
        <f>NPV($D$2,$C10:AW10)*1.061*1.055</f>
        <v>249.96743600137015</v>
      </c>
      <c r="AX26" s="721">
        <f>NPV($D$2,$C10:AX10)*1.061*1.055</f>
        <v>251.11718303285753</v>
      </c>
      <c r="AY26" s="721">
        <f>NPV($D$2,$C10:AY10)*1.061*1.055</f>
        <v>252.20699064564181</v>
      </c>
      <c r="AZ26" s="722">
        <f>NPV($D$2,$C10:AZ10)*1.061*1.055</f>
        <v>253.23998364354159</v>
      </c>
    </row>
    <row r="27" spans="1:52" s="708" customFormat="1">
      <c r="A27" s="731">
        <v>8</v>
      </c>
      <c r="B27" s="716" t="s">
        <v>536</v>
      </c>
      <c r="C27" s="720">
        <f>NPV($D$2,$C11:C11)*1.061*1.055</f>
        <v>10.389194630637876</v>
      </c>
      <c r="D27" s="721">
        <f>NPV($D$2,$C11:D11)*1.061*1.055</f>
        <v>20.236772479583731</v>
      </c>
      <c r="E27" s="721">
        <f>NPV($D$2,$C11:E11)*1.061*1.055</f>
        <v>29.570969492802554</v>
      </c>
      <c r="F27" s="721">
        <f>NPV($D$2,$C11:F11)*1.061*1.055</f>
        <v>38.418549600118972</v>
      </c>
      <c r="G27" s="721">
        <f>NPV($D$2,$C11:G11)*1.061*1.055</f>
        <v>46.869816700716925</v>
      </c>
      <c r="H27" s="721">
        <f>NPV($D$2,$C11:H11)*1.061*1.055</f>
        <v>54.942046412489105</v>
      </c>
      <c r="I27" s="721">
        <f>NPV($D$2,$C11:I11)*1.061*1.055</f>
        <v>62.65179021091356</v>
      </c>
      <c r="J27" s="721">
        <f>NPV($D$2,$C11:J11)*1.061*1.055</f>
        <v>69.959604237856169</v>
      </c>
      <c r="K27" s="721">
        <f>NPV($D$2,$C11:K11)*1.061*1.055</f>
        <v>76.886442178086156</v>
      </c>
      <c r="L27" s="721">
        <f>NPV($D$2,$C11:L11)*1.061*1.055</f>
        <v>83.452165344180898</v>
      </c>
      <c r="M27" s="721">
        <f>NPV($D$2,$C11:M11)*1.061*1.055</f>
        <v>89.675599624839421</v>
      </c>
      <c r="N27" s="721">
        <f>NPV($D$2,$C11:N11)*1.061*1.055</f>
        <v>95.574589464326181</v>
      </c>
      <c r="O27" s="721">
        <f>NPV($D$2,$C11:O11)*1.061*1.055</f>
        <v>101.16604902782073</v>
      </c>
      <c r="P27" s="721">
        <f>NPV($D$2,$C11:P11)*1.061*1.055</f>
        <v>106.46601069937955</v>
      </c>
      <c r="Q27" s="721">
        <f>NPV($D$2,$C11:Q11)*1.061*1.055</f>
        <v>111.48999959198223</v>
      </c>
      <c r="R27" s="721">
        <f>NPV($D$2,$C11:R11)*1.061*1.055</f>
        <v>116.25207437170039</v>
      </c>
      <c r="S27" s="721">
        <f>NPV($D$2,$C11:S11)*1.061*1.055</f>
        <v>120.76588932877922</v>
      </c>
      <c r="T27" s="721">
        <f>NPV($D$2,$C11:T11)*1.061*1.055</f>
        <v>125.04438691842738</v>
      </c>
      <c r="U27" s="721">
        <f>NPV($D$2,$C11:U11)*1.061*1.055</f>
        <v>129.09983487070053</v>
      </c>
      <c r="V27" s="721">
        <f>NPV($D$2,$C11:V11)*1.061*1.055</f>
        <v>132.94386136574616</v>
      </c>
      <c r="W27" s="721">
        <f>NPV($D$2,$C11:W11)*1.061*1.055</f>
        <v>136.58748837526807</v>
      </c>
      <c r="X27" s="721">
        <f>NPV($D$2,$C11:X11)*1.061*1.055</f>
        <v>140.04116326581018</v>
      </c>
      <c r="Y27" s="721">
        <f>NPV($D$2,$C11:Y11)*1.061*1.055</f>
        <v>143.3147887544757</v>
      </c>
      <c r="Z27" s="721">
        <f>NPV($D$2,$C11:Z11)*1.061*1.055</f>
        <v>146.41775130297384</v>
      </c>
      <c r="AA27" s="721">
        <f>NPV($D$2,$C11:AA11)*1.061*1.055</f>
        <v>149.35894803140806</v>
      </c>
      <c r="AB27" s="721">
        <f>NPV($D$2,$C11:AB11)*1.061*1.055</f>
        <v>152.14681222897607</v>
      </c>
      <c r="AC27" s="721">
        <f>NPV($D$2,$C11:AC11)*1.061*1.055</f>
        <v>154.78933753472768</v>
      </c>
      <c r="AD27" s="721">
        <f>NPV($D$2,$C11:AD11)*1.061*1.055</f>
        <v>157.29410085771505</v>
      </c>
      <c r="AE27" s="721">
        <f>NPV($D$2,$C11:AE11)*1.061*1.055</f>
        <v>159.66828410225281</v>
      </c>
      <c r="AF27" s="721">
        <f>NPV($D$2,$C11:AF11)*1.061*1.055</f>
        <v>161.91869476058244</v>
      </c>
      <c r="AG27" s="721">
        <f>NPV($D$2,$C11:AG11)*1.061*1.055</f>
        <v>164.05178543198497</v>
      </c>
      <c r="AH27" s="721">
        <f>NPV($D$2,$C11:AH11)*1.061*1.055</f>
        <v>166.07367232430963</v>
      </c>
      <c r="AI27" s="721">
        <f>NPV($D$2,$C11:AI11)*1.061*1.055</f>
        <v>167.99015279096807</v>
      </c>
      <c r="AJ27" s="721">
        <f>NPV($D$2,$C11:AJ11)*1.061*1.055</f>
        <v>169.80672195367748</v>
      </c>
      <c r="AK27" s="721">
        <f>NPV($D$2,$C11:AK11)*1.061*1.055</f>
        <v>171.52858845861533</v>
      </c>
      <c r="AL27" s="721">
        <f>NPV($D$2,$C11:AL11)*1.061*1.055</f>
        <v>173.16068941116302</v>
      </c>
      <c r="AM27" s="721">
        <f>NPV($D$2,$C11:AM11)*1.061*1.055</f>
        <v>174.70770453206131</v>
      </c>
      <c r="AN27" s="721">
        <f>NPV($D$2,$C11:AN11)*1.061*1.055</f>
        <v>176.17406957556685</v>
      </c>
      <c r="AO27" s="721">
        <f>NPV($D$2,$C11:AO11)*1.061*1.055</f>
        <v>177.56398904808387</v>
      </c>
      <c r="AP27" s="721">
        <f>NPV($D$2,$C11:AP11)*1.061*1.055</f>
        <v>178.88144826373991</v>
      </c>
      <c r="AQ27" s="721">
        <f>NPV($D$2,$C11:AQ11)*1.061*1.055</f>
        <v>180.13022477147067</v>
      </c>
      <c r="AR27" s="721">
        <f>NPV($D$2,$C11:AR11)*1.061*1.055</f>
        <v>181.31389918638138</v>
      </c>
      <c r="AS27" s="721">
        <f>NPV($D$2,$C11:AS11)*1.061*1.055</f>
        <v>182.4358654564389</v>
      </c>
      <c r="AT27" s="721">
        <f>NPV($D$2,$C11:AT11)*1.061*1.055</f>
        <v>183.49934059393422</v>
      </c>
      <c r="AU27" s="721">
        <f>NPV($D$2,$C11:AU11)*1.061*1.055</f>
        <v>184.50737389961697</v>
      </c>
      <c r="AV27" s="721">
        <f>NPV($D$2,$C11:AV11)*1.061*1.055</f>
        <v>185.46285570595131</v>
      </c>
      <c r="AW27" s="721">
        <f>NPV($D$2,$C11:AW11)*1.061*1.055</f>
        <v>186.3685256645621</v>
      </c>
      <c r="AX27" s="721">
        <f>NPV($D$2,$C11:AX11)*1.061*1.055</f>
        <v>187.22698060163393</v>
      </c>
      <c r="AY27" s="721">
        <f>NPV($D$2,$C11:AY11)*1.061*1.055</f>
        <v>188.04068196378734</v>
      </c>
      <c r="AZ27" s="722">
        <f>NPV($D$2,$C11:AZ11)*1.061*1.055</f>
        <v>188.81196287578103</v>
      </c>
    </row>
    <row r="28" spans="1:52" s="708" customFormat="1">
      <c r="A28" s="731">
        <v>9</v>
      </c>
      <c r="B28" s="716" t="s">
        <v>537</v>
      </c>
      <c r="C28" s="720">
        <f>NPV($D$2,$C12:C12)*1.061*1.055</f>
        <v>12.293512940407895</v>
      </c>
      <c r="D28" s="721">
        <f>NPV($D$2,$C12:D12)*1.061*1.055</f>
        <v>23.946131841268464</v>
      </c>
      <c r="E28" s="721">
        <f>NPV($D$2,$C12:E12)*1.061*1.055</f>
        <v>34.991268240188425</v>
      </c>
      <c r="F28" s="721">
        <f>NPV($D$2,$C12:F12)*1.061*1.055</f>
        <v>45.460591841060427</v>
      </c>
      <c r="G28" s="721">
        <f>NPV($D$2,$C12:G12)*1.061*1.055</f>
        <v>55.44647138758603</v>
      </c>
      <c r="H28" s="721">
        <f>NPV($D$2,$C12:H12)*1.061*1.055</f>
        <v>64.97085964687669</v>
      </c>
      <c r="I28" s="721">
        <f>NPV($D$2,$C12:I12)*1.061*1.055</f>
        <v>74.054734385159932</v>
      </c>
      <c r="J28" s="721">
        <f>NPV($D$2,$C12:J12)*1.061*1.055</f>
        <v>82.665042193959195</v>
      </c>
      <c r="K28" s="721">
        <f>NPV($D$2,$C12:K12)*1.061*1.055</f>
        <v>90.826471396612561</v>
      </c>
      <c r="L28" s="721">
        <f>NPV($D$2,$C12:L12)*1.061*1.055</f>
        <v>98.562423247468814</v>
      </c>
      <c r="M28" s="721">
        <f>NPV($D$2,$C12:M12)*1.061*1.055</f>
        <v>105.89507903027095</v>
      </c>
      <c r="N28" s="721">
        <f>NPV($D$2,$C12:N12)*1.061*1.055</f>
        <v>112.84546365851941</v>
      </c>
      <c r="O28" s="721">
        <f>NPV($D$2,$C12:O12)*1.061*1.055</f>
        <v>119.43350596017673</v>
      </c>
      <c r="P28" s="721">
        <f>NPV($D$2,$C12:P12)*1.061*1.055</f>
        <v>125.67809581956756</v>
      </c>
      <c r="Q28" s="721">
        <f>NPV($D$2,$C12:Q12)*1.061*1.055</f>
        <v>131.59665891535238</v>
      </c>
      <c r="R28" s="721">
        <f>NPV($D$2,$C12:R12)*1.061*1.055</f>
        <v>137.20667132841854</v>
      </c>
      <c r="S28" s="721">
        <f>NPV($D$2,$C12:S12)*1.061*1.055</f>
        <v>142.52421863938173</v>
      </c>
      <c r="T28" s="721">
        <f>NPV($D$2,$C12:T12)*1.061*1.055</f>
        <v>147.56454784408615</v>
      </c>
      <c r="U28" s="721">
        <f>NPV($D$2,$C12:U12)*1.061*1.055</f>
        <v>152.3421110712942</v>
      </c>
      <c r="V28" s="721">
        <f>NPV($D$2,$C12:V12)*1.061*1.055</f>
        <v>156.87060702125439</v>
      </c>
      <c r="W28" s="721">
        <f>NPV($D$2,$C12:W12)*1.061*1.055</f>
        <v>161.16302024396549</v>
      </c>
      <c r="X28" s="721">
        <f>NPV($D$2,$C12:X12)*1.061*1.055</f>
        <v>165.23165836975798</v>
      </c>
      <c r="Y28" s="721">
        <f>NPV($D$2,$C12:Y12)*1.061*1.055</f>
        <v>169.08818739894519</v>
      </c>
      <c r="Z28" s="721">
        <f>NPV($D$2,$C12:Z12)*1.061*1.055</f>
        <v>172.74366515172929</v>
      </c>
      <c r="AA28" s="721">
        <f>NPV($D$2,$C12:AA12)*1.061*1.055</f>
        <v>176.20857297427344</v>
      </c>
      <c r="AB28" s="721">
        <f>NPV($D$2,$C12:AB12)*1.061*1.055</f>
        <v>179.49284579185081</v>
      </c>
      <c r="AC28" s="721">
        <f>NPV($D$2,$C12:AC12)*1.061*1.055</f>
        <v>182.60590059524171</v>
      </c>
      <c r="AD28" s="721">
        <f>NPV($D$2,$C12:AD12)*1.061*1.055</f>
        <v>185.55666344205775</v>
      </c>
      <c r="AE28" s="721">
        <f>NPV($D$2,$C12:AE12)*1.061*1.055</f>
        <v>188.35359505041413</v>
      </c>
      <c r="AF28" s="721">
        <f>NPV($D$2,$C12:AF12)*1.061*1.055</f>
        <v>191.00471505833491</v>
      </c>
      <c r="AG28" s="721">
        <f>NPV($D$2,$C12:AG12)*1.061*1.055</f>
        <v>193.51762501844945</v>
      </c>
      <c r="AH28" s="721">
        <f>NPV($D$2,$C12:AH12)*1.061*1.055</f>
        <v>195.89953019391339</v>
      </c>
      <c r="AI28" s="721">
        <f>NPV($D$2,$C12:AI12)*1.061*1.055</f>
        <v>198.15726021804983</v>
      </c>
      <c r="AJ28" s="721">
        <f>NPV($D$2,$C12:AJ12)*1.061*1.055</f>
        <v>200.29728867694695</v>
      </c>
      <c r="AK28" s="721">
        <f>NPV($D$2,$C12:AK12)*1.061*1.055</f>
        <v>202.32575167116221</v>
      </c>
      <c r="AL28" s="721">
        <f>NPV($D$2,$C12:AL12)*1.061*1.055</f>
        <v>204.24846540975486</v>
      </c>
      <c r="AM28" s="721">
        <f>NPV($D$2,$C12:AM12)*1.061*1.055</f>
        <v>206.07094288709388</v>
      </c>
      <c r="AN28" s="721">
        <f>NPV($D$2,$C12:AN12)*1.061*1.055</f>
        <v>207.79840969025886</v>
      </c>
      <c r="AO28" s="721">
        <f>NPV($D$2,$C12:AO12)*1.061*1.055</f>
        <v>209.43581898235837</v>
      </c>
      <c r="AP28" s="721">
        <f>NPV($D$2,$C12:AP12)*1.061*1.055</f>
        <v>210.98786570472751</v>
      </c>
      <c r="AQ28" s="721">
        <f>NPV($D$2,$C12:AQ12)*1.061*1.055</f>
        <v>212.45900003872677</v>
      </c>
      <c r="AR28" s="721">
        <f>NPV($D$2,$C12:AR12)*1.061*1.055</f>
        <v>213.85344016574021</v>
      </c>
      <c r="AS28" s="721">
        <f>NPV($D$2,$C12:AS12)*1.061*1.055</f>
        <v>215.17518436196153</v>
      </c>
      <c r="AT28" s="721">
        <f>NPV($D$2,$C12:AT12)*1.061*1.055</f>
        <v>216.42802246264523</v>
      </c>
      <c r="AU28" s="721">
        <f>NPV($D$2,$C12:AU12)*1.061*1.055</f>
        <v>217.61554672869616</v>
      </c>
      <c r="AV28" s="721">
        <f>NPV($D$2,$C12:AV12)*1.061*1.055</f>
        <v>218.74116214675388</v>
      </c>
      <c r="AW28" s="721">
        <f>NPV($D$2,$C12:AW12)*1.061*1.055</f>
        <v>219.80809619230624</v>
      </c>
      <c r="AX28" s="721">
        <f>NPV($D$2,$C12:AX12)*1.061*1.055</f>
        <v>220.81940808382507</v>
      </c>
      <c r="AY28" s="721">
        <f>NPV($D$2,$C12:AY12)*1.061*1.055</f>
        <v>221.77799755445903</v>
      </c>
      <c r="AZ28" s="722">
        <f>NPV($D$2,$C12:AZ12)*1.061*1.055</f>
        <v>222.68661316643431</v>
      </c>
    </row>
    <row r="29" spans="1:52" s="708" customFormat="1">
      <c r="A29" s="731">
        <v>10</v>
      </c>
      <c r="B29" s="716" t="s">
        <v>538</v>
      </c>
      <c r="C29" s="720">
        <f>NPV($D$2,$C13:C13)*1.061*1.055</f>
        <v>9.5735857487742937</v>
      </c>
      <c r="D29" s="721">
        <f>NPV($D$2,$C13:D13)*1.061*1.055</f>
        <v>18.648074610171726</v>
      </c>
      <c r="E29" s="721">
        <f>NPV($D$2,$C13:E13)*1.061*1.055</f>
        <v>27.249485853202472</v>
      </c>
      <c r="F29" s="721">
        <f>NPV($D$2,$C13:F13)*1.061*1.055</f>
        <v>35.402482292094177</v>
      </c>
      <c r="G29" s="721">
        <f>NPV($D$2,$C13:G13)*1.061*1.055</f>
        <v>43.192791068970195</v>
      </c>
      <c r="H29" s="721">
        <f>NPV($D$2,$C13:H13)*1.061*1.055</f>
        <v>50.636069593995842</v>
      </c>
      <c r="I29" s="721">
        <f>NPV($D$2,$C13:I13)*1.061*1.055</f>
        <v>57.74732847041652</v>
      </c>
      <c r="J29" s="721">
        <f>NPV($D$2,$C13:J13)*1.061*1.055</f>
        <v>64.487858211099621</v>
      </c>
      <c r="K29" s="721">
        <f>NPV($D$2,$C13:K13)*1.061*1.055</f>
        <v>70.87698592738694</v>
      </c>
      <c r="L29" s="721">
        <f>NPV($D$2,$C13:L13)*1.061*1.055</f>
        <v>76.933031156095268</v>
      </c>
      <c r="M29" s="721">
        <f>NPV($D$2,$C13:M13)*1.061*1.055</f>
        <v>82.673358387098446</v>
      </c>
      <c r="N29" s="721">
        <f>NPV($D$2,$C13:N13)*1.061*1.055</f>
        <v>88.114426852504295</v>
      </c>
      <c r="O29" s="721">
        <f>NPV($D$2,$C13:O13)*1.061*1.055</f>
        <v>93.271837720187563</v>
      </c>
      <c r="P29" s="721">
        <f>NPV($D$2,$C13:P13)*1.061*1.055</f>
        <v>98.160378826996336</v>
      </c>
      <c r="Q29" s="721">
        <f>NPV($D$2,$C13:Q13)*1.061*1.055</f>
        <v>102.79536791429186</v>
      </c>
      <c r="R29" s="721">
        <f>NPV($D$2,$C13:R13)*1.061*1.055</f>
        <v>107.18872249940608</v>
      </c>
      <c r="S29" s="721">
        <f>NPV($D$2,$C13:S13)*1.061*1.055</f>
        <v>111.35303964169447</v>
      </c>
      <c r="T29" s="721">
        <f>NPV($D$2,$C13:T13)*1.061*1.055</f>
        <v>115.30025968177821</v>
      </c>
      <c r="U29" s="721">
        <f>NPV($D$2,$C13:U13)*1.061*1.055</f>
        <v>119.04170047806613</v>
      </c>
      <c r="V29" s="721">
        <f>NPV($D$2,$C13:V13)*1.061*1.055</f>
        <v>122.58808985843385</v>
      </c>
      <c r="W29" s="721">
        <f>NPV($D$2,$C13:W13)*1.061*1.055</f>
        <v>125.94959638010938</v>
      </c>
      <c r="X29" s="721">
        <f>NPV($D$2,$C13:X13)*1.061*1.055</f>
        <v>129.13585848596298</v>
      </c>
      <c r="Y29" s="721">
        <f>NPV($D$2,$C13:Y13)*1.061*1.055</f>
        <v>132.15601214080053</v>
      </c>
      <c r="Z29" s="721">
        <f>NPV($D$2,$C13:Z13)*1.061*1.055</f>
        <v>135.01871702690246</v>
      </c>
      <c r="AA29" s="721">
        <f>NPV($D$2,$C13:AA13)*1.061*1.055</f>
        <v>137.73218137391854</v>
      </c>
      <c r="AB29" s="721">
        <f>NPV($D$2,$C13:AB13)*1.061*1.055</f>
        <v>140.30418549431286</v>
      </c>
      <c r="AC29" s="721">
        <f>NPV($D$2,$C13:AC13)*1.061*1.055</f>
        <v>142.74210409184306</v>
      </c>
      <c r="AD29" s="721">
        <f>NPV($D$2,$C13:AD13)*1.061*1.055</f>
        <v>145.05292740703757</v>
      </c>
      <c r="AE29" s="721">
        <f>NPV($D$2,$C13:AE13)*1.061*1.055</f>
        <v>147.2432812603025</v>
      </c>
      <c r="AF29" s="721">
        <f>NPV($D$2,$C13:AF13)*1.061*1.055</f>
        <v>149.31944605012706</v>
      </c>
      <c r="AG29" s="721">
        <f>NPV($D$2,$C13:AG13)*1.061*1.055</f>
        <v>151.28737476086127</v>
      </c>
      <c r="AH29" s="721">
        <f>NPV($D$2,$C13:AH13)*1.061*1.055</f>
        <v>153.15271003169934</v>
      </c>
      <c r="AI29" s="721">
        <f>NPV($D$2,$C13:AI13)*1.061*1.055</f>
        <v>154.92080033581132</v>
      </c>
      <c r="AJ29" s="721">
        <f>NPV($D$2,$C13:AJ13)*1.061*1.055</f>
        <v>156.59671531601219</v>
      </c>
      <c r="AK29" s="721">
        <f>NPV($D$2,$C13:AK13)*1.061*1.055</f>
        <v>158.18526032094195</v>
      </c>
      <c r="AL29" s="721">
        <f>NPV($D$2,$C13:AL13)*1.061*1.055</f>
        <v>159.69099018343465</v>
      </c>
      <c r="AM29" s="721">
        <f>NPV($D$2,$C13:AM13)*1.061*1.055</f>
        <v>161.11822228058406</v>
      </c>
      <c r="AN29" s="721">
        <f>NPV($D$2,$C13:AN13)*1.061*1.055</f>
        <v>162.47104891295319</v>
      </c>
      <c r="AO29" s="721">
        <f>NPV($D$2,$C13:AO13)*1.061*1.055</f>
        <v>163.75334903842159</v>
      </c>
      <c r="AP29" s="721">
        <f>NPV($D$2,$C13:AP13)*1.061*1.055</f>
        <v>164.96879939431577</v>
      </c>
      <c r="AQ29" s="721">
        <f>NPV($D$2,$C13:AQ13)*1.061*1.055</f>
        <v>166.12088503971313</v>
      </c>
      <c r="AR29" s="721">
        <f>NPV($D$2,$C13:AR13)*1.061*1.055</f>
        <v>167.21290934814667</v>
      </c>
      <c r="AS29" s="721">
        <f>NPV($D$2,$C13:AS13)*1.061*1.055</f>
        <v>168.24800347936321</v>
      </c>
      <c r="AT29" s="721">
        <f>NPV($D$2,$C13:AT13)*1.061*1.055</f>
        <v>169.22913535729364</v>
      </c>
      <c r="AU29" s="721">
        <f>NPV($D$2,$C13:AU13)*1.061*1.055</f>
        <v>170.1591181799765</v>
      </c>
      <c r="AV29" s="721">
        <f>NPV($D$2,$C13:AV13)*1.061*1.055</f>
        <v>171.04061848583703</v>
      </c>
      <c r="AW29" s="721">
        <f>NPV($D$2,$C13:AW13)*1.061*1.055</f>
        <v>171.8761637994489</v>
      </c>
      <c r="AX29" s="721">
        <f>NPV($D$2,$C13:AX13)*1.061*1.055</f>
        <v>172.66814987870185</v>
      </c>
      <c r="AY29" s="721">
        <f>NPV($D$2,$C13:AY13)*1.061*1.055</f>
        <v>173.41884758415495</v>
      </c>
      <c r="AZ29" s="722">
        <f>NPV($D$2,$C13:AZ13)*1.061*1.055</f>
        <v>174.13040939027158</v>
      </c>
    </row>
    <row r="30" spans="1:52" s="708" customFormat="1">
      <c r="A30" s="731">
        <v>11</v>
      </c>
      <c r="B30" s="723" t="s">
        <v>246</v>
      </c>
      <c r="C30" s="724">
        <f>NPV($D$2,$C14:C14)*1.061*1.055</f>
        <v>7.7036309996441217</v>
      </c>
      <c r="D30" s="725">
        <f>NPV($D$2,$C14:D14)*1.061*1.055</f>
        <v>15.659909891240462</v>
      </c>
      <c r="E30" s="725">
        <f>NPV($D$2,$C14:E14)*1.061*1.055</f>
        <v>23.476155454617867</v>
      </c>
      <c r="F30" s="725">
        <f>NPV($D$2,$C14:F14)*1.061*1.055</f>
        <v>31.072743278812162</v>
      </c>
      <c r="G30" s="725">
        <f>NPV($D$2,$C14:G14)*1.061*1.055</f>
        <v>38.415690662545913</v>
      </c>
      <c r="H30" s="725">
        <f>NPV($D$2,$C14:H14)*1.061*1.055</f>
        <v>45.495323180442043</v>
      </c>
      <c r="I30" s="725">
        <f>NPV($D$2,$C14:I14)*1.061*1.055</f>
        <v>52.28874277706457</v>
      </c>
      <c r="J30" s="725">
        <f>NPV($D$2,$C14:J14)*1.061*1.055</f>
        <v>58.767704531595086</v>
      </c>
      <c r="K30" s="725">
        <f>NPV($D$2,$C14:K14)*1.061*1.055</f>
        <v>64.996773820828039</v>
      </c>
      <c r="L30" s="725">
        <f>NPV($D$2,$C14:L14)*1.061*1.055</f>
        <v>70.927307652630446</v>
      </c>
      <c r="M30" s="725">
        <f>NPV($D$2,$C14:M14)*1.061*1.055</f>
        <v>76.614398296307556</v>
      </c>
      <c r="N30" s="725">
        <f>NPV($D$2,$C14:N14)*1.061*1.055</f>
        <v>82.057457899329876</v>
      </c>
      <c r="O30" s="725">
        <f>NPV($D$2,$C14:O14)*1.061*1.055</f>
        <v>87.215389007968113</v>
      </c>
      <c r="P30" s="725">
        <f>NPV($D$2,$C14:P14)*1.061*1.055</f>
        <v>92.141997309902308</v>
      </c>
      <c r="Q30" s="725">
        <f>NPV($D$2,$C14:Q14)*1.061*1.055</f>
        <v>96.846810425710132</v>
      </c>
      <c r="R30" s="725">
        <f>NPV($D$2,$C14:R14)*1.061*1.055</f>
        <v>101.33597484172108</v>
      </c>
      <c r="S30" s="725">
        <f>NPV($D$2,$C14:S14)*1.061*1.055</f>
        <v>105.58375146698084</v>
      </c>
      <c r="T30" s="725">
        <f>NPV($D$2,$C14:T14)*1.061*1.055</f>
        <v>109.60032729436878</v>
      </c>
      <c r="U30" s="725">
        <f>NPV($D$2,$C14:U14)*1.061*1.055</f>
        <v>113.39346364535868</v>
      </c>
      <c r="V30" s="725">
        <f>NPV($D$2,$C14:V14)*1.061*1.055</f>
        <v>116.98885355151026</v>
      </c>
      <c r="W30" s="725">
        <f>NPV($D$2,$C14:W14)*1.061*1.055</f>
        <v>120.39680606918947</v>
      </c>
      <c r="X30" s="725">
        <f>NPV($D$2,$C14:X14)*1.061*1.055</f>
        <v>123.62709281580484</v>
      </c>
      <c r="Y30" s="725">
        <f>NPV($D$2,$C14:Y14)*1.061*1.055</f>
        <v>126.68897598795212</v>
      </c>
      <c r="Z30" s="725">
        <f>NPV($D$2,$C14:Z14)*1.061*1.055</f>
        <v>129.59123491889738</v>
      </c>
      <c r="AA30" s="725">
        <f>NPV($D$2,$C14:AA14)*1.061*1.055</f>
        <v>132.34219125154695</v>
      </c>
      <c r="AB30" s="725">
        <f>NPV($D$2,$C14:AB14)*1.061*1.055</f>
        <v>134.94973279908206</v>
      </c>
      <c r="AC30" s="725">
        <f>NPV($D$2,$C14:AC14)*1.061*1.055</f>
        <v>137.42133616167459</v>
      </c>
      <c r="AD30" s="725">
        <f>NPV($D$2,$C14:AD14)*1.061*1.055</f>
        <v>139.76408816413198</v>
      </c>
      <c r="AE30" s="725">
        <f>NPV($D$2,$C14:AE14)*1.061*1.055</f>
        <v>141.98470617593992</v>
      </c>
      <c r="AF30" s="725">
        <f>NPV($D$2,$C14:AF14)*1.061*1.055</f>
        <v>144.08955737196641</v>
      </c>
      <c r="AG30" s="725">
        <f>NPV($D$2,$C14:AG14)*1.061*1.055</f>
        <v>146.08467698905312</v>
      </c>
      <c r="AH30" s="725">
        <f>NPV($D$2,$C14:AH14)*1.061*1.055</f>
        <v>147.97578563084144</v>
      </c>
      <c r="AI30" s="725">
        <f>NPV($D$2,$C14:AI14)*1.061*1.055</f>
        <v>149.7683056704513</v>
      </c>
      <c r="AJ30" s="725">
        <f>NPV($D$2,$C14:AJ14)*1.061*1.055</f>
        <v>151.46737679804355</v>
      </c>
      <c r="AK30" s="725">
        <f>NPV($D$2,$C14:AK14)*1.061*1.055</f>
        <v>153.07787075784663</v>
      </c>
      <c r="AL30" s="725">
        <f>NPV($D$2,$C14:AL14)*1.061*1.055</f>
        <v>154.60440531690165</v>
      </c>
      <c r="AM30" s="725">
        <f>NPV($D$2,$C14:AM14)*1.061*1.055</f>
        <v>156.05135750557946</v>
      </c>
      <c r="AN30" s="725">
        <f>NPV($D$2,$C14:AN14)*1.061*1.055</f>
        <v>157.42287616783327</v>
      </c>
      <c r="AO30" s="725">
        <f>NPV($D$2,$C14:AO14)*1.061*1.055</f>
        <v>158.72289385717337</v>
      </c>
      <c r="AP30" s="725">
        <f>NPV($D$2,$C14:AP14)*1.061*1.055</f>
        <v>159.95513811247204</v>
      </c>
      <c r="AQ30" s="725">
        <f>NPV($D$2,$C14:AQ14)*1.061*1.055</f>
        <v>161.1231421459305</v>
      </c>
      <c r="AR30" s="725">
        <f>NPV($D$2,$C14:AR14)*1.061*1.055</f>
        <v>162.23025497385319</v>
      </c>
      <c r="AS30" s="725">
        <f>NPV($D$2,$C14:AS14)*1.061*1.055</f>
        <v>163.27965101927759</v>
      </c>
      <c r="AT30" s="725">
        <f>NPV($D$2,$C14:AT14)*1.061*1.055</f>
        <v>164.27433921399259</v>
      </c>
      <c r="AU30" s="725">
        <f>NPV($D$2,$C14:AU14)*1.061*1.055</f>
        <v>165.21717162604477</v>
      </c>
      <c r="AV30" s="725">
        <f>NPV($D$2,$C14:AV14)*1.061*1.055</f>
        <v>166.11085163746864</v>
      </c>
      <c r="AW30" s="725">
        <f>NPV($D$2,$C14:AW14)*1.061*1.055</f>
        <v>166.95794169569035</v>
      </c>
      <c r="AX30" s="725">
        <f>NPV($D$2,$C14:AX14)*1.061*1.055</f>
        <v>167.76087066082934</v>
      </c>
      <c r="AY30" s="725">
        <f>NPV($D$2,$C14:AY14)*1.061*1.055</f>
        <v>168.52194076996582</v>
      </c>
      <c r="AZ30" s="726">
        <f>NPV($D$2,$C14:AZ14)*1.061*1.055</f>
        <v>169.24333423834167</v>
      </c>
    </row>
    <row r="31" spans="1:52" s="708" customFormat="1">
      <c r="A31" s="731">
        <v>12</v>
      </c>
      <c r="B31" s="716" t="s">
        <v>539</v>
      </c>
      <c r="C31" s="717">
        <f>NPV($D$2,$C15:C15)*1.061*1.055/0.928</f>
        <v>6.996715282771653E-3</v>
      </c>
      <c r="D31" s="718">
        <f>NPV($D$2,$C15:D15)*1.061*1.055/0.928</f>
        <v>1.3496648161320016E-2</v>
      </c>
      <c r="E31" s="718">
        <f>NPV($D$2,$C15:E15)*1.061*1.055/0.928</f>
        <v>1.9538330470342646E-2</v>
      </c>
      <c r="F31" s="718">
        <f>NPV($D$2,$C15:F15)*1.061*1.055/0.928</f>
        <v>2.5157144798969279E-2</v>
      </c>
      <c r="G31" s="718">
        <f>NPV($D$2,$C15:G15)*1.061*1.055/0.928</f>
        <v>3.0479118542810338E-2</v>
      </c>
      <c r="H31" s="718">
        <f>NPV($D$2,$C15:H15)*1.061*1.055/0.928</f>
        <v>3.5519921876251158E-2</v>
      </c>
      <c r="I31" s="718">
        <f>NPV($D$2,$C15:I15)*1.061*1.055/0.928</f>
        <v>4.0294398329264666E-2</v>
      </c>
      <c r="J31" s="718">
        <f>NPV($D$2,$C15:J15)*1.061*1.055/0.928</f>
        <v>4.4816608366532014E-2</v>
      </c>
      <c r="K31" s="718">
        <f>NPV($D$2,$C15:K15)*1.061*1.055/0.928</f>
        <v>4.9099870670563803E-2</v>
      </c>
      <c r="L31" s="718">
        <f>NPV($D$2,$C15:L15)*1.061*1.055/0.928</f>
        <v>5.3156801249719152E-2</v>
      </c>
      <c r="M31" s="718">
        <f>NPV($D$2,$C15:M15)*1.061*1.055/0.928</f>
        <v>5.6999350485656901E-2</v>
      </c>
      <c r="N31" s="718">
        <f>NPV($D$2,$C15:N15)*1.061*1.055/0.928</f>
        <v>6.0638838228726295E-2</v>
      </c>
      <c r="O31" s="718">
        <f>NPV($D$2,$C15:O15)*1.061*1.055/0.928</f>
        <v>6.4085987044092491E-2</v>
      </c>
      <c r="P31" s="718">
        <f>NPV($D$2,$C15:P15)*1.061*1.055/0.928</f>
        <v>6.7353426679510719E-2</v>
      </c>
      <c r="Q31" s="718">
        <f>NPV($D$2,$C15:Q15)*1.061*1.055/0.928</f>
        <v>7.0450525860001903E-2</v>
      </c>
      <c r="R31" s="718">
        <f>NPV($D$2,$C15:R15)*1.061*1.055/0.928</f>
        <v>7.3386164893642844E-2</v>
      </c>
      <c r="S31" s="718">
        <f>NPV($D$2,$C15:S15)*1.061*1.055/0.928</f>
        <v>7.6168761134060806E-2</v>
      </c>
      <c r="T31" s="718">
        <f>NPV($D$2,$C15:T15)*1.061*1.055/0.928</f>
        <v>7.8806293115499609E-2</v>
      </c>
      <c r="U31" s="718">
        <f>NPV($D$2,$C15:U15)*1.061*1.055/0.928</f>
        <v>8.1306323429659641E-2</v>
      </c>
      <c r="V31" s="718">
        <f>NPV($D$2,$C15:V15)*1.061*1.055/0.928</f>
        <v>8.3676020409906085E-2</v>
      </c>
      <c r="W31" s="718">
        <f>NPV($D$2,$C15:W15)*1.061*1.055/0.928</f>
        <v>8.5922178685021222E-2</v>
      </c>
      <c r="X31" s="718">
        <f>NPV($D$2,$C15:X15)*1.061*1.055/0.928</f>
        <v>8.8051238661433676E-2</v>
      </c>
      <c r="Y31" s="718">
        <f>NPV($D$2,$C15:Y15)*1.061*1.055/0.928</f>
        <v>9.0068526720020539E-2</v>
      </c>
      <c r="Z31" s="718">
        <f>NPV($D$2,$C15:Z15)*1.061*1.055/0.928</f>
        <v>9.19806481025673E-2</v>
      </c>
      <c r="AA31" s="718">
        <f>NPV($D$2,$C15:AA15)*1.061*1.055/0.928</f>
        <v>9.3793085431995535E-2</v>
      </c>
      <c r="AB31" s="718">
        <f>NPV($D$2,$C15:AB15)*1.061*1.055/0.928</f>
        <v>9.551103550728296E-2</v>
      </c>
      <c r="AC31" s="718">
        <f>NPV($D$2,$C15:AC15)*1.061*1.055/0.928</f>
        <v>9.7139424204237851E-2</v>
      </c>
      <c r="AD31" s="718">
        <f>NPV($D$2,$C15:AD15)*1.061*1.055/0.928</f>
        <v>9.8682920599455756E-2</v>
      </c>
      <c r="AE31" s="718">
        <f>NPV($D$2,$C15:AE15)*1.061*1.055/0.928</f>
        <v>0.10014595035795616</v>
      </c>
      <c r="AF31" s="718">
        <f>NPV($D$2,$C15:AF15)*1.061*1.055/0.928</f>
        <v>0.10153270842288545</v>
      </c>
      <c r="AG31" s="718">
        <f>NPV($D$2,$C15:AG15)*1.061*1.055/0.928</f>
        <v>0.1028471710436715</v>
      </c>
      <c r="AH31" s="718">
        <f>NPV($D$2,$C15:AH15)*1.061*1.055/0.928</f>
        <v>0.104093107177118</v>
      </c>
      <c r="AI31" s="718">
        <f>NPV($D$2,$C15:AI15)*1.061*1.055/0.928</f>
        <v>0.10527408929412888</v>
      </c>
      <c r="AJ31" s="718">
        <f>NPV($D$2,$C15:AJ15)*1.061*1.055/0.928</f>
        <v>0.10639350362304915</v>
      </c>
      <c r="AK31" s="718">
        <f>NPV($D$2,$C15:AK15)*1.061*1.055/0.928</f>
        <v>0.10745455985899258</v>
      </c>
      <c r="AL31" s="718">
        <f>NPV($D$2,$C15:AL15)*1.061*1.055/0.928</f>
        <v>0.10846030036699579</v>
      </c>
      <c r="AM31" s="718">
        <f>NPV($D$2,$C15:AM15)*1.061*1.055/0.928</f>
        <v>0.10941360890538744</v>
      </c>
      <c r="AN31" s="718">
        <f>NPV($D$2,$C15:AN15)*1.061*1.055/0.928</f>
        <v>0.1103172188943843</v>
      </c>
      <c r="AO31" s="718">
        <f>NPV($D$2,$C15:AO15)*1.061*1.055/0.928</f>
        <v>0.11117372125362301</v>
      </c>
      <c r="AP31" s="718">
        <f>NPV($D$2,$C15:AP15)*1.061*1.055/0.928</f>
        <v>0.11198557183110047</v>
      </c>
      <c r="AQ31" s="718">
        <f>NPV($D$2,$C15:AQ15)*1.061*1.055/0.928</f>
        <v>0.11275509844482319</v>
      </c>
      <c r="AR31" s="718">
        <f>NPV($D$2,$C15:AR15)*1.061*1.055/0.928</f>
        <v>0.11348450755735656</v>
      </c>
      <c r="AS31" s="718">
        <f>NPV($D$2,$C15:AS15)*1.061*1.055/0.928</f>
        <v>0.1141758906024119</v>
      </c>
      <c r="AT31" s="718">
        <f>NPV($D$2,$C15:AT15)*1.061*1.055/0.928</f>
        <v>0.11483122998161126</v>
      </c>
      <c r="AU31" s="718">
        <f>NPV($D$2,$C15:AU15)*1.061*1.055/0.928</f>
        <v>0.11545240474862488</v>
      </c>
      <c r="AV31" s="718">
        <f>NPV($D$2,$C15:AV15)*1.061*1.055/0.928</f>
        <v>0.116041195996979</v>
      </c>
      <c r="AW31" s="718">
        <f>NPV($D$2,$C15:AW15)*1.061*1.055/0.928</f>
        <v>0.11659929196698295</v>
      </c>
      <c r="AX31" s="718">
        <f>NPV($D$2,$C15:AX15)*1.061*1.055/0.928</f>
        <v>0.11712829288641798</v>
      </c>
      <c r="AY31" s="718">
        <f>NPV($D$2,$C15:AY15)*1.061*1.055/0.928</f>
        <v>0.11762971555886818</v>
      </c>
      <c r="AZ31" s="719">
        <f>NPV($D$2,$C15:AZ15)*1.061*1.055/0.928</f>
        <v>0.11810499771284945</v>
      </c>
    </row>
    <row r="32" spans="1:52" s="708" customFormat="1">
      <c r="A32" s="731">
        <v>13</v>
      </c>
      <c r="B32" s="716" t="s">
        <v>540</v>
      </c>
      <c r="C32" s="720">
        <f>NPV($D$2,$C16:C16)*1.061*1.055</f>
        <v>0.9310274999999999</v>
      </c>
      <c r="D32" s="721">
        <f>NPV($D$2,$C16:D16)*1.061*1.055</f>
        <v>1.8135180213270139</v>
      </c>
      <c r="E32" s="721">
        <f>NPV($D$2,$C16:E16)*1.061*1.055</f>
        <v>2.6500019277981179</v>
      </c>
      <c r="F32" s="721">
        <f>NPV($D$2,$C16:F16)*1.061*1.055</f>
        <v>3.4428776685290212</v>
      </c>
      <c r="G32" s="721">
        <f>NPV($D$2,$C16:G16)*1.061*1.055</f>
        <v>4.1944186550038118</v>
      </c>
      <c r="H32" s="721">
        <f>NPV($D$2,$C16:H16)*1.061*1.055</f>
        <v>4.9067797796244665</v>
      </c>
      <c r="I32" s="721">
        <f>NPV($D$2,$C16:I16)*1.061*1.055</f>
        <v>5.5820035944307742</v>
      </c>
      <c r="J32" s="721">
        <f>NPV($D$2,$C16:J16)*1.061*1.055</f>
        <v>6.2220261677068942</v>
      </c>
      <c r="K32" s="721">
        <f>NPV($D$2,$C16:K16)*1.061*1.055</f>
        <v>6.8286826352671994</v>
      </c>
      <c r="L32" s="721">
        <f>NPV($D$2,$C16:L16)*1.061*1.055</f>
        <v>7.4037124623385786</v>
      </c>
      <c r="M32" s="721">
        <f>NPV($D$2,$C16:M16)*1.061*1.055</f>
        <v>7.9487644311266141</v>
      </c>
      <c r="N32" s="721">
        <f>NPV($D$2,$C16:N16)*1.061*1.055</f>
        <v>8.4654013683664591</v>
      </c>
      <c r="O32" s="721">
        <f>NPV($D$2,$C16:O16)*1.061*1.055</f>
        <v>8.9551046264137053</v>
      </c>
      <c r="P32" s="721">
        <f>NPV($D$2,$C16:P16)*1.061*1.055</f>
        <v>9.4192783307238912</v>
      </c>
      <c r="Q32" s="721">
        <f>NPV($D$2,$C16:Q16)*1.061*1.055</f>
        <v>9.8592534058994232</v>
      </c>
      <c r="R32" s="721">
        <f>NPV($D$2,$C16:R16)*1.061*1.055</f>
        <v>10.276291391847796</v>
      </c>
      <c r="S32" s="721">
        <f>NPV($D$2,$C16:S16)*1.061*1.055</f>
        <v>10.671588060993169</v>
      </c>
      <c r="T32" s="721">
        <f>NPV($D$2,$C16:T16)*1.061*1.055</f>
        <v>11.046276846912958</v>
      </c>
      <c r="U32" s="721">
        <f>NPV($D$2,$C16:U16)*1.061*1.055</f>
        <v>11.401432094230293</v>
      </c>
      <c r="V32" s="721">
        <f>NPV($D$2,$C16:V16)*1.061*1.055</f>
        <v>11.738072139080845</v>
      </c>
      <c r="W32" s="721">
        <f>NPV($D$2,$C16:W16)*1.061*1.055</f>
        <v>12.057162228986583</v>
      </c>
      <c r="X32" s="721">
        <f>NPV($D$2,$C16:X16)*1.061*1.055</f>
        <v>12.359617290508609</v>
      </c>
      <c r="Y32" s="721">
        <f>NPV($D$2,$C16:Y16)*1.061*1.055</f>
        <v>12.646304552614797</v>
      </c>
      <c r="Z32" s="721">
        <f>NPV($D$2,$C16:Z16)*1.061*1.055</f>
        <v>12.918046033284169</v>
      </c>
      <c r="AA32" s="721">
        <f>NPV($D$2,$C16:AA16)*1.061*1.055</f>
        <v>13.175620896477886</v>
      </c>
      <c r="AB32" s="721">
        <f>NPV($D$2,$C16:AB16)*1.061*1.055</f>
        <v>13.419767686234962</v>
      </c>
      <c r="AC32" s="721">
        <f>NPV($D$2,$C16:AC16)*1.061*1.055</f>
        <v>13.651186444298542</v>
      </c>
      <c r="AD32" s="721">
        <f>NPV($D$2,$C16:AD16)*1.061*1.055</f>
        <v>13.870540717344591</v>
      </c>
      <c r="AE32" s="721">
        <f>NPV($D$2,$C16:AE16)*1.061*1.055</f>
        <v>14.078459459568332</v>
      </c>
      <c r="AF32" s="721">
        <f>NPV($D$2,$C16:AF16)*1.061*1.055</f>
        <v>14.275538836083728</v>
      </c>
      <c r="AG32" s="721">
        <f>NPV($D$2,$C16:AG16)*1.061*1.055</f>
        <v>14.462343932306851</v>
      </c>
      <c r="AH32" s="721">
        <f>NPV($D$2,$C16:AH16)*1.061*1.055</f>
        <v>14.639410374224505</v>
      </c>
      <c r="AI32" s="721">
        <f>NPV($D$2,$C16:AI16)*1.061*1.055</f>
        <v>14.807245864193845</v>
      </c>
      <c r="AJ32" s="721">
        <f>NPV($D$2,$C16:AJ16)*1.061*1.055</f>
        <v>14.96633163667663</v>
      </c>
      <c r="AK32" s="721">
        <f>NPV($D$2,$C16:AK16)*1.061*1.055</f>
        <v>15.117123838082113</v>
      </c>
      <c r="AL32" s="721">
        <f>NPV($D$2,$C16:AL16)*1.061*1.055</f>
        <v>15.260054834674989</v>
      </c>
      <c r="AM32" s="721">
        <f>NPV($D$2,$C16:AM16)*1.061*1.055</f>
        <v>15.395534452298568</v>
      </c>
      <c r="AN32" s="721">
        <f>NPV($D$2,$C16:AN16)*1.061*1.055</f>
        <v>15.523951151467836</v>
      </c>
      <c r="AO32" s="721">
        <f>NPV($D$2,$C16:AO16)*1.061*1.055</f>
        <v>15.645673141201742</v>
      </c>
      <c r="AP32" s="721">
        <f>NPV($D$2,$C16:AP16)*1.061*1.055</f>
        <v>15.761049434788381</v>
      </c>
      <c r="AQ32" s="721">
        <f>NPV($D$2,$C16:AQ16)*1.061*1.055</f>
        <v>15.870410850510314</v>
      </c>
      <c r="AR32" s="721">
        <f>NPV($D$2,$C16:AR16)*1.061*1.055</f>
        <v>15.97407096019935</v>
      </c>
      <c r="AS32" s="721">
        <f>NPV($D$2,$C16:AS16)*1.061*1.055</f>
        <v>16.07232698834062</v>
      </c>
      <c r="AT32" s="721">
        <f>NPV($D$2,$C16:AT16)*1.061*1.055</f>
        <v>16.165460664303904</v>
      </c>
      <c r="AU32" s="721">
        <f>NPV($D$2,$C16:AU16)*1.061*1.055</f>
        <v>16.25373903014588</v>
      </c>
      <c r="AV32" s="721">
        <f>NPV($D$2,$C16:AV16)*1.061*1.055</f>
        <v>16.337415206299415</v>
      </c>
      <c r="AW32" s="721">
        <f>NPV($D$2,$C16:AW16)*1.061*1.055</f>
        <v>16.416729117345419</v>
      </c>
      <c r="AX32" s="721">
        <f>NPV($D$2,$C16:AX16)*1.061*1.055</f>
        <v>16.491908179948265</v>
      </c>
      <c r="AY32" s="721">
        <f>NPV($D$2,$C16:AY16)*1.061*1.055</f>
        <v>16.563167954927266</v>
      </c>
      <c r="AZ32" s="722">
        <f>NPV($D$2,$C16:AZ16)*1.061*1.055</f>
        <v>16.6307127653339</v>
      </c>
    </row>
    <row r="33" spans="1:52" s="708" customFormat="1" ht="12.75" thickBot="1">
      <c r="A33" s="731">
        <v>14</v>
      </c>
      <c r="B33" s="727" t="s">
        <v>541</v>
      </c>
      <c r="C33" s="728">
        <f>NPV($D$2,$C17:C17)*1.061*1.055</f>
        <v>0.9310274999999999</v>
      </c>
      <c r="D33" s="729">
        <f>NPV($D$2,$C17:D17)*1.061*1.055</f>
        <v>1.8135180213270139</v>
      </c>
      <c r="E33" s="729">
        <f>NPV($D$2,$C17:E17)*1.061*1.055</f>
        <v>2.6500019277981179</v>
      </c>
      <c r="F33" s="729">
        <f>NPV($D$2,$C17:F17)*1.061*1.055</f>
        <v>3.4428776685290212</v>
      </c>
      <c r="G33" s="729">
        <f>NPV($D$2,$C17:G17)*1.061*1.055</f>
        <v>4.1944186550038118</v>
      </c>
      <c r="H33" s="729">
        <f>NPV($D$2,$C17:H17)*1.061*1.055</f>
        <v>4.9067797796244665</v>
      </c>
      <c r="I33" s="729">
        <f>NPV($D$2,$C17:I17)*1.061*1.055</f>
        <v>5.5820035944307742</v>
      </c>
      <c r="J33" s="729">
        <f>NPV($D$2,$C17:J17)*1.061*1.055</f>
        <v>6.2220261677068942</v>
      </c>
      <c r="K33" s="729">
        <f>NPV($D$2,$C17:K17)*1.061*1.055</f>
        <v>6.8286826352671994</v>
      </c>
      <c r="L33" s="729">
        <f>NPV($D$2,$C17:L17)*1.061*1.055</f>
        <v>7.4037124623385786</v>
      </c>
      <c r="M33" s="729">
        <f>NPV($D$2,$C17:M17)*1.061*1.055</f>
        <v>7.9487644311266141</v>
      </c>
      <c r="N33" s="729">
        <f>NPV($D$2,$C17:N17)*1.061*1.055</f>
        <v>8.4654013683664591</v>
      </c>
      <c r="O33" s="729">
        <f>NPV($D$2,$C17:O17)*1.061*1.055</f>
        <v>8.9551046264137053</v>
      </c>
      <c r="P33" s="729">
        <f>NPV($D$2,$C17:P17)*1.061*1.055</f>
        <v>9.4192783307238912</v>
      </c>
      <c r="Q33" s="729">
        <f>NPV($D$2,$C17:Q17)*1.061*1.055</f>
        <v>9.8592534058994232</v>
      </c>
      <c r="R33" s="729">
        <f>NPV($D$2,$C17:R17)*1.061*1.055</f>
        <v>10.276291391847796</v>
      </c>
      <c r="S33" s="729">
        <f>NPV($D$2,$C17:S17)*1.061*1.055</f>
        <v>10.671588060993169</v>
      </c>
      <c r="T33" s="729">
        <f>NPV($D$2,$C17:T17)*1.061*1.055</f>
        <v>11.046276846912958</v>
      </c>
      <c r="U33" s="729">
        <f>NPV($D$2,$C17:U17)*1.061*1.055</f>
        <v>11.401432094230293</v>
      </c>
      <c r="V33" s="729">
        <f>NPV($D$2,$C17:V17)*1.061*1.055</f>
        <v>11.738072139080845</v>
      </c>
      <c r="W33" s="729">
        <f>NPV($D$2,$C17:W17)*1.061*1.055</f>
        <v>12.057162228986583</v>
      </c>
      <c r="X33" s="729">
        <f>NPV($D$2,$C17:X17)*1.061*1.055</f>
        <v>12.359617290508609</v>
      </c>
      <c r="Y33" s="729">
        <f>NPV($D$2,$C17:Y17)*1.061*1.055</f>
        <v>12.646304552614797</v>
      </c>
      <c r="Z33" s="729">
        <f>NPV($D$2,$C17:Z17)*1.061*1.055</f>
        <v>12.918046033284169</v>
      </c>
      <c r="AA33" s="729">
        <f>NPV($D$2,$C17:AA17)*1.061*1.055</f>
        <v>13.175620896477886</v>
      </c>
      <c r="AB33" s="729">
        <f>NPV($D$2,$C17:AB17)*1.061*1.055</f>
        <v>13.419767686234962</v>
      </c>
      <c r="AC33" s="729">
        <f>NPV($D$2,$C17:AC17)*1.061*1.055</f>
        <v>13.651186444298542</v>
      </c>
      <c r="AD33" s="729">
        <f>NPV($D$2,$C17:AD17)*1.061*1.055</f>
        <v>13.870540717344591</v>
      </c>
      <c r="AE33" s="729">
        <f>NPV($D$2,$C17:AE17)*1.061*1.055</f>
        <v>14.078459459568332</v>
      </c>
      <c r="AF33" s="729">
        <f>NPV($D$2,$C17:AF17)*1.061*1.055</f>
        <v>14.275538836083728</v>
      </c>
      <c r="AG33" s="729">
        <f>NPV($D$2,$C17:AG17)*1.061*1.055</f>
        <v>14.462343932306851</v>
      </c>
      <c r="AH33" s="729">
        <f>NPV($D$2,$C17:AH17)*1.061*1.055</f>
        <v>14.639410374224505</v>
      </c>
      <c r="AI33" s="729">
        <f>NPV($D$2,$C17:AI17)*1.061*1.055</f>
        <v>14.807245864193845</v>
      </c>
      <c r="AJ33" s="729">
        <f>NPV($D$2,$C17:AJ17)*1.061*1.055</f>
        <v>14.96633163667663</v>
      </c>
      <c r="AK33" s="729">
        <f>NPV($D$2,$C17:AK17)*1.061*1.055</f>
        <v>15.117123838082113</v>
      </c>
      <c r="AL33" s="729">
        <f>NPV($D$2,$C17:AL17)*1.061*1.055</f>
        <v>15.260054834674989</v>
      </c>
      <c r="AM33" s="729">
        <f>NPV($D$2,$C17:AM17)*1.061*1.055</f>
        <v>15.395534452298568</v>
      </c>
      <c r="AN33" s="729">
        <f>NPV($D$2,$C17:AN17)*1.061*1.055</f>
        <v>15.523951151467836</v>
      </c>
      <c r="AO33" s="729">
        <f>NPV($D$2,$C17:AO17)*1.061*1.055</f>
        <v>15.645673141201742</v>
      </c>
      <c r="AP33" s="729">
        <f>NPV($D$2,$C17:AP17)*1.061*1.055</f>
        <v>15.761049434788381</v>
      </c>
      <c r="AQ33" s="729">
        <f>NPV($D$2,$C17:AQ17)*1.061*1.055</f>
        <v>15.870410850510314</v>
      </c>
      <c r="AR33" s="729">
        <f>NPV($D$2,$C17:AR17)*1.061*1.055</f>
        <v>15.97407096019935</v>
      </c>
      <c r="AS33" s="729">
        <f>NPV($D$2,$C17:AS17)*1.061*1.055</f>
        <v>16.07232698834062</v>
      </c>
      <c r="AT33" s="729">
        <f>NPV($D$2,$C17:AT17)*1.061*1.055</f>
        <v>16.165460664303904</v>
      </c>
      <c r="AU33" s="729">
        <f>NPV($D$2,$C17:AU17)*1.061*1.055</f>
        <v>16.25373903014588</v>
      </c>
      <c r="AV33" s="729">
        <f>NPV($D$2,$C17:AV17)*1.061*1.055</f>
        <v>16.337415206299415</v>
      </c>
      <c r="AW33" s="729">
        <f>NPV($D$2,$C17:AW17)*1.061*1.055</f>
        <v>16.416729117345419</v>
      </c>
      <c r="AX33" s="729">
        <f>NPV($D$2,$C17:AX17)*1.061*1.055</f>
        <v>16.491908179948265</v>
      </c>
      <c r="AY33" s="729">
        <f>NPV($D$2,$C17:AY17)*1.061*1.055</f>
        <v>16.563167954927266</v>
      </c>
      <c r="AZ33" s="730">
        <f>NPV($D$2,$C17:AZ17)*1.061*1.055</f>
        <v>16.6307127653339</v>
      </c>
    </row>
    <row r="41" spans="1:52" ht="12.75" thickBot="1"/>
    <row r="42" spans="1:52" ht="13.5" thickBot="1">
      <c r="C42" s="733" t="s">
        <v>518</v>
      </c>
      <c r="D42" s="732" t="s">
        <v>519</v>
      </c>
    </row>
    <row r="43" spans="1:52" ht="12.75">
      <c r="C43" s="734" t="str">
        <f>IF('Prescriptive Path'!I5="","",IF('Prescriptive Path'!I5="Yes","N","Not N"))</f>
        <v/>
      </c>
      <c r="D43" s="735" t="s">
        <v>363</v>
      </c>
    </row>
    <row r="44" spans="1:52" ht="12.75">
      <c r="C44" s="736" t="str">
        <f>IF(OR(ElecUtility="&lt;Select One&gt;", ElecUtility=""),"NEED Elec Utility",IF(OR(ElecUtility="NYSEG",ElecUtility="RG &amp; E",ElecUtility="NatGrid"),"Upstate",IF(C43="N","NYC","Lower Hudson")))</f>
        <v>NEED Elec Utility</v>
      </c>
      <c r="D44" s="737" t="str">
        <f>IF(C44="NYC",4, IF(C44="lower hudson",3,IF(C44="upstate",2,"")))</f>
        <v/>
      </c>
    </row>
    <row r="45" spans="1:52" ht="12.75">
      <c r="C45" s="736" t="str">
        <f>IF(OR(ElecUtility="&lt;Select One&gt;", ElecUtility=""),"NEED Elec Utility",IF(C43="N","NYC","Upstate"))</f>
        <v>NEED Elec Utility</v>
      </c>
      <c r="D45" s="737" t="str">
        <f>IF(C45="NYC",6,IF(C45="upstate",5,""))</f>
        <v/>
      </c>
    </row>
    <row r="46" spans="1:52" ht="12.75">
      <c r="C46" s="736" t="str">
        <f>IF(OR(GasUtility="&lt;Select One&gt;", GasUtility=""),"NEED Gas Utility",IF(GasUtility="Other","Upstate","Downstate"))</f>
        <v>NEED Gas Utility</v>
      </c>
      <c r="D46" s="737" t="str">
        <f>IF(C46="downstate",7,IF(C46="upstate",8,""))</f>
        <v/>
      </c>
    </row>
    <row r="47" spans="1:52" ht="12.75">
      <c r="C47" s="736" t="str">
        <f>C46</f>
        <v>NEED Gas Utility</v>
      </c>
      <c r="D47" s="737" t="str">
        <f>IF(C47="downstate",9,IF(C47="upstate",10,""))</f>
        <v/>
      </c>
    </row>
    <row r="48" spans="1:52" ht="13.5" thickBot="1">
      <c r="C48" s="738">
        <f>'Avoided Costs'!D2</f>
        <v>5.5E-2</v>
      </c>
      <c r="D48" s="739" t="s">
        <v>363</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O30"/>
  <sheetViews>
    <sheetView topLeftCell="A2" zoomScaleNormal="100" workbookViewId="0">
      <selection activeCell="E13" sqref="E13"/>
    </sheetView>
  </sheetViews>
  <sheetFormatPr defaultRowHeight="15"/>
  <cols>
    <col min="1" max="1" width="19.28515625" style="241" bestFit="1" customWidth="1"/>
    <col min="2" max="2" width="11.42578125" style="241" customWidth="1"/>
    <col min="3" max="3" width="11.140625" style="241" customWidth="1"/>
    <col min="4" max="4" width="16.85546875" style="241" customWidth="1"/>
    <col min="5" max="5" width="15.85546875" style="241" customWidth="1"/>
    <col min="6" max="7" width="12.140625" style="241" customWidth="1"/>
    <col min="8" max="10" width="11.140625" style="241" customWidth="1"/>
    <col min="11" max="19" width="12.140625" style="241" customWidth="1"/>
    <col min="20" max="22" width="11.140625" style="241" customWidth="1"/>
    <col min="23" max="34" width="12.140625" style="241" customWidth="1"/>
    <col min="35" max="40" width="11.28515625" style="241" customWidth="1"/>
    <col min="41" max="56" width="12.28515625" style="241" customWidth="1"/>
    <col min="57" max="58" width="9.140625" style="241" customWidth="1"/>
    <col min="59" max="67" width="9.7109375" style="241" customWidth="1"/>
    <col min="68" max="16384" width="9.140625" style="241"/>
  </cols>
  <sheetData>
    <row r="1" spans="1:67" ht="15.75" hidden="1" thickBot="1">
      <c r="A1" s="241">
        <v>1</v>
      </c>
      <c r="B1" s="241">
        <v>2</v>
      </c>
      <c r="C1" s="241">
        <v>3</v>
      </c>
      <c r="D1" s="241">
        <v>4</v>
      </c>
      <c r="E1" s="241">
        <v>5</v>
      </c>
      <c r="F1" s="241">
        <v>6</v>
      </c>
      <c r="G1" s="241">
        <v>7</v>
      </c>
      <c r="H1" s="241">
        <v>8</v>
      </c>
      <c r="I1" s="241">
        <v>9</v>
      </c>
      <c r="J1" s="241">
        <v>10</v>
      </c>
      <c r="K1" s="241">
        <v>11</v>
      </c>
      <c r="L1" s="241">
        <v>12</v>
      </c>
      <c r="M1" s="241">
        <v>13</v>
      </c>
      <c r="N1" s="241">
        <v>14</v>
      </c>
      <c r="O1" s="241">
        <v>15</v>
      </c>
      <c r="P1" s="241">
        <v>16</v>
      </c>
      <c r="Q1" s="241">
        <v>17</v>
      </c>
      <c r="R1" s="241">
        <v>18</v>
      </c>
      <c r="S1" s="241">
        <v>19</v>
      </c>
      <c r="T1" s="241">
        <v>20</v>
      </c>
      <c r="U1" s="241">
        <v>21</v>
      </c>
      <c r="V1" s="241">
        <v>22</v>
      </c>
      <c r="W1" s="241">
        <v>23</v>
      </c>
      <c r="X1" s="241">
        <v>24</v>
      </c>
      <c r="Y1" s="241">
        <v>25</v>
      </c>
      <c r="Z1" s="241">
        <v>26</v>
      </c>
      <c r="AA1" s="241">
        <v>27</v>
      </c>
      <c r="AB1" s="241">
        <v>28</v>
      </c>
      <c r="AC1" s="241">
        <v>29</v>
      </c>
      <c r="AD1" s="241">
        <v>30</v>
      </c>
      <c r="AE1" s="241">
        <v>31</v>
      </c>
      <c r="AF1" s="241">
        <v>32</v>
      </c>
      <c r="AG1" s="241">
        <v>33</v>
      </c>
      <c r="AH1" s="241">
        <v>34</v>
      </c>
      <c r="AI1" s="241">
        <v>35</v>
      </c>
      <c r="AJ1" s="241">
        <v>36</v>
      </c>
      <c r="AK1" s="241">
        <v>37</v>
      </c>
      <c r="AL1" s="241">
        <v>38</v>
      </c>
      <c r="AM1" s="241">
        <v>39</v>
      </c>
      <c r="AN1" s="241">
        <v>40</v>
      </c>
      <c r="AO1" s="241">
        <v>41</v>
      </c>
      <c r="AP1" s="241">
        <v>42</v>
      </c>
      <c r="AQ1" s="241">
        <v>43</v>
      </c>
      <c r="AR1" s="241">
        <v>44</v>
      </c>
      <c r="AS1" s="241">
        <v>45</v>
      </c>
      <c r="AT1" s="241">
        <v>46</v>
      </c>
      <c r="AU1" s="241">
        <v>47</v>
      </c>
      <c r="AV1" s="241">
        <v>48</v>
      </c>
      <c r="AW1" s="241">
        <v>49</v>
      </c>
      <c r="AX1" s="241">
        <v>50</v>
      </c>
      <c r="AY1" s="241">
        <v>51</v>
      </c>
      <c r="AZ1" s="241">
        <v>52</v>
      </c>
      <c r="BA1" s="241">
        <v>53</v>
      </c>
      <c r="BB1" s="241">
        <v>54</v>
      </c>
      <c r="BC1" s="241">
        <v>55</v>
      </c>
      <c r="BD1" s="241">
        <v>56</v>
      </c>
      <c r="BE1" s="241">
        <v>57</v>
      </c>
      <c r="BF1" s="241">
        <v>58</v>
      </c>
      <c r="BG1" s="241">
        <v>59</v>
      </c>
      <c r="BH1" s="241">
        <v>60</v>
      </c>
      <c r="BI1" s="241">
        <v>61</v>
      </c>
      <c r="BJ1" s="241">
        <v>62</v>
      </c>
      <c r="BK1" s="241">
        <v>63</v>
      </c>
      <c r="BL1" s="241">
        <v>64</v>
      </c>
      <c r="BM1" s="241">
        <v>65</v>
      </c>
      <c r="BN1" s="241">
        <v>66</v>
      </c>
      <c r="BO1" s="241">
        <v>67</v>
      </c>
    </row>
    <row r="2" spans="1:67">
      <c r="A2" s="2520" t="s">
        <v>1922</v>
      </c>
      <c r="B2" s="2517" t="s">
        <v>1923</v>
      </c>
      <c r="C2" s="2518"/>
      <c r="D2" s="2519"/>
      <c r="E2" s="2517" t="s">
        <v>1924</v>
      </c>
      <c r="F2" s="2518"/>
      <c r="G2" s="2519"/>
      <c r="H2" s="2517" t="s">
        <v>1925</v>
      </c>
      <c r="I2" s="2518"/>
      <c r="J2" s="2519"/>
      <c r="K2" s="2517" t="s">
        <v>1926</v>
      </c>
      <c r="L2" s="2518"/>
      <c r="M2" s="2519"/>
      <c r="N2" s="2517" t="s">
        <v>1927</v>
      </c>
      <c r="O2" s="2518"/>
      <c r="P2" s="2519"/>
      <c r="Q2" s="2517" t="s">
        <v>1928</v>
      </c>
      <c r="R2" s="2518"/>
      <c r="S2" s="2519"/>
      <c r="T2" s="2517" t="s">
        <v>1929</v>
      </c>
      <c r="U2" s="2518"/>
      <c r="V2" s="2519"/>
      <c r="W2" s="2517" t="s">
        <v>1930</v>
      </c>
      <c r="X2" s="2518"/>
      <c r="Y2" s="2519"/>
      <c r="Z2" s="2517" t="s">
        <v>1931</v>
      </c>
      <c r="AA2" s="2518"/>
      <c r="AB2" s="2519"/>
      <c r="AC2" s="2517" t="s">
        <v>1932</v>
      </c>
      <c r="AD2" s="2518"/>
      <c r="AE2" s="2519"/>
      <c r="AF2" s="2517" t="s">
        <v>1933</v>
      </c>
      <c r="AG2" s="2518"/>
      <c r="AH2" s="2519"/>
      <c r="AI2" s="2517" t="s">
        <v>1934</v>
      </c>
      <c r="AJ2" s="2518"/>
      <c r="AK2" s="2519"/>
      <c r="AL2" s="2517" t="s">
        <v>1935</v>
      </c>
      <c r="AM2" s="2518"/>
      <c r="AN2" s="2519"/>
      <c r="AO2" s="2517" t="s">
        <v>1936</v>
      </c>
      <c r="AP2" s="2518"/>
      <c r="AQ2" s="2519"/>
      <c r="AR2" s="2517" t="s">
        <v>1937</v>
      </c>
      <c r="AS2" s="2518"/>
      <c r="AT2" s="2519"/>
      <c r="AU2" s="2517" t="s">
        <v>1938</v>
      </c>
      <c r="AV2" s="2518"/>
      <c r="AW2" s="2519"/>
      <c r="AX2" s="2517" t="s">
        <v>1939</v>
      </c>
      <c r="AY2" s="2518"/>
      <c r="AZ2" s="2519"/>
      <c r="BA2" s="2517" t="s">
        <v>1940</v>
      </c>
      <c r="BB2" s="2518"/>
      <c r="BC2" s="2519"/>
      <c r="BD2" s="2517" t="s">
        <v>1941</v>
      </c>
      <c r="BE2" s="2518"/>
      <c r="BF2" s="2519"/>
      <c r="BG2" s="2517" t="s">
        <v>1919</v>
      </c>
      <c r="BH2" s="2518"/>
      <c r="BI2" s="2519"/>
      <c r="BJ2" s="2517" t="s">
        <v>1920</v>
      </c>
      <c r="BK2" s="2518"/>
      <c r="BL2" s="2519"/>
      <c r="BM2" s="2517" t="s">
        <v>1921</v>
      </c>
      <c r="BN2" s="2518"/>
      <c r="BO2" s="2519"/>
    </row>
    <row r="3" spans="1:67" ht="26.25" thickBot="1">
      <c r="A3" s="2520"/>
      <c r="B3" s="965" t="s">
        <v>1942</v>
      </c>
      <c r="C3" s="966" t="s">
        <v>1943</v>
      </c>
      <c r="D3" s="967" t="s">
        <v>1944</v>
      </c>
      <c r="E3" s="965" t="s">
        <v>1942</v>
      </c>
      <c r="F3" s="966" t="s">
        <v>1943</v>
      </c>
      <c r="G3" s="967" t="s">
        <v>1944</v>
      </c>
      <c r="H3" s="965" t="s">
        <v>1942</v>
      </c>
      <c r="I3" s="966" t="s">
        <v>1943</v>
      </c>
      <c r="J3" s="967" t="s">
        <v>1944</v>
      </c>
      <c r="K3" s="965" t="s">
        <v>1942</v>
      </c>
      <c r="L3" s="966" t="s">
        <v>1943</v>
      </c>
      <c r="M3" s="967" t="s">
        <v>1944</v>
      </c>
      <c r="N3" s="965" t="s">
        <v>1942</v>
      </c>
      <c r="O3" s="966" t="s">
        <v>1943</v>
      </c>
      <c r="P3" s="967" t="s">
        <v>1944</v>
      </c>
      <c r="Q3" s="965" t="s">
        <v>1942</v>
      </c>
      <c r="R3" s="966" t="s">
        <v>1943</v>
      </c>
      <c r="S3" s="967" t="s">
        <v>1944</v>
      </c>
      <c r="T3" s="965" t="s">
        <v>1942</v>
      </c>
      <c r="U3" s="966" t="s">
        <v>1943</v>
      </c>
      <c r="V3" s="967" t="s">
        <v>1944</v>
      </c>
      <c r="W3" s="965" t="s">
        <v>1942</v>
      </c>
      <c r="X3" s="966" t="s">
        <v>1943</v>
      </c>
      <c r="Y3" s="967" t="s">
        <v>1944</v>
      </c>
      <c r="Z3" s="965" t="s">
        <v>1942</v>
      </c>
      <c r="AA3" s="966" t="s">
        <v>1943</v>
      </c>
      <c r="AB3" s="967" t="s">
        <v>1944</v>
      </c>
      <c r="AC3" s="965" t="s">
        <v>1942</v>
      </c>
      <c r="AD3" s="966" t="s">
        <v>1943</v>
      </c>
      <c r="AE3" s="967" t="s">
        <v>1944</v>
      </c>
      <c r="AF3" s="965" t="s">
        <v>1942</v>
      </c>
      <c r="AG3" s="966" t="s">
        <v>1943</v>
      </c>
      <c r="AH3" s="967" t="s">
        <v>1944</v>
      </c>
      <c r="AI3" s="965" t="s">
        <v>1942</v>
      </c>
      <c r="AJ3" s="966" t="s">
        <v>1943</v>
      </c>
      <c r="AK3" s="967" t="s">
        <v>1944</v>
      </c>
      <c r="AL3" s="965" t="s">
        <v>1942</v>
      </c>
      <c r="AM3" s="966" t="s">
        <v>1943</v>
      </c>
      <c r="AN3" s="967" t="s">
        <v>1944</v>
      </c>
      <c r="AO3" s="965" t="s">
        <v>1942</v>
      </c>
      <c r="AP3" s="966" t="s">
        <v>1943</v>
      </c>
      <c r="AQ3" s="967" t="s">
        <v>1944</v>
      </c>
      <c r="AR3" s="965" t="s">
        <v>1942</v>
      </c>
      <c r="AS3" s="966" t="s">
        <v>1943</v>
      </c>
      <c r="AT3" s="967" t="s">
        <v>1944</v>
      </c>
      <c r="AU3" s="965" t="s">
        <v>1942</v>
      </c>
      <c r="AV3" s="966" t="s">
        <v>1943</v>
      </c>
      <c r="AW3" s="967" t="s">
        <v>1944</v>
      </c>
      <c r="AX3" s="965" t="s">
        <v>1942</v>
      </c>
      <c r="AY3" s="966" t="s">
        <v>1943</v>
      </c>
      <c r="AZ3" s="967" t="s">
        <v>1944</v>
      </c>
      <c r="BA3" s="965" t="s">
        <v>1942</v>
      </c>
      <c r="BB3" s="966" t="s">
        <v>1943</v>
      </c>
      <c r="BC3" s="967" t="s">
        <v>1944</v>
      </c>
      <c r="BD3" s="965" t="s">
        <v>1942</v>
      </c>
      <c r="BE3" s="966" t="s">
        <v>1943</v>
      </c>
      <c r="BF3" s="967" t="s">
        <v>1944</v>
      </c>
      <c r="BG3" s="965" t="s">
        <v>419</v>
      </c>
      <c r="BH3" s="966" t="s">
        <v>420</v>
      </c>
      <c r="BI3" s="967" t="s">
        <v>1945</v>
      </c>
      <c r="BJ3" s="965" t="s">
        <v>419</v>
      </c>
      <c r="BK3" s="966" t="s">
        <v>420</v>
      </c>
      <c r="BL3" s="967" t="s">
        <v>1945</v>
      </c>
      <c r="BM3" s="965" t="s">
        <v>419</v>
      </c>
      <c r="BN3" s="966" t="s">
        <v>420</v>
      </c>
      <c r="BO3" s="967" t="s">
        <v>1945</v>
      </c>
    </row>
    <row r="4" spans="1:67">
      <c r="A4" s="968" t="s">
        <v>405</v>
      </c>
      <c r="B4" s="971">
        <v>18.899999999999999</v>
      </c>
      <c r="C4" s="972">
        <v>1.4E-2</v>
      </c>
      <c r="D4" s="973">
        <v>67</v>
      </c>
      <c r="E4" s="971">
        <v>4.3</v>
      </c>
      <c r="F4" s="972">
        <v>5.0000000000000001E-3</v>
      </c>
      <c r="G4" s="973">
        <v>15.7</v>
      </c>
      <c r="H4" s="971">
        <v>26.8</v>
      </c>
      <c r="I4" s="972">
        <v>1.9E-2</v>
      </c>
      <c r="J4" s="973">
        <v>96.9</v>
      </c>
      <c r="K4" s="971">
        <v>12.2</v>
      </c>
      <c r="L4" s="972">
        <v>1.0999999999999999E-2</v>
      </c>
      <c r="M4" s="973">
        <v>45.6</v>
      </c>
      <c r="N4" s="971">
        <v>7.9</v>
      </c>
      <c r="O4" s="972">
        <v>5.0000000000000001E-3</v>
      </c>
      <c r="P4" s="973">
        <v>29.9</v>
      </c>
      <c r="Q4" s="971">
        <v>2.1</v>
      </c>
      <c r="R4" s="972">
        <v>3.0000000000000001E-3</v>
      </c>
      <c r="S4" s="973">
        <v>8.1</v>
      </c>
      <c r="T4" s="971">
        <v>28.5</v>
      </c>
      <c r="U4" s="972">
        <v>2.1999999999999999E-2</v>
      </c>
      <c r="V4" s="973">
        <v>103.6</v>
      </c>
      <c r="W4" s="971">
        <v>13.9</v>
      </c>
      <c r="X4" s="972">
        <v>1.4E-2</v>
      </c>
      <c r="Y4" s="973">
        <v>52.2</v>
      </c>
      <c r="Z4" s="971">
        <v>9.6</v>
      </c>
      <c r="AA4" s="972">
        <v>8.0000000000000002E-3</v>
      </c>
      <c r="AB4" s="973">
        <v>36.5</v>
      </c>
      <c r="AC4" s="971">
        <v>3.8</v>
      </c>
      <c r="AD4" s="972">
        <v>5.0000000000000001E-3</v>
      </c>
      <c r="AE4" s="973">
        <v>14.7</v>
      </c>
      <c r="AF4" s="971">
        <v>1.7</v>
      </c>
      <c r="AG4" s="972">
        <v>3.0000000000000001E-3</v>
      </c>
      <c r="AH4" s="973">
        <v>6.6</v>
      </c>
      <c r="AI4" s="971">
        <v>156.80000000000001</v>
      </c>
      <c r="AJ4" s="972">
        <v>0.28100000000000003</v>
      </c>
      <c r="AK4" s="973">
        <v>515.6</v>
      </c>
      <c r="AL4" s="971">
        <v>18.8</v>
      </c>
      <c r="AM4" s="972">
        <v>2.5999999999999999E-2</v>
      </c>
      <c r="AN4" s="973">
        <v>104.2</v>
      </c>
      <c r="AO4" s="971">
        <v>6.3</v>
      </c>
      <c r="AP4" s="972">
        <v>1.7999999999999999E-2</v>
      </c>
      <c r="AQ4" s="973">
        <v>39.200000000000003</v>
      </c>
      <c r="AR4" s="971">
        <v>160.9</v>
      </c>
      <c r="AS4" s="972">
        <v>0.29799999999999999</v>
      </c>
      <c r="AT4" s="973">
        <v>545.20000000000005</v>
      </c>
      <c r="AU4" s="971">
        <v>22.9</v>
      </c>
      <c r="AV4" s="972">
        <v>4.3999999999999997E-2</v>
      </c>
      <c r="AW4" s="973">
        <v>133.9</v>
      </c>
      <c r="AX4" s="971">
        <v>10.4</v>
      </c>
      <c r="AY4" s="972">
        <v>3.5000000000000003E-2</v>
      </c>
      <c r="AZ4" s="973">
        <v>68.8</v>
      </c>
      <c r="BA4" s="971">
        <v>4.0999999999999996</v>
      </c>
      <c r="BB4" s="972">
        <v>1.7999999999999999E-2</v>
      </c>
      <c r="BC4" s="973">
        <v>29.6</v>
      </c>
      <c r="BD4" s="971">
        <v>1.8</v>
      </c>
      <c r="BE4" s="972">
        <v>1.7999999999999999E-2</v>
      </c>
      <c r="BF4" s="973">
        <v>14.1</v>
      </c>
      <c r="BG4" s="971">
        <v>148.4</v>
      </c>
      <c r="BH4" s="972">
        <v>0.22800000000000001</v>
      </c>
      <c r="BI4" s="973">
        <v>87.9</v>
      </c>
      <c r="BJ4" s="971">
        <v>72.099999999999994</v>
      </c>
      <c r="BK4" s="972">
        <v>0.11700000000000001</v>
      </c>
      <c r="BL4" s="973">
        <v>36.299999999999997</v>
      </c>
      <c r="BM4" s="971">
        <v>6.4</v>
      </c>
      <c r="BN4" s="972">
        <v>3.0000000000000001E-3</v>
      </c>
      <c r="BO4" s="973">
        <v>11.3</v>
      </c>
    </row>
    <row r="5" spans="1:67">
      <c r="A5" s="969" t="s">
        <v>406</v>
      </c>
      <c r="B5" s="974">
        <v>12.5</v>
      </c>
      <c r="C5" s="975">
        <v>5.0000000000000001E-3</v>
      </c>
      <c r="D5" s="976">
        <v>72.8</v>
      </c>
      <c r="E5" s="974">
        <v>2.8</v>
      </c>
      <c r="F5" s="975">
        <v>0</v>
      </c>
      <c r="G5" s="976">
        <v>17.2</v>
      </c>
      <c r="H5" s="974">
        <v>17.5</v>
      </c>
      <c r="I5" s="975">
        <v>8.0000000000000002E-3</v>
      </c>
      <c r="J5" s="976">
        <v>105.5</v>
      </c>
      <c r="K5" s="974">
        <v>7.7</v>
      </c>
      <c r="L5" s="975">
        <v>3.0000000000000001E-3</v>
      </c>
      <c r="M5" s="976">
        <v>49.9</v>
      </c>
      <c r="N5" s="974">
        <v>4.9000000000000004</v>
      </c>
      <c r="O5" s="975">
        <v>3.0000000000000001E-3</v>
      </c>
      <c r="P5" s="976">
        <v>32.700000000000003</v>
      </c>
      <c r="Q5" s="974">
        <v>1.3</v>
      </c>
      <c r="R5" s="975">
        <v>0</v>
      </c>
      <c r="S5" s="976">
        <v>8.6</v>
      </c>
      <c r="T5" s="974">
        <v>18.5</v>
      </c>
      <c r="U5" s="975">
        <v>1.0999999999999999E-2</v>
      </c>
      <c r="V5" s="976">
        <v>112.7</v>
      </c>
      <c r="W5" s="974">
        <v>8.6999999999999993</v>
      </c>
      <c r="X5" s="975">
        <v>5.0000000000000001E-3</v>
      </c>
      <c r="Y5" s="976">
        <v>57.1</v>
      </c>
      <c r="Z5" s="974">
        <v>6</v>
      </c>
      <c r="AA5" s="975">
        <v>5.0000000000000001E-3</v>
      </c>
      <c r="AB5" s="976">
        <v>39.9</v>
      </c>
      <c r="AC5" s="974">
        <v>2.2999999999999998</v>
      </c>
      <c r="AD5" s="975">
        <v>3.0000000000000001E-3</v>
      </c>
      <c r="AE5" s="976">
        <v>15.8</v>
      </c>
      <c r="AF5" s="974">
        <v>1</v>
      </c>
      <c r="AG5" s="975">
        <v>3.0000000000000001E-3</v>
      </c>
      <c r="AH5" s="976">
        <v>7.2</v>
      </c>
      <c r="AI5" s="974">
        <v>158.9</v>
      </c>
      <c r="AJ5" s="975">
        <v>0.123</v>
      </c>
      <c r="AK5" s="976">
        <v>531.70000000000005</v>
      </c>
      <c r="AL5" s="974">
        <v>18.100000000000001</v>
      </c>
      <c r="AM5" s="975">
        <v>3.5000000000000003E-2</v>
      </c>
      <c r="AN5" s="976">
        <v>110.8</v>
      </c>
      <c r="AO5" s="974">
        <v>6</v>
      </c>
      <c r="AP5" s="975">
        <v>2.5999999999999999E-2</v>
      </c>
      <c r="AQ5" s="976">
        <v>42.7</v>
      </c>
      <c r="AR5" s="974">
        <v>162.80000000000001</v>
      </c>
      <c r="AS5" s="975">
        <v>0.14000000000000001</v>
      </c>
      <c r="AT5" s="976">
        <v>562.9</v>
      </c>
      <c r="AU5" s="974">
        <v>22</v>
      </c>
      <c r="AV5" s="975">
        <v>5.2999999999999999E-2</v>
      </c>
      <c r="AW5" s="976">
        <v>142</v>
      </c>
      <c r="AX5" s="974">
        <v>9.9</v>
      </c>
      <c r="AY5" s="975">
        <v>4.3999999999999997E-2</v>
      </c>
      <c r="AZ5" s="976">
        <v>73.900000000000006</v>
      </c>
      <c r="BA5" s="974">
        <v>3.9</v>
      </c>
      <c r="BB5" s="975">
        <v>1.7999999999999999E-2</v>
      </c>
      <c r="BC5" s="976">
        <v>31.2</v>
      </c>
      <c r="BD5" s="974">
        <v>1.8</v>
      </c>
      <c r="BE5" s="975">
        <v>8.9999999999999993E-3</v>
      </c>
      <c r="BF5" s="976">
        <v>14.9</v>
      </c>
      <c r="BG5" s="974">
        <v>122.3</v>
      </c>
      <c r="BH5" s="975">
        <v>0.17399999999999999</v>
      </c>
      <c r="BI5" s="976">
        <v>99.3</v>
      </c>
      <c r="BJ5" s="974">
        <v>57.3</v>
      </c>
      <c r="BK5" s="975">
        <v>9.0999999999999998E-2</v>
      </c>
      <c r="BL5" s="976">
        <v>42.1</v>
      </c>
      <c r="BM5" s="974">
        <v>6.8</v>
      </c>
      <c r="BN5" s="975">
        <v>3.0000000000000001E-3</v>
      </c>
      <c r="BO5" s="976">
        <v>12.1</v>
      </c>
    </row>
    <row r="6" spans="1:67">
      <c r="A6" s="969" t="s">
        <v>407</v>
      </c>
      <c r="B6" s="974">
        <v>13.2</v>
      </c>
      <c r="C6" s="975">
        <v>8.0000000000000002E-3</v>
      </c>
      <c r="D6" s="976">
        <v>68.8</v>
      </c>
      <c r="E6" s="974">
        <v>3</v>
      </c>
      <c r="F6" s="975">
        <v>3.0000000000000001E-3</v>
      </c>
      <c r="G6" s="976">
        <v>16.5</v>
      </c>
      <c r="H6" s="974">
        <v>18.7</v>
      </c>
      <c r="I6" s="975">
        <v>1.0999999999999999E-2</v>
      </c>
      <c r="J6" s="976">
        <v>100</v>
      </c>
      <c r="K6" s="974">
        <v>8.5</v>
      </c>
      <c r="L6" s="975">
        <v>5.0000000000000001E-3</v>
      </c>
      <c r="M6" s="976">
        <v>47.7</v>
      </c>
      <c r="N6" s="974">
        <v>5.5</v>
      </c>
      <c r="O6" s="975">
        <v>3.0000000000000001E-3</v>
      </c>
      <c r="P6" s="976">
        <v>31.2</v>
      </c>
      <c r="Q6" s="974">
        <v>1.4</v>
      </c>
      <c r="R6" s="975">
        <v>0</v>
      </c>
      <c r="S6" s="976">
        <v>8.1999999999999993</v>
      </c>
      <c r="T6" s="974">
        <v>19.899999999999999</v>
      </c>
      <c r="U6" s="975">
        <v>1.4E-2</v>
      </c>
      <c r="V6" s="976">
        <v>106.8</v>
      </c>
      <c r="W6" s="974">
        <v>9.6999999999999993</v>
      </c>
      <c r="X6" s="975">
        <v>8.0000000000000002E-3</v>
      </c>
      <c r="Y6" s="976">
        <v>54.5</v>
      </c>
      <c r="Z6" s="974">
        <v>6.7</v>
      </c>
      <c r="AA6" s="975">
        <v>5.0000000000000001E-3</v>
      </c>
      <c r="AB6" s="976">
        <v>38</v>
      </c>
      <c r="AC6" s="974">
        <v>2.6</v>
      </c>
      <c r="AD6" s="975">
        <v>3.0000000000000001E-3</v>
      </c>
      <c r="AE6" s="976">
        <v>15</v>
      </c>
      <c r="AF6" s="974">
        <v>1.2</v>
      </c>
      <c r="AG6" s="975">
        <v>3.0000000000000001E-3</v>
      </c>
      <c r="AH6" s="976">
        <v>6.8</v>
      </c>
      <c r="AI6" s="974">
        <v>120.1</v>
      </c>
      <c r="AJ6" s="975">
        <v>0.123</v>
      </c>
      <c r="AK6" s="976">
        <v>506.7</v>
      </c>
      <c r="AL6" s="974">
        <v>10.1</v>
      </c>
      <c r="AM6" s="975">
        <v>4.3999999999999997E-2</v>
      </c>
      <c r="AN6" s="976">
        <v>100.3</v>
      </c>
      <c r="AO6" s="974">
        <v>3.1</v>
      </c>
      <c r="AP6" s="975">
        <v>1.7999999999999999E-2</v>
      </c>
      <c r="AQ6" s="976">
        <v>38.6</v>
      </c>
      <c r="AR6" s="974">
        <v>121.7</v>
      </c>
      <c r="AS6" s="975">
        <v>0.13100000000000001</v>
      </c>
      <c r="AT6" s="976">
        <v>535.6</v>
      </c>
      <c r="AU6" s="974">
        <v>11.7</v>
      </c>
      <c r="AV6" s="975">
        <v>5.2999999999999999E-2</v>
      </c>
      <c r="AW6" s="976">
        <v>129.1</v>
      </c>
      <c r="AX6" s="974">
        <v>4.5999999999999996</v>
      </c>
      <c r="AY6" s="975">
        <v>2.5999999999999999E-2</v>
      </c>
      <c r="AZ6" s="976">
        <v>67.400000000000006</v>
      </c>
      <c r="BA6" s="974">
        <v>1.6</v>
      </c>
      <c r="BB6" s="975">
        <v>8.9999999999999993E-3</v>
      </c>
      <c r="BC6" s="976">
        <v>28.8</v>
      </c>
      <c r="BD6" s="974">
        <v>0.7</v>
      </c>
      <c r="BE6" s="975">
        <v>0</v>
      </c>
      <c r="BF6" s="976">
        <v>13.9</v>
      </c>
      <c r="BG6" s="974">
        <v>121.1</v>
      </c>
      <c r="BH6" s="975">
        <v>0.16400000000000001</v>
      </c>
      <c r="BI6" s="976">
        <v>90.8</v>
      </c>
      <c r="BJ6" s="974">
        <v>56.3</v>
      </c>
      <c r="BK6" s="975">
        <v>8.4000000000000005E-2</v>
      </c>
      <c r="BL6" s="976">
        <v>37.299999999999997</v>
      </c>
      <c r="BM6" s="974">
        <v>5.6</v>
      </c>
      <c r="BN6" s="975">
        <v>3.0000000000000001E-3</v>
      </c>
      <c r="BO6" s="976">
        <v>12</v>
      </c>
    </row>
    <row r="7" spans="1:67">
      <c r="A7" s="969" t="s">
        <v>409</v>
      </c>
      <c r="B7" s="974">
        <v>23.2</v>
      </c>
      <c r="C7" s="975">
        <v>2.4E-2</v>
      </c>
      <c r="D7" s="976">
        <v>80.3</v>
      </c>
      <c r="E7" s="974">
        <v>5.3</v>
      </c>
      <c r="F7" s="975">
        <v>8.0000000000000002E-3</v>
      </c>
      <c r="G7" s="976">
        <v>19</v>
      </c>
      <c r="H7" s="974">
        <v>33.1</v>
      </c>
      <c r="I7" s="975">
        <v>3.5000000000000003E-2</v>
      </c>
      <c r="J7" s="976">
        <v>115.6</v>
      </c>
      <c r="K7" s="974">
        <v>15.2</v>
      </c>
      <c r="L7" s="975">
        <v>1.9E-2</v>
      </c>
      <c r="M7" s="976">
        <v>54.3</v>
      </c>
      <c r="N7" s="974">
        <v>9.9</v>
      </c>
      <c r="O7" s="975">
        <v>1.0999999999999999E-2</v>
      </c>
      <c r="P7" s="976">
        <v>35.299999999999997</v>
      </c>
      <c r="Q7" s="974">
        <v>2.6</v>
      </c>
      <c r="R7" s="975">
        <v>3.0000000000000001E-3</v>
      </c>
      <c r="S7" s="976">
        <v>9.4</v>
      </c>
      <c r="T7" s="974">
        <v>35.299999999999997</v>
      </c>
      <c r="U7" s="975">
        <v>3.7999999999999999E-2</v>
      </c>
      <c r="V7" s="976">
        <v>123.6</v>
      </c>
      <c r="W7" s="974">
        <v>17.399999999999999</v>
      </c>
      <c r="X7" s="975">
        <v>2.1999999999999999E-2</v>
      </c>
      <c r="Y7" s="976">
        <v>62.3</v>
      </c>
      <c r="Z7" s="974">
        <v>12.1</v>
      </c>
      <c r="AA7" s="975">
        <v>1.4E-2</v>
      </c>
      <c r="AB7" s="976">
        <v>43.3</v>
      </c>
      <c r="AC7" s="974">
        <v>4.8</v>
      </c>
      <c r="AD7" s="975">
        <v>5.0000000000000001E-3</v>
      </c>
      <c r="AE7" s="976">
        <v>17.3</v>
      </c>
      <c r="AF7" s="974">
        <v>2.2000000000000002</v>
      </c>
      <c r="AG7" s="975">
        <v>3.0000000000000001E-3</v>
      </c>
      <c r="AH7" s="976">
        <v>8</v>
      </c>
      <c r="AI7" s="974">
        <v>145.5</v>
      </c>
      <c r="AJ7" s="975">
        <v>0.193</v>
      </c>
      <c r="AK7" s="976">
        <v>601.4</v>
      </c>
      <c r="AL7" s="974">
        <v>15.2</v>
      </c>
      <c r="AM7" s="975">
        <v>4.3999999999999997E-2</v>
      </c>
      <c r="AN7" s="976">
        <v>119.5</v>
      </c>
      <c r="AO7" s="974">
        <v>5.0999999999999996</v>
      </c>
      <c r="AP7" s="975">
        <v>1.7999999999999999E-2</v>
      </c>
      <c r="AQ7" s="976">
        <v>45.1</v>
      </c>
      <c r="AR7" s="974">
        <v>148.80000000000001</v>
      </c>
      <c r="AS7" s="975">
        <v>0.219</v>
      </c>
      <c r="AT7" s="976">
        <v>635.5</v>
      </c>
      <c r="AU7" s="974">
        <v>18.399999999999999</v>
      </c>
      <c r="AV7" s="975">
        <v>7.0000000000000007E-2</v>
      </c>
      <c r="AW7" s="976">
        <v>153.6</v>
      </c>
      <c r="AX7" s="974">
        <v>8.3000000000000007</v>
      </c>
      <c r="AY7" s="975">
        <v>4.3999999999999997E-2</v>
      </c>
      <c r="AZ7" s="976">
        <v>79.2</v>
      </c>
      <c r="BA7" s="974">
        <v>3.2</v>
      </c>
      <c r="BB7" s="975">
        <v>2.5999999999999999E-2</v>
      </c>
      <c r="BC7" s="976">
        <v>34.1</v>
      </c>
      <c r="BD7" s="974">
        <v>1.5</v>
      </c>
      <c r="BE7" s="975">
        <v>8.9999999999999993E-3</v>
      </c>
      <c r="BF7" s="976">
        <v>16</v>
      </c>
      <c r="BG7" s="974">
        <v>132.4</v>
      </c>
      <c r="BH7" s="975">
        <v>0.17100000000000001</v>
      </c>
      <c r="BI7" s="976">
        <v>100.4</v>
      </c>
      <c r="BJ7" s="974">
        <v>62.6</v>
      </c>
      <c r="BK7" s="975">
        <v>9.0999999999999998E-2</v>
      </c>
      <c r="BL7" s="976">
        <v>41.5</v>
      </c>
      <c r="BM7" s="974">
        <v>5.7</v>
      </c>
      <c r="BN7" s="975">
        <v>3.0000000000000001E-3</v>
      </c>
      <c r="BO7" s="976">
        <v>12.9</v>
      </c>
    </row>
    <row r="8" spans="1:67">
      <c r="A8" s="969" t="s">
        <v>361</v>
      </c>
      <c r="B8" s="974">
        <v>47.2</v>
      </c>
      <c r="C8" s="975">
        <v>1.0999999999999999E-2</v>
      </c>
      <c r="D8" s="976">
        <v>46.2</v>
      </c>
      <c r="E8" s="974">
        <v>11</v>
      </c>
      <c r="F8" s="975">
        <v>3.0000000000000001E-3</v>
      </c>
      <c r="G8" s="976">
        <v>10.7</v>
      </c>
      <c r="H8" s="974">
        <v>67.900000000000006</v>
      </c>
      <c r="I8" s="975">
        <v>1.6E-2</v>
      </c>
      <c r="J8" s="976">
        <v>66.5</v>
      </c>
      <c r="K8" s="974">
        <v>31.7</v>
      </c>
      <c r="L8" s="975">
        <v>8.0000000000000002E-3</v>
      </c>
      <c r="M8" s="976">
        <v>30.9</v>
      </c>
      <c r="N8" s="974">
        <v>20.6</v>
      </c>
      <c r="O8" s="975">
        <v>5.0000000000000001E-3</v>
      </c>
      <c r="P8" s="976">
        <v>20.3</v>
      </c>
      <c r="Q8" s="974">
        <v>5.5</v>
      </c>
      <c r="R8" s="975">
        <v>0</v>
      </c>
      <c r="S8" s="976">
        <v>5.2</v>
      </c>
      <c r="T8" s="974">
        <v>72.400000000000006</v>
      </c>
      <c r="U8" s="975">
        <v>1.9E-2</v>
      </c>
      <c r="V8" s="976">
        <v>71.099999999999994</v>
      </c>
      <c r="W8" s="974">
        <v>36.200000000000003</v>
      </c>
      <c r="X8" s="975">
        <v>1.0999999999999999E-2</v>
      </c>
      <c r="Y8" s="976">
        <v>35.5</v>
      </c>
      <c r="Z8" s="974">
        <v>25.2</v>
      </c>
      <c r="AA8" s="975">
        <v>8.0000000000000002E-3</v>
      </c>
      <c r="AB8" s="976">
        <v>24.9</v>
      </c>
      <c r="AC8" s="974">
        <v>10</v>
      </c>
      <c r="AD8" s="975">
        <v>3.0000000000000001E-3</v>
      </c>
      <c r="AE8" s="976">
        <v>9.8000000000000007</v>
      </c>
      <c r="AF8" s="974">
        <v>4.5</v>
      </c>
      <c r="AG8" s="975">
        <v>3.0000000000000001E-3</v>
      </c>
      <c r="AH8" s="976">
        <v>4.5999999999999996</v>
      </c>
      <c r="AI8" s="974">
        <v>335.8</v>
      </c>
      <c r="AJ8" s="975">
        <v>0.17499999999999999</v>
      </c>
      <c r="AK8" s="976">
        <v>361.7</v>
      </c>
      <c r="AL8" s="974">
        <v>55.9</v>
      </c>
      <c r="AM8" s="975">
        <v>6.0999999999999999E-2</v>
      </c>
      <c r="AN8" s="976">
        <v>75.8</v>
      </c>
      <c r="AO8" s="974">
        <v>20.3</v>
      </c>
      <c r="AP8" s="975">
        <v>2.5999999999999999E-2</v>
      </c>
      <c r="AQ8" s="976">
        <v>28.3</v>
      </c>
      <c r="AR8" s="974">
        <v>350.4</v>
      </c>
      <c r="AS8" s="975">
        <v>0.193</v>
      </c>
      <c r="AT8" s="976">
        <v>382.9</v>
      </c>
      <c r="AU8" s="974">
        <v>70.5</v>
      </c>
      <c r="AV8" s="975">
        <v>7.9000000000000001E-2</v>
      </c>
      <c r="AW8" s="976">
        <v>97</v>
      </c>
      <c r="AX8" s="974">
        <v>34.9</v>
      </c>
      <c r="AY8" s="975">
        <v>4.3999999999999997E-2</v>
      </c>
      <c r="AZ8" s="976">
        <v>49.5</v>
      </c>
      <c r="BA8" s="974">
        <v>14.6</v>
      </c>
      <c r="BB8" s="975">
        <v>1.7999999999999999E-2</v>
      </c>
      <c r="BC8" s="976">
        <v>21.2</v>
      </c>
      <c r="BD8" s="974">
        <v>6.7</v>
      </c>
      <c r="BE8" s="975">
        <v>8.9999999999999993E-3</v>
      </c>
      <c r="BF8" s="976">
        <v>9.4</v>
      </c>
      <c r="BG8" s="974">
        <v>184.9</v>
      </c>
      <c r="BH8" s="975">
        <v>0.188</v>
      </c>
      <c r="BI8" s="976">
        <v>56.6</v>
      </c>
      <c r="BJ8" s="974">
        <v>94.1</v>
      </c>
      <c r="BK8" s="975">
        <v>9.7000000000000003E-2</v>
      </c>
      <c r="BL8" s="976">
        <v>21.7</v>
      </c>
      <c r="BM8" s="974">
        <v>4.5999999999999996</v>
      </c>
      <c r="BN8" s="975">
        <v>3.0000000000000001E-3</v>
      </c>
      <c r="BO8" s="976">
        <v>8.6999999999999993</v>
      </c>
    </row>
    <row r="9" spans="1:67">
      <c r="A9" s="969" t="s">
        <v>410</v>
      </c>
      <c r="B9" s="974">
        <v>16.2</v>
      </c>
      <c r="C9" s="975">
        <v>1.0999999999999999E-2</v>
      </c>
      <c r="D9" s="976">
        <v>53.5</v>
      </c>
      <c r="E9" s="974">
        <v>3.6</v>
      </c>
      <c r="F9" s="975">
        <v>3.0000000000000001E-3</v>
      </c>
      <c r="G9" s="976">
        <v>13</v>
      </c>
      <c r="H9" s="974">
        <v>22.5</v>
      </c>
      <c r="I9" s="975">
        <v>1.4E-2</v>
      </c>
      <c r="J9" s="976">
        <v>78.599999999999994</v>
      </c>
      <c r="K9" s="974">
        <v>9.9</v>
      </c>
      <c r="L9" s="975">
        <v>5.0000000000000001E-3</v>
      </c>
      <c r="M9" s="976">
        <v>38.1</v>
      </c>
      <c r="N9" s="974">
        <v>6.3</v>
      </c>
      <c r="O9" s="975">
        <v>3.0000000000000001E-3</v>
      </c>
      <c r="P9" s="976">
        <v>25.1</v>
      </c>
      <c r="Q9" s="974">
        <v>1.6</v>
      </c>
      <c r="R9" s="975">
        <v>0</v>
      </c>
      <c r="S9" s="976">
        <v>6.7</v>
      </c>
      <c r="T9" s="974">
        <v>23.8</v>
      </c>
      <c r="U9" s="975">
        <v>1.6E-2</v>
      </c>
      <c r="V9" s="976">
        <v>83.8</v>
      </c>
      <c r="W9" s="974">
        <v>11.2</v>
      </c>
      <c r="X9" s="975">
        <v>8.0000000000000002E-3</v>
      </c>
      <c r="Y9" s="976">
        <v>43.4</v>
      </c>
      <c r="Z9" s="974">
        <v>7.6</v>
      </c>
      <c r="AA9" s="975">
        <v>5.0000000000000001E-3</v>
      </c>
      <c r="AB9" s="976">
        <v>30.3</v>
      </c>
      <c r="AC9" s="974">
        <v>2.9</v>
      </c>
      <c r="AD9" s="975">
        <v>3.0000000000000001E-3</v>
      </c>
      <c r="AE9" s="976">
        <v>11.9</v>
      </c>
      <c r="AF9" s="974">
        <v>1.3</v>
      </c>
      <c r="AG9" s="975">
        <v>3.0000000000000001E-3</v>
      </c>
      <c r="AH9" s="976">
        <v>5.2</v>
      </c>
      <c r="AI9" s="974">
        <v>109.7</v>
      </c>
      <c r="AJ9" s="975">
        <v>0.16700000000000001</v>
      </c>
      <c r="AK9" s="976">
        <v>495.1</v>
      </c>
      <c r="AL9" s="974">
        <v>2.2999999999999998</v>
      </c>
      <c r="AM9" s="975">
        <v>6.0999999999999999E-2</v>
      </c>
      <c r="AN9" s="976">
        <v>102.1</v>
      </c>
      <c r="AO9" s="974">
        <v>-0.3</v>
      </c>
      <c r="AP9" s="975">
        <v>1.7999999999999999E-2</v>
      </c>
      <c r="AQ9" s="976">
        <v>38.700000000000003</v>
      </c>
      <c r="AR9" s="974">
        <v>108.1</v>
      </c>
      <c r="AS9" s="975">
        <v>0.184</v>
      </c>
      <c r="AT9" s="976">
        <v>525.4</v>
      </c>
      <c r="AU9" s="974">
        <v>0.7</v>
      </c>
      <c r="AV9" s="975">
        <v>7.9000000000000001E-2</v>
      </c>
      <c r="AW9" s="976">
        <v>132.5</v>
      </c>
      <c r="AX9" s="974">
        <v>-1.8</v>
      </c>
      <c r="AY9" s="975">
        <v>3.5000000000000003E-2</v>
      </c>
      <c r="AZ9" s="976">
        <v>69.099999999999994</v>
      </c>
      <c r="BA9" s="974">
        <v>-1.6</v>
      </c>
      <c r="BB9" s="975">
        <v>1.7999999999999999E-2</v>
      </c>
      <c r="BC9" s="976">
        <v>30.3</v>
      </c>
      <c r="BD9" s="974">
        <v>-0.9</v>
      </c>
      <c r="BE9" s="975">
        <v>8.9999999999999993E-3</v>
      </c>
      <c r="BF9" s="976">
        <v>13.4</v>
      </c>
      <c r="BG9" s="974">
        <v>147.80000000000001</v>
      </c>
      <c r="BH9" s="975">
        <v>0.158</v>
      </c>
      <c r="BI9" s="976">
        <v>74.3</v>
      </c>
      <c r="BJ9" s="974">
        <v>74.099999999999994</v>
      </c>
      <c r="BK9" s="975">
        <v>7.6999999999999999E-2</v>
      </c>
      <c r="BL9" s="976">
        <v>30.3</v>
      </c>
      <c r="BM9" s="974">
        <v>5.8</v>
      </c>
      <c r="BN9" s="975">
        <v>0</v>
      </c>
      <c r="BO9" s="976">
        <v>11.8</v>
      </c>
    </row>
    <row r="10" spans="1:67" ht="15.75" thickBot="1">
      <c r="A10" s="970" t="s">
        <v>408</v>
      </c>
      <c r="B10" s="977">
        <v>20.9</v>
      </c>
      <c r="C10" s="978">
        <v>1.9E-2</v>
      </c>
      <c r="D10" s="979">
        <v>66.099999999999994</v>
      </c>
      <c r="E10" s="977">
        <v>4.8</v>
      </c>
      <c r="F10" s="978">
        <v>5.0000000000000001E-3</v>
      </c>
      <c r="G10" s="979">
        <v>15.5</v>
      </c>
      <c r="H10" s="977">
        <v>29.6</v>
      </c>
      <c r="I10" s="978">
        <v>2.7E-2</v>
      </c>
      <c r="J10" s="979">
        <v>95.5</v>
      </c>
      <c r="K10" s="977">
        <v>13.5</v>
      </c>
      <c r="L10" s="978">
        <v>1.4E-2</v>
      </c>
      <c r="M10" s="979">
        <v>44.9</v>
      </c>
      <c r="N10" s="977">
        <v>8.8000000000000007</v>
      </c>
      <c r="O10" s="978">
        <v>8.0000000000000002E-3</v>
      </c>
      <c r="P10" s="979">
        <v>29.4</v>
      </c>
      <c r="Q10" s="977">
        <v>2.2999999999999998</v>
      </c>
      <c r="R10" s="978">
        <v>3.0000000000000001E-3</v>
      </c>
      <c r="S10" s="979">
        <v>7.8</v>
      </c>
      <c r="T10" s="977">
        <v>31.5</v>
      </c>
      <c r="U10" s="978">
        <v>0.03</v>
      </c>
      <c r="V10" s="979">
        <v>102</v>
      </c>
      <c r="W10" s="977">
        <v>15.4</v>
      </c>
      <c r="X10" s="978">
        <v>1.6E-2</v>
      </c>
      <c r="Y10" s="979">
        <v>51.4</v>
      </c>
      <c r="Z10" s="977">
        <v>10.6</v>
      </c>
      <c r="AA10" s="978">
        <v>1.0999999999999999E-2</v>
      </c>
      <c r="AB10" s="979">
        <v>35.9</v>
      </c>
      <c r="AC10" s="977">
        <v>4.2</v>
      </c>
      <c r="AD10" s="978">
        <v>5.0000000000000001E-3</v>
      </c>
      <c r="AE10" s="979">
        <v>14.3</v>
      </c>
      <c r="AF10" s="977">
        <v>1.9</v>
      </c>
      <c r="AG10" s="978">
        <v>3.0000000000000001E-3</v>
      </c>
      <c r="AH10" s="979">
        <v>6.4</v>
      </c>
      <c r="AI10" s="977">
        <v>172.8</v>
      </c>
      <c r="AJ10" s="978">
        <v>0.40300000000000002</v>
      </c>
      <c r="AK10" s="979">
        <v>503.8</v>
      </c>
      <c r="AL10" s="977">
        <v>18.899999999999999</v>
      </c>
      <c r="AM10" s="978">
        <v>0.114</v>
      </c>
      <c r="AN10" s="979">
        <v>100.8</v>
      </c>
      <c r="AO10" s="977">
        <v>6.1</v>
      </c>
      <c r="AP10" s="978">
        <v>4.3999999999999997E-2</v>
      </c>
      <c r="AQ10" s="979">
        <v>37.799999999999997</v>
      </c>
      <c r="AR10" s="977">
        <v>176.5</v>
      </c>
      <c r="AS10" s="978">
        <v>0.44700000000000001</v>
      </c>
      <c r="AT10" s="979">
        <v>534.9</v>
      </c>
      <c r="AU10" s="977">
        <v>22.6</v>
      </c>
      <c r="AV10" s="978">
        <v>0.158</v>
      </c>
      <c r="AW10" s="979">
        <v>131.9</v>
      </c>
      <c r="AX10" s="977">
        <v>9.8000000000000007</v>
      </c>
      <c r="AY10" s="978">
        <v>8.7999999999999995E-2</v>
      </c>
      <c r="AZ10" s="979">
        <v>68.900000000000006</v>
      </c>
      <c r="BA10" s="977">
        <v>3.7</v>
      </c>
      <c r="BB10" s="978">
        <v>4.3999999999999997E-2</v>
      </c>
      <c r="BC10" s="979">
        <v>31.1</v>
      </c>
      <c r="BD10" s="977">
        <v>1.7</v>
      </c>
      <c r="BE10" s="978">
        <v>2.5999999999999999E-2</v>
      </c>
      <c r="BF10" s="979">
        <v>15</v>
      </c>
      <c r="BG10" s="977">
        <v>147.69999999999999</v>
      </c>
      <c r="BH10" s="978">
        <v>0.22500000000000001</v>
      </c>
      <c r="BI10" s="979">
        <v>90.1</v>
      </c>
      <c r="BJ10" s="977">
        <v>71.2</v>
      </c>
      <c r="BK10" s="978">
        <v>0.11700000000000001</v>
      </c>
      <c r="BL10" s="979">
        <v>38.1</v>
      </c>
      <c r="BM10" s="977">
        <v>6.6</v>
      </c>
      <c r="BN10" s="978">
        <v>7.0000000000000001E-3</v>
      </c>
      <c r="BO10" s="979">
        <v>11.7</v>
      </c>
    </row>
    <row r="12" spans="1:67">
      <c r="A12" s="980" t="s">
        <v>1946</v>
      </c>
      <c r="B12" s="241" t="str">
        <f>VLOOKUP('Prescriptive Path'!D4,ClimateZoneLookup!A2:AU65,47)</f>
        <v>Albany</v>
      </c>
    </row>
    <row r="13" spans="1:67" ht="15.75" thickBot="1">
      <c r="A13" s="980"/>
    </row>
    <row r="14" spans="1:67" ht="15.75" thickBot="1">
      <c r="A14" s="627" t="s">
        <v>45</v>
      </c>
      <c r="B14" s="2525"/>
      <c r="C14" s="2526"/>
      <c r="D14" s="981" t="s">
        <v>218</v>
      </c>
      <c r="E14" s="769" t="s">
        <v>217</v>
      </c>
      <c r="F14" s="525" t="s">
        <v>1947</v>
      </c>
      <c r="G14" s="771" t="s">
        <v>1948</v>
      </c>
      <c r="H14" s="982" t="s">
        <v>1949</v>
      </c>
    </row>
    <row r="15" spans="1:67">
      <c r="A15" s="2505" t="s">
        <v>29</v>
      </c>
      <c r="B15" s="2521" t="s">
        <v>101</v>
      </c>
      <c r="C15" s="2522"/>
      <c r="D15" s="984" t="str">
        <f>'Prescriptive Path'!J11</f>
        <v>&lt;Select R-value&gt;</v>
      </c>
      <c r="E15" s="772" t="s">
        <v>1913</v>
      </c>
      <c r="F15" s="772">
        <f>IF($D15="R-0",VLOOKUP($B$12,$A$2:$BO$10,35),IF($D15="R-11",VLOOKUP($B$12,$A$2:$BO$10,41),IF($D15="R-19",VLOOKUP($B$12,$A$2:$BO$10,47),0)))</f>
        <v>0</v>
      </c>
      <c r="G15" s="772">
        <f>IF($D15="R-0",VLOOKUP($B$12,$A$2:$BO$10,36),IF($D15="R-11",VLOOKUP($B$12,$A$2:$BO$10,42),IF($D15="R-19",VLOOKUP($B$12,$A$2:$BO$10,48),0)))</f>
        <v>0</v>
      </c>
      <c r="H15" s="549">
        <f>IF($D15="R-0",VLOOKUP($B$12,$A$2:$BO$10,37),IF($D15="R-11",VLOOKUP($B$12,$A$2:$BO$10,43),IF($D15="R-19",VLOOKUP($B$12,$A$2:$BO$10,49),0)))</f>
        <v>0</v>
      </c>
    </row>
    <row r="16" spans="1:67">
      <c r="A16" s="2411"/>
      <c r="B16" s="2527" t="s">
        <v>51</v>
      </c>
      <c r="C16" s="2528"/>
      <c r="D16" s="985" t="str">
        <f>'Prescriptive Path'!J12</f>
        <v>&lt;Select R-value&gt;</v>
      </c>
      <c r="E16" s="770" t="s">
        <v>1913</v>
      </c>
      <c r="F16" s="770">
        <f>IF($D16="R-0",VLOOKUP($B$12,$A$2:$BO$10,35),IF($D16="R-11",VLOOKUP($B$12,$A$2:$BO$10,41),IF($D16="R-19",VLOOKUP($B$12,$A$2:$BO$10,47),0)))</f>
        <v>0</v>
      </c>
      <c r="G16" s="770">
        <f>IF($D16="R-0",VLOOKUP($B$12,$A$2:$BO$10,36),IF($D16="R-11",VLOOKUP($B$12,$A$2:$BO$10,42),IF($D16="R-19",VLOOKUP($B$12,$A$2:$BO$10,48),0)))</f>
        <v>0</v>
      </c>
      <c r="H16" s="66">
        <f>IF($D16="R-0",VLOOKUP($B$12,$A$2:$BO$10,37),IF($D16="R-11",VLOOKUP($B$12,$A$2:$BO$10,43),IF($D16="R-19",VLOOKUP($B$12,$A$2:$BO$10,49),0)))</f>
        <v>0</v>
      </c>
    </row>
    <row r="17" spans="1:8" ht="15.75" thickBot="1">
      <c r="A17" s="2411"/>
      <c r="B17" s="2523" t="s">
        <v>53</v>
      </c>
      <c r="C17" s="2524"/>
      <c r="D17" s="986" t="str">
        <f>'Prescriptive Path'!J13</f>
        <v>&lt;Select R-value&gt;</v>
      </c>
      <c r="E17" s="418" t="s">
        <v>1950</v>
      </c>
      <c r="F17" s="418">
        <f>IF($D17="R-0",VLOOKUP($B$12,$A$2:$BO$10,38),IF($D17="R-11",VLOOKUP($B$12,$A$2:$BO$10,44),IF($D17="R-19",VLOOKUP($B$12,$A$2:$BO$10,50),IF($D17="R-30",VLOOKUP($B$12,$A$2:$BO$10,53),IF($D17="R-38",VLOOKUP($B$12,$A$2:$BO$10,56),0)))))</f>
        <v>0</v>
      </c>
      <c r="G17" s="418">
        <f>IF($D17="R-0",VLOOKUP($B$12,$A$2:$BO$10,39),IF($D17="R-11",VLOOKUP($B$12,$A$2:$BO$10,45),IF($D17="R-19",VLOOKUP($B$12,$A$2:$BO$10,51),IF($D17="R-30",VLOOKUP($B$12,$A$2:$BO$10,54),IF($D17="R-38",VLOOKUP($B$12,$A$2:$BO$10,57),0)))))</f>
        <v>0</v>
      </c>
      <c r="H17" s="551">
        <f>IF($D17="R-0",VLOOKUP($B$12,$A$2:$BO$10,40),IF($D17="R-11",VLOOKUP($B$12,$A$2:$BO$10,46),IF($D17="R-19",VLOOKUP($B$12,$A$2:$BO$10,52),IF($D17="R-30",VLOOKUP($B$12,$A$2:$BO$10,55),IF($D17="R-38",VLOOKUP($B$12,$A$2:$BO$10,58),0)))))</f>
        <v>0</v>
      </c>
    </row>
    <row r="18" spans="1:8">
      <c r="A18" s="2411" t="s">
        <v>76</v>
      </c>
      <c r="B18" s="2521" t="s">
        <v>99</v>
      </c>
      <c r="C18" s="2522"/>
      <c r="D18" s="984" t="str">
        <f>'Prescriptive Path'!J14</f>
        <v>&lt;Select R-value&gt;</v>
      </c>
      <c r="E18" s="772" t="s">
        <v>1910</v>
      </c>
      <c r="F18" s="772">
        <f>IF($D18="R-0",VLOOKUP($B$12,$A$2:$BO$10,2),IF($D18="R-11",VLOOKUP($B$12,$A$2:$BO$10,5),0))</f>
        <v>0</v>
      </c>
      <c r="G18" s="772">
        <f>IF($D18="R-0",VLOOKUP($B$12,$A$2:$BO$10,3),IF($D18="R-11",VLOOKUP($B$12,$A$2:$BO$10,6),0))</f>
        <v>0</v>
      </c>
      <c r="H18" s="549">
        <f>IF($D18="R-0",VLOOKUP($B$12,$A$2:$BO$10,4),IF($D18="R-11",VLOOKUP($B$12,$A$2:$BO$10,7),0))</f>
        <v>0</v>
      </c>
    </row>
    <row r="19" spans="1:8">
      <c r="A19" s="2411"/>
      <c r="B19" s="2527" t="s">
        <v>102</v>
      </c>
      <c r="C19" s="2528"/>
      <c r="D19" s="985" t="str">
        <f>'Prescriptive Path'!J15</f>
        <v>&lt;Select R-value&gt;</v>
      </c>
      <c r="E19" s="770" t="s">
        <v>1910</v>
      </c>
      <c r="F19" s="770">
        <f>IF($D19="R-0",VLOOKUP($B$12,$A$2:$BO$10,2),IF($D19="R-11",VLOOKUP($B$12,$A$2:$BO$10,5),0))</f>
        <v>0</v>
      </c>
      <c r="G19" s="770">
        <f>IF($D19="R-0",VLOOKUP($B$12,$A$2:$BO$10,3),IF($D19="R-11",VLOOKUP($B$12,$A$2:$BO$10,6),0))</f>
        <v>0</v>
      </c>
      <c r="H19" s="66">
        <f>IF($D19="R-0",VLOOKUP($B$12,$A$2:$BO$10,4),IF($D19="R-11",VLOOKUP($B$12,$A$2:$BO$10,7),0))</f>
        <v>0</v>
      </c>
    </row>
    <row r="20" spans="1:8">
      <c r="A20" s="2411"/>
      <c r="B20" s="2527" t="s">
        <v>252</v>
      </c>
      <c r="C20" s="2528"/>
      <c r="D20" s="985" t="str">
        <f>'Prescriptive Path'!J16</f>
        <v>&lt;Select R-value&gt;</v>
      </c>
      <c r="E20" s="770" t="s">
        <v>1912</v>
      </c>
      <c r="F20" s="770">
        <f>IF($D20="R-0",VLOOKUP($B$12,$A$2:$BO$10,8),IF($D20="R-11",VLOOKUP($B$12,$A$2:$BO$10,11),IF($D20="R-13",VLOOKUP($B$12,$A$2:$BO$10,14),IF($D20="R-17",VLOOKUP($B$12,$A$2:$BO$10,17),0))))</f>
        <v>0</v>
      </c>
      <c r="G20" s="770">
        <f>IF($D20="R-0",VLOOKUP($B$12,$A$2:$BO$10,9),IF($D20="R-11",VLOOKUP($B$12,$A$2:$BO$10,12),IF($D20="R-13",VLOOKUP($B$12,$A$2:$BO$10,15),IF($D20="R-17",VLOOKUP($B$12,$A$2:$BO$10,18),0))))</f>
        <v>0</v>
      </c>
      <c r="H20" s="66">
        <f>IF($D20="R-0",VLOOKUP($B$12,$A$2:$BO$10,10),IF($D20="R-11",VLOOKUP($B$12,$A$2:$BO$10,13),IF($D20="R-13",VLOOKUP($B$12,$A$2:$BO$10,16),IF($D20="R-17",VLOOKUP($B$12,$A$2:$BO$10,19),0))))</f>
        <v>0</v>
      </c>
    </row>
    <row r="21" spans="1:8" ht="15.75" thickBot="1">
      <c r="A21" s="2411"/>
      <c r="B21" s="2523" t="s">
        <v>277</v>
      </c>
      <c r="C21" s="2524"/>
      <c r="D21" s="986" t="str">
        <f>'Prescriptive Path'!J17</f>
        <v>&lt;Select R-value&gt;</v>
      </c>
      <c r="E21" s="418" t="s">
        <v>1951</v>
      </c>
      <c r="F21" s="418">
        <f>IF($D21="R-0",VLOOKUP($B$12,$A$2:$BO$10,20),IF($D21="R-11",VLOOKUP($B$12,$A$2:$BO$10,23),IF($D21="R-13",VLOOKUP($B$12,$A$2:$BO$10,26),IF($D21="R-17",VLOOKUP($B$12,$A$2:$BO$10,29),IF($D21="R-19",VLOOKUP($B$12,$A$2:$BO$10,32),0)))))</f>
        <v>0</v>
      </c>
      <c r="G21" s="418">
        <f>IF($D21="R-0",VLOOKUP($B$12,$A$2:$BO$10,21),IF($D21="R-11",VLOOKUP($B$12,$A$2:$BO$10,24),IF($D21="R-13",VLOOKUP($B$12,$A$2:$BO$10,27),IF($D21="R-17",VLOOKUP($B$12,$A$2:$BO$10,30),IF($D21="R-19",VLOOKUP($B$12,$A$2:$BO$10,33),0)))))</f>
        <v>0</v>
      </c>
      <c r="H21" s="551">
        <f>IF($D21="R-0",VLOOKUP($B$12,$A$2:$BO$10,22),IF($D21="R-11",VLOOKUP($B$12,$A$2:$BO$10,25),IF($D21="R-13",VLOOKUP($B$12,$A$2:$BO$10,28),IF($D21="R-17",VLOOKUP($B$12,$A$2:$BO$10,31),IF($D21="R-19",VLOOKUP($B$12,$A$2:$BO$10,34),0)))))</f>
        <v>0</v>
      </c>
    </row>
    <row r="22" spans="1:8" ht="15" customHeight="1">
      <c r="A22" s="630" t="s">
        <v>80</v>
      </c>
      <c r="B22" s="2521" t="s">
        <v>10</v>
      </c>
      <c r="C22" s="2522"/>
      <c r="D22" s="984" t="str">
        <f>'Prescriptive Path'!J23</f>
        <v>&lt;Select Type&gt;</v>
      </c>
      <c r="E22" s="422"/>
      <c r="F22" s="772">
        <f>IF($D22="Single pane clear", VLOOKUP($B$12,$A$2:$BO$10,59),IF($D22="Double pane clear",VLOOKUP($B$12,$A$2:$BO$10,62),IF($D22="Double pane, low e", VLOOKUP($B$12,$A$2:$BO$10,65),0)))</f>
        <v>0</v>
      </c>
      <c r="G22" s="772">
        <f>IF($D22="Single pane clear", VLOOKUP($B$12,$A$2:$BO$10,60),IF($D22="Double pane clear",VLOOKUP($B$12,$A$2:$BO$10,63),IF($D22="Double pane, low e", VLOOKUP($B$12,$A$2:$BO$10,66),0)))</f>
        <v>0</v>
      </c>
      <c r="H22" s="549">
        <f>IF($D22="Single pane clear", VLOOKUP($B$12,$A$2:$BO$10,61),IF($D22="Double pane clear",VLOOKUP($B$12,$A$2:$BO$10,64),IF($D22="Double pane, low e", VLOOKUP($B$12,$A$2:$BO$10,67),0)))</f>
        <v>0</v>
      </c>
    </row>
    <row r="23" spans="1:8" ht="15" customHeight="1">
      <c r="A23" s="631"/>
      <c r="B23" s="2527" t="s">
        <v>1952</v>
      </c>
      <c r="C23" s="2528"/>
      <c r="D23" s="985" t="str">
        <f>'Prescriptive Path'!J25</f>
        <v>&lt;Select Type&gt;</v>
      </c>
      <c r="E23" s="424"/>
      <c r="F23" s="770">
        <f t="shared" ref="F23:F24" si="0">IF($D23="Single pane clear", VLOOKUP($B$12,$A$2:$BO$10,59),IF($D23="Double pane clear",VLOOKUP($B$12,$A$2:$BO$10,62),IF($D23="Double pane, low e", VLOOKUP($B$12,$A$2:$BO$10,65),0)))</f>
        <v>0</v>
      </c>
      <c r="G23" s="770">
        <f t="shared" ref="G23:G24" si="1">IF($D23="Single pane clear", VLOOKUP($B$12,$A$2:$BO$10,60),IF($D23="Double pane clear",VLOOKUP($B$12,$A$2:$BO$10,63),IF($D23="Double pane, low e", VLOOKUP($B$12,$A$2:$BO$10,66),0)))</f>
        <v>0</v>
      </c>
      <c r="H23" s="66">
        <f t="shared" ref="H23:H24" si="2">IF($D23="Single pane clear", VLOOKUP($B$12,$A$2:$BO$10,61),IF($D23="Double pane clear",VLOOKUP($B$12,$A$2:$BO$10,64),IF($D23="Double pane, low e", VLOOKUP($B$12,$A$2:$BO$10,67),0)))</f>
        <v>0</v>
      </c>
    </row>
    <row r="24" spans="1:8" ht="15.75" thickBot="1">
      <c r="A24" s="632"/>
      <c r="B24" s="2523" t="s">
        <v>12</v>
      </c>
      <c r="C24" s="2524"/>
      <c r="D24" s="986" t="str">
        <f>'Prescriptive Path'!J26</f>
        <v>&lt;Select Type&gt;</v>
      </c>
      <c r="E24" s="426"/>
      <c r="F24" s="418">
        <f t="shared" si="0"/>
        <v>0</v>
      </c>
      <c r="G24" s="418">
        <f t="shared" si="1"/>
        <v>0</v>
      </c>
      <c r="H24" s="551">
        <f t="shared" si="2"/>
        <v>0</v>
      </c>
    </row>
    <row r="25" spans="1:8" ht="15.75" thickBot="1">
      <c r="A25" s="627" t="s">
        <v>45</v>
      </c>
      <c r="B25" s="2525"/>
      <c r="C25" s="2526"/>
      <c r="D25" s="981" t="s">
        <v>1953</v>
      </c>
      <c r="E25" s="777" t="s">
        <v>1954</v>
      </c>
      <c r="F25" s="1000"/>
      <c r="G25" s="1001"/>
      <c r="H25" s="1002"/>
    </row>
    <row r="26" spans="1:8" ht="15.75" thickBot="1">
      <c r="A26" s="768" t="s">
        <v>77</v>
      </c>
      <c r="B26" s="2521" t="s">
        <v>5</v>
      </c>
      <c r="C26" s="2522"/>
      <c r="D26" s="987" t="str">
        <f>'Prescriptive Path'!J18</f>
        <v>&lt;Enter Assembly C-factor; e.g., "C-0.092"&gt;</v>
      </c>
      <c r="E26" s="983" t="str">
        <f>RIGHT(D26,(LEN(D26)-2))</f>
        <v>nter Assembly C-factor; e.g., "C-0.092"&gt;</v>
      </c>
      <c r="F26" s="673"/>
      <c r="G26" s="673"/>
      <c r="H26" s="1003"/>
    </row>
    <row r="27" spans="1:8" ht="15.75" thickBot="1">
      <c r="A27" s="2411" t="s">
        <v>65</v>
      </c>
      <c r="B27" s="2521" t="s">
        <v>100</v>
      </c>
      <c r="C27" s="2522"/>
      <c r="D27" s="984" t="str">
        <f>'Prescriptive Path'!J19</f>
        <v>&lt;Enter Assembly U-factor; e.g., "U-0.057"&gt;</v>
      </c>
      <c r="E27" s="983" t="str">
        <f>RIGHT(D27,(LEN(D27)-2))</f>
        <v>nter Assembly U-factor; e.g., "U-0.057"&gt;</v>
      </c>
      <c r="F27" s="422"/>
      <c r="G27" s="422"/>
      <c r="H27" s="423"/>
    </row>
    <row r="28" spans="1:8" ht="15.75" thickBot="1">
      <c r="A28" s="2411"/>
      <c r="B28" s="2527" t="s">
        <v>68</v>
      </c>
      <c r="C28" s="2528"/>
      <c r="D28" s="985" t="str">
        <f>'Prescriptive Path'!J20</f>
        <v>&lt;Enter Assembly U-factor; e.g., "U-0.032"&gt;</v>
      </c>
      <c r="E28" s="983" t="str">
        <f>RIGHT(D28,(LEN(D28)-2))</f>
        <v>nter Assembly U-factor; e.g., "U-0.032"&gt;</v>
      </c>
      <c r="F28" s="424"/>
      <c r="G28" s="424"/>
      <c r="H28" s="425"/>
    </row>
    <row r="29" spans="1:8" ht="15.75" thickBot="1">
      <c r="A29" s="2411"/>
      <c r="B29" s="2523" t="s">
        <v>79</v>
      </c>
      <c r="C29" s="2524"/>
      <c r="D29" s="986" t="str">
        <f>'Prescriptive Path'!J21</f>
        <v>&lt;Enter Assembly U-factor; e.g., "U-0.026"&gt;</v>
      </c>
      <c r="E29" s="983" t="str">
        <f>RIGHT(D29,(LEN(D29)-2))</f>
        <v>nter Assembly U-factor; e.g., "U-0.026"&gt;</v>
      </c>
      <c r="F29" s="426"/>
      <c r="G29" s="426"/>
      <c r="H29" s="427"/>
    </row>
    <row r="30" spans="1:8" ht="15.75" thickBot="1">
      <c r="A30" s="768" t="s">
        <v>13</v>
      </c>
      <c r="B30" s="2521" t="s">
        <v>8</v>
      </c>
      <c r="C30" s="2522"/>
      <c r="D30" s="987" t="str">
        <f>'Prescriptive Path'!J22</f>
        <v>&lt;Enter Assembly U-factor; e.g., "U-0.4"&gt;</v>
      </c>
      <c r="E30" s="983" t="str">
        <f>RIGHT(D30,(LEN(D30)-2))</f>
        <v>nter Assembly U-factor; e.g., "U-0.4"&gt;</v>
      </c>
      <c r="F30" s="673"/>
      <c r="G30" s="673"/>
      <c r="H30" s="1003"/>
    </row>
  </sheetData>
  <mergeCells count="43">
    <mergeCell ref="B14:C14"/>
    <mergeCell ref="B18:C18"/>
    <mergeCell ref="B15:C15"/>
    <mergeCell ref="B26:C26"/>
    <mergeCell ref="B16:C16"/>
    <mergeCell ref="B19:C19"/>
    <mergeCell ref="B20:C20"/>
    <mergeCell ref="B23:C23"/>
    <mergeCell ref="B17:C17"/>
    <mergeCell ref="B21:C21"/>
    <mergeCell ref="B30:C30"/>
    <mergeCell ref="B27:C27"/>
    <mergeCell ref="B22:C22"/>
    <mergeCell ref="B24:C24"/>
    <mergeCell ref="A27:A29"/>
    <mergeCell ref="B29:C29"/>
    <mergeCell ref="B25:C25"/>
    <mergeCell ref="B28:C28"/>
    <mergeCell ref="A18:A21"/>
    <mergeCell ref="A15:A17"/>
    <mergeCell ref="BA2:BC2"/>
    <mergeCell ref="BD2:BF2"/>
    <mergeCell ref="BG2:BI2"/>
    <mergeCell ref="Q2:S2"/>
    <mergeCell ref="T2:V2"/>
    <mergeCell ref="W2:Y2"/>
    <mergeCell ref="Z2:AB2"/>
    <mergeCell ref="AC2:AE2"/>
    <mergeCell ref="AF2:AH2"/>
    <mergeCell ref="A2:A3"/>
    <mergeCell ref="B2:D2"/>
    <mergeCell ref="E2:G2"/>
    <mergeCell ref="H2:J2"/>
    <mergeCell ref="K2:M2"/>
    <mergeCell ref="N2:P2"/>
    <mergeCell ref="BJ2:BL2"/>
    <mergeCell ref="BM2:BO2"/>
    <mergeCell ref="AI2:AK2"/>
    <mergeCell ref="AL2:AN2"/>
    <mergeCell ref="AO2:AQ2"/>
    <mergeCell ref="AR2:AT2"/>
    <mergeCell ref="AU2:AW2"/>
    <mergeCell ref="AX2:AZ2"/>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0" tint="-0.14999847407452621"/>
  </sheetPr>
  <dimension ref="A1:BJ95"/>
  <sheetViews>
    <sheetView showGridLines="0" zoomScale="90" zoomScaleNormal="90" workbookViewId="0">
      <pane ySplit="1" topLeftCell="A16" activePane="bottomLeft" state="frozen"/>
      <selection pane="bottomLeft" activeCell="A27" sqref="A27:AL63"/>
    </sheetView>
  </sheetViews>
  <sheetFormatPr defaultRowHeight="15"/>
  <cols>
    <col min="1" max="1" width="15.28515625" style="11" customWidth="1"/>
    <col min="2" max="2" width="35.28515625" style="11" customWidth="1"/>
    <col min="3" max="4" width="18.28515625" style="11" customWidth="1"/>
    <col min="5" max="9" width="16" style="11" customWidth="1"/>
    <col min="10" max="11" width="17.85546875" style="11" customWidth="1"/>
    <col min="12" max="12" width="20.85546875" style="11" hidden="1" customWidth="1"/>
    <col min="13" max="13" width="17.85546875" style="11" hidden="1" customWidth="1"/>
    <col min="14" max="14" width="23.5703125" style="11" hidden="1" customWidth="1"/>
    <col min="15" max="15" width="17.85546875" style="11" hidden="1" customWidth="1"/>
    <col min="16" max="17" width="16" style="11" customWidth="1"/>
    <col min="18" max="18" width="12.28515625" style="11" hidden="1" customWidth="1"/>
    <col min="19" max="19" width="12.42578125" style="11" hidden="1" customWidth="1"/>
    <col min="20" max="21" width="13.42578125" style="11" hidden="1" customWidth="1"/>
    <col min="22" max="22" width="12" style="11" hidden="1" customWidth="1"/>
    <col min="23" max="23" width="11.28515625" style="11" hidden="1" customWidth="1"/>
    <col min="24" max="24" width="10.85546875" style="11" hidden="1" customWidth="1"/>
    <col min="25" max="25" width="10.5703125" style="11" hidden="1" customWidth="1"/>
    <col min="26" max="26" width="15" style="11" hidden="1" customWidth="1"/>
    <col min="27" max="28" width="12" style="11" customWidth="1"/>
    <col min="29" max="29" width="12.5703125" style="11" bestFit="1" customWidth="1"/>
    <col min="30" max="30" width="12" style="11" customWidth="1"/>
    <col min="31" max="31" width="9.5703125" style="11" customWidth="1"/>
    <col min="32" max="32" width="56.42578125" style="12" customWidth="1"/>
    <col min="33" max="33" width="9.42578125" style="11" customWidth="1"/>
    <col min="34" max="37" width="14" style="11" customWidth="1"/>
    <col min="38" max="38" width="19" style="11" customWidth="1"/>
    <col min="39" max="16384" width="9.140625" style="11"/>
  </cols>
  <sheetData>
    <row r="1" spans="1:62" ht="60.75" thickBot="1">
      <c r="A1" s="689" t="s">
        <v>233</v>
      </c>
      <c r="B1" s="690" t="s">
        <v>234</v>
      </c>
      <c r="C1" s="691" t="s">
        <v>270</v>
      </c>
      <c r="D1" s="692" t="s">
        <v>271</v>
      </c>
      <c r="E1" s="692" t="s">
        <v>272</v>
      </c>
      <c r="F1" s="692" t="s">
        <v>273</v>
      </c>
      <c r="G1" s="692" t="s">
        <v>215</v>
      </c>
      <c r="H1" s="692" t="s">
        <v>2537</v>
      </c>
      <c r="I1" s="692" t="s">
        <v>2538</v>
      </c>
      <c r="J1" s="692" t="s">
        <v>212</v>
      </c>
      <c r="K1" s="692" t="s">
        <v>1960</v>
      </c>
      <c r="L1" s="692" t="s">
        <v>258</v>
      </c>
      <c r="M1" s="692" t="s">
        <v>259</v>
      </c>
      <c r="N1" s="692" t="s">
        <v>261</v>
      </c>
      <c r="O1" s="692" t="s">
        <v>260</v>
      </c>
      <c r="P1" s="692" t="s">
        <v>418</v>
      </c>
      <c r="Q1" s="692" t="s">
        <v>417</v>
      </c>
      <c r="R1" s="692" t="s">
        <v>262</v>
      </c>
      <c r="S1" s="692" t="s">
        <v>263</v>
      </c>
      <c r="T1" s="692" t="s">
        <v>264</v>
      </c>
      <c r="U1" s="692" t="s">
        <v>265</v>
      </c>
      <c r="V1" s="692" t="s">
        <v>544</v>
      </c>
      <c r="W1" s="693" t="s">
        <v>266</v>
      </c>
      <c r="X1" s="692" t="s">
        <v>267</v>
      </c>
      <c r="Y1" s="692" t="s">
        <v>268</v>
      </c>
      <c r="Z1" s="692" t="s">
        <v>269</v>
      </c>
      <c r="AA1" s="693" t="s">
        <v>382</v>
      </c>
      <c r="AB1" s="693" t="s">
        <v>2431</v>
      </c>
      <c r="AC1" s="693" t="s">
        <v>383</v>
      </c>
      <c r="AD1" s="693" t="s">
        <v>381</v>
      </c>
      <c r="AE1" s="774" t="s">
        <v>216</v>
      </c>
      <c r="AF1" s="694" t="s">
        <v>450</v>
      </c>
      <c r="AG1" s="25"/>
      <c r="AH1" s="69" t="s">
        <v>375</v>
      </c>
      <c r="AI1" s="775" t="s">
        <v>376</v>
      </c>
      <c r="AJ1" s="775" t="s">
        <v>2430</v>
      </c>
      <c r="AK1" s="775" t="s">
        <v>377</v>
      </c>
      <c r="AL1" s="761" t="s">
        <v>378</v>
      </c>
      <c r="AM1" s="25"/>
      <c r="AN1" s="25"/>
      <c r="AO1" s="25"/>
      <c r="AP1" s="25"/>
      <c r="AQ1" s="25"/>
      <c r="AR1" s="25"/>
      <c r="AS1" s="25"/>
      <c r="AT1" s="25"/>
      <c r="AU1" s="25"/>
      <c r="AV1" s="25"/>
      <c r="AW1" s="25"/>
      <c r="AX1" s="25"/>
      <c r="AY1" s="25"/>
      <c r="AZ1" s="25"/>
      <c r="BA1" s="25"/>
      <c r="BB1" s="25"/>
      <c r="BC1" s="25"/>
      <c r="BD1" s="25"/>
      <c r="BE1" s="25"/>
      <c r="BF1" s="25"/>
      <c r="BG1" s="25"/>
      <c r="BH1" s="25"/>
      <c r="BI1" s="25"/>
      <c r="BJ1" s="25"/>
    </row>
    <row r="2" spans="1:62">
      <c r="A2" s="2537" t="s">
        <v>228</v>
      </c>
      <c r="B2" s="130" t="s">
        <v>384</v>
      </c>
      <c r="C2" s="284">
        <f>'Prescriptive Path'!H28*(106)*1.1*1</f>
        <v>0</v>
      </c>
      <c r="D2" s="284">
        <f>'Prescriptive Path'!H28*(106)*1.1*1*(VLOOKUP('Prescriptive Path'!D4,ClimateZoneLookup!A4:N65,13,FALSE))</f>
        <v>0</v>
      </c>
      <c r="E2" s="285">
        <f>(C2+D2)*VLOOKUP('Prescriptive Path'!D4,ClimateZoneLookup!A4:N65,14,FALSE)</f>
        <v>0</v>
      </c>
      <c r="F2" s="285">
        <v>0</v>
      </c>
      <c r="G2" s="4">
        <v>15</v>
      </c>
      <c r="H2" s="2185">
        <f>Baseline!Q2*'Prescriptive Path'!H28</f>
        <v>0</v>
      </c>
      <c r="I2" s="2185">
        <f>Proposed!V2*'Prescriptive Path'!H28</f>
        <v>0</v>
      </c>
      <c r="J2" s="1031">
        <f>I2-H2</f>
        <v>0</v>
      </c>
      <c r="K2" s="1270"/>
      <c r="L2" s="501" t="s">
        <v>455</v>
      </c>
      <c r="M2" s="501" t="s">
        <v>455</v>
      </c>
      <c r="N2" s="501" t="s">
        <v>455</v>
      </c>
      <c r="O2" s="501" t="s">
        <v>455</v>
      </c>
      <c r="P2" s="292">
        <f>'Prescriptive Path'!H28*106/8760*1*(1+VLOOKUP('Prescriptive Path'!$D$4,ClimateZoneLookup!A4:AN65,12))*1</f>
        <v>0</v>
      </c>
      <c r="Q2" s="224">
        <v>0</v>
      </c>
      <c r="R2" s="31" t="e">
        <f>1.1*D2*HLOOKUP(G2,AvoidCostTable,'Avoided Costs'!$D$44)</f>
        <v>#REF!</v>
      </c>
      <c r="S2" s="31" t="e">
        <f>C2*HLOOKUP(G2,AvoidCostTable,'Avoided Costs'!$D$44)</f>
        <v>#REF!</v>
      </c>
      <c r="T2" s="31" t="e">
        <f>P2*HLOOKUP(G2,AvoidCostTable,'Avoided Costs'!$D$45)</f>
        <v>#REF!</v>
      </c>
      <c r="U2" s="31" t="e">
        <f>E2/10*HLOOKUP(G2,AvoidCostTable,'Avoided Costs'!$D$46)</f>
        <v>#REF!</v>
      </c>
      <c r="V2" s="31" t="e">
        <f>F2/10*HLOOKUP(G2,AvoidCostTable,'Avoided Costs'!$D$47)</f>
        <v>#REF!</v>
      </c>
      <c r="W2" s="164">
        <f>IF('Avoided Costs'!C44="Upstate",-PV('Avoided Costs'!$D$2,G2,Q2*0.003),-PV('Avoided Costs'!$D$2,G2,Q2*0.007))</f>
        <v>0</v>
      </c>
      <c r="X2" s="31">
        <f t="shared" ref="X2:X27" si="0">(D2+C2)*HLOOKUP(G2,AvoidCostTable,12,FALSE)</f>
        <v>0</v>
      </c>
      <c r="Y2" s="31">
        <f t="shared" ref="Y2:Y27" si="1">(F2+E2)/10*HLOOKUP(G2,AvoidCostTable,13)</f>
        <v>0</v>
      </c>
      <c r="Z2" s="31">
        <f>IF(J2=0,0,SUM(R2:Y2)-W2)</f>
        <v>0</v>
      </c>
      <c r="AA2" s="164">
        <f>IF('Avoided Costs'!$C$44="Upstate",((C2+D2)*0.1936+(E2+F2)*1.486+Q2*0.003),((C2+D2)*0.1936+(E2+F2)*1.486+Q2*0.007))</f>
        <v>0</v>
      </c>
      <c r="AB2" s="1984">
        <f>(F2+E2)/10+(C2+D2)*3412/1000000</f>
        <v>0</v>
      </c>
      <c r="AC2" s="32">
        <f t="shared" ref="AC2:AC18" si="2">IF(AA2=0,0,G2*AA2)</f>
        <v>0</v>
      </c>
      <c r="AD2" s="35" t="str">
        <f t="shared" ref="AD2:AD18" si="3">IF(AA2=0,"",IF(AA2&gt;0,-PV(3%,G2,AA2)/J2,0))</f>
        <v/>
      </c>
      <c r="AE2" s="152" t="str">
        <f>IF(J2=0,"",Z2/(J2-W2))</f>
        <v/>
      </c>
      <c r="AF2" s="268" t="s">
        <v>448</v>
      </c>
      <c r="AH2" s="1976" t="str">
        <f t="shared" ref="AH2:AH24" si="4">IF(AE2="","",IF(J2&lt;0,"No",IF(OR(AE2&lt;0,AE2&gt;0.949),"Yes","No")))</f>
        <v/>
      </c>
      <c r="AI2" s="102" t="str">
        <f>IF(AE2=0,0,IF(AND(AH2="Yes",OR(AE2&lt;0,AE2&gt;0.949),Z2&gt;0)=TRUE,Z2,""))</f>
        <v/>
      </c>
      <c r="AJ2" s="102" t="str">
        <f>IF(AE2="","",IF((C2+D2)*3412/1000000&gt;(E2+F2),"Electricity","Firm Gas"))</f>
        <v/>
      </c>
      <c r="AK2" s="102" t="str">
        <f>IF(AE2=0,0,IF(AND(AH2="Yes",OR(AE2&lt;0,AE2&gt;0.949),Z2&gt;0)=TRUE,J2,""))</f>
        <v/>
      </c>
      <c r="AL2" s="1981" t="str">
        <f>IF('Prescriptive Path'!$D$7="","",(IF(AH2="Yes",IF('Prescriptive Path'!$D$7="Market-Rate",IF(Savings!AJ2="Electricity","MPPMREINC","MPPMRGINC"),IF(Savings!AJ2="Electricity","MPPLIEINC","MPPLIGINC")),"")))</f>
        <v/>
      </c>
      <c r="AM2" s="25"/>
      <c r="AN2" s="25"/>
      <c r="AO2" s="25"/>
      <c r="AP2" s="25"/>
      <c r="AQ2" s="25"/>
      <c r="AR2" s="25"/>
      <c r="AS2" s="25"/>
      <c r="AT2" s="25"/>
      <c r="AU2" s="25"/>
      <c r="AV2" s="25"/>
      <c r="AW2" s="25"/>
      <c r="AX2" s="25"/>
      <c r="AY2" s="25"/>
      <c r="AZ2" s="25"/>
      <c r="BA2" s="25"/>
      <c r="BB2" s="25"/>
      <c r="BC2" s="25"/>
      <c r="BD2" s="25"/>
      <c r="BE2" s="25"/>
      <c r="BF2" s="25"/>
      <c r="BG2" s="25"/>
      <c r="BH2" s="25"/>
      <c r="BI2" s="25"/>
      <c r="BJ2" s="25"/>
    </row>
    <row r="3" spans="1:62">
      <c r="A3" s="2538"/>
      <c r="B3" s="17" t="s">
        <v>458</v>
      </c>
      <c r="C3" s="286">
        <f>IF('Prescriptive Path'!H37&lt;&gt;0,'Prescriptive Path'!H29*137,'Prescriptive Path'!H29*77)</f>
        <v>0</v>
      </c>
      <c r="D3" s="286">
        <v>0</v>
      </c>
      <c r="E3" s="225">
        <v>0</v>
      </c>
      <c r="F3" s="225">
        <v>0</v>
      </c>
      <c r="G3" s="16">
        <v>13</v>
      </c>
      <c r="H3" s="32">
        <f>Baseline!Q3*'Prescriptive Path'!H29</f>
        <v>0</v>
      </c>
      <c r="I3" s="32">
        <f>Proposed!V3*'Prescriptive Path'!H29</f>
        <v>0</v>
      </c>
      <c r="J3" s="1032">
        <f t="shared" ref="J3:J24" si="5">I3-H3</f>
        <v>0</v>
      </c>
      <c r="K3" s="1271"/>
      <c r="L3" s="30" t="s">
        <v>455</v>
      </c>
      <c r="M3" s="30" t="s">
        <v>455</v>
      </c>
      <c r="N3" s="30" t="s">
        <v>455</v>
      </c>
      <c r="O3" s="30" t="s">
        <v>455</v>
      </c>
      <c r="P3" s="80">
        <f>'Prescriptive Path'!H29*0.0225*1</f>
        <v>0</v>
      </c>
      <c r="Q3" s="225">
        <f>'Prescriptive Path'!H29*430</f>
        <v>0</v>
      </c>
      <c r="R3" s="32" t="e">
        <f>1.1*D3*HLOOKUP(G3,AvoidCostTable,'Avoided Costs'!$D$44)</f>
        <v>#REF!</v>
      </c>
      <c r="S3" s="32" t="e">
        <f>C3*HLOOKUP(G3,AvoidCostTable,'Avoided Costs'!$D$44)</f>
        <v>#REF!</v>
      </c>
      <c r="T3" s="32" t="e">
        <f>P3*HLOOKUP(G3,AvoidCostTable,'Avoided Costs'!$D$45)</f>
        <v>#REF!</v>
      </c>
      <c r="U3" s="32" t="e">
        <f>E3/10*HLOOKUP(G3,AvoidCostTable,'Avoided Costs'!$D$46)</f>
        <v>#REF!</v>
      </c>
      <c r="V3" s="32" t="e">
        <f>F3/10*HLOOKUP(G3,AvoidCostTable,'Avoided Costs'!$D$47)</f>
        <v>#REF!</v>
      </c>
      <c r="W3" s="132">
        <f>IF('Avoided Costs'!C45="Upstate",-PV('Avoided Costs'!$D$2,G3,Q3*0.003),-PV('Avoided Costs'!$D$2,G3,Q3*0.007))</f>
        <v>0</v>
      </c>
      <c r="X3" s="32">
        <f t="shared" si="0"/>
        <v>0</v>
      </c>
      <c r="Y3" s="32">
        <f t="shared" si="1"/>
        <v>0</v>
      </c>
      <c r="Z3" s="32">
        <f t="shared" ref="Z3:Z46" si="6">IF(J3=0,0,SUM(R3:Y3)-W3)</f>
        <v>0</v>
      </c>
      <c r="AA3" s="132">
        <f>IF('Avoided Costs'!$C$44="Upstate",((C3+D3)*0.1936+(E3+F3)*1.486+Q3*0.003),((C3+D3)*0.1936+(E3+F3)*1.486+Q3*0.007))</f>
        <v>0</v>
      </c>
      <c r="AB3" s="1985">
        <f t="shared" ref="AB3:AB46" si="7">(F3+E3)/10+(C3+D3)*3412/1000000</f>
        <v>0</v>
      </c>
      <c r="AC3" s="32">
        <f t="shared" si="2"/>
        <v>0</v>
      </c>
      <c r="AD3" s="36" t="str">
        <f t="shared" si="3"/>
        <v/>
      </c>
      <c r="AE3" s="153" t="str">
        <f t="shared" ref="AE3:AE46" si="8">IF(J3=0,"",Z3/(J3-W3))</f>
        <v/>
      </c>
      <c r="AF3" s="140" t="s">
        <v>448</v>
      </c>
      <c r="AH3" s="1976" t="str">
        <f t="shared" si="4"/>
        <v/>
      </c>
      <c r="AI3" s="102" t="str">
        <f t="shared" ref="AI3:AI52" si="9">IF(AE3=0,0,IF(AND(AH3="Yes",OR(AE3&lt;0,AE3&gt;0.949),Z3&gt;0)=TRUE,Z3,""))</f>
        <v/>
      </c>
      <c r="AJ3" s="102" t="str">
        <f t="shared" ref="AJ3:AJ52" si="10">IF(AE3="","",IF((C3+D3)*3412/1000000&gt;(E3+F3),"Electricity","Firm Gas"))</f>
        <v/>
      </c>
      <c r="AK3" s="102" t="str">
        <f t="shared" ref="AK3:AK52" si="11">IF(AE3=0,0,IF(AND(AH3="Yes",OR(AE3&lt;0,AE3&gt;0.949),Z3&gt;0)=TRUE,J3,""))</f>
        <v/>
      </c>
      <c r="AL3" s="1981" t="str">
        <f>IF('Prescriptive Path'!$D$7="","",(IF(AH3="Yes",IF('Prescriptive Path'!$D$7="Market-Rate",IF(Savings!AJ3="Electricity","MPPMREINC","MPPMRGINC"),IF(Savings!AJ3="Electricity","MPPLIEINC","MPPLIGINC")),"")))</f>
        <v/>
      </c>
    </row>
    <row r="4" spans="1:62">
      <c r="A4" s="2538"/>
      <c r="B4" s="23" t="s">
        <v>391</v>
      </c>
      <c r="C4" s="286">
        <f>(24*'Prescriptive Path'!H30)+IF('Prescriptive Path'!H32="Electric Dryer",73*'Prescriptive Path'!H30,0)+IF('Prescriptive Path'!F37=TRUE,127*'Prescriptive Path'!H30,0)</f>
        <v>0</v>
      </c>
      <c r="D4" s="286">
        <v>0</v>
      </c>
      <c r="E4" s="225">
        <v>0</v>
      </c>
      <c r="F4" s="225">
        <f>IF('Prescriptive Path'!H32="Gas Dryer",2.9*'Prescriptive Path'!H30,0)+IF('Prescriptive Path'!F34=TRUE,6.1*'Prescriptive Path'!H30,0)</f>
        <v>0</v>
      </c>
      <c r="G4" s="24">
        <v>14</v>
      </c>
      <c r="H4" s="33">
        <f>Baseline!Q4*'Prescriptive Path'!H30*VLOOKUP('Prescriptive Path'!$D$4,ClimateZoneLookup!$A$4:$AT$65,46,FALSE)</f>
        <v>0</v>
      </c>
      <c r="I4" s="33">
        <f>Proposed!V4*'Prescriptive Path'!H30*VLOOKUP('Prescriptive Path'!$D$4,ClimateZoneLookup!$A$4:$AT$65,46,FALSE)</f>
        <v>0</v>
      </c>
      <c r="J4" s="1032">
        <f t="shared" si="5"/>
        <v>0</v>
      </c>
      <c r="K4" s="1271"/>
      <c r="L4" s="30" t="s">
        <v>455</v>
      </c>
      <c r="M4" s="30" t="s">
        <v>455</v>
      </c>
      <c r="N4" s="30" t="s">
        <v>455</v>
      </c>
      <c r="O4" s="30" t="s">
        <v>455</v>
      </c>
      <c r="P4" s="80">
        <f>0.06*(C4+D4)/8760</f>
        <v>0</v>
      </c>
      <c r="Q4" s="226">
        <f>6542*'Prescriptive Path'!H30</f>
        <v>0</v>
      </c>
      <c r="R4" s="33" t="e">
        <f>1.1*D4*HLOOKUP(G4,AvoidCostTable,'Avoided Costs'!$D$44)</f>
        <v>#REF!</v>
      </c>
      <c r="S4" s="33" t="e">
        <f>C4*HLOOKUP(G4,AvoidCostTable,'Avoided Costs'!$D$44)</f>
        <v>#REF!</v>
      </c>
      <c r="T4" s="33" t="e">
        <f>P4*HLOOKUP(G4,AvoidCostTable,'Avoided Costs'!$D$45)</f>
        <v>#REF!</v>
      </c>
      <c r="U4" s="33" t="e">
        <f>E4/10*HLOOKUP(G4,AvoidCostTable,'Avoided Costs'!$D$46)</f>
        <v>#REF!</v>
      </c>
      <c r="V4" s="33" t="e">
        <f>F4/10*HLOOKUP(G4,AvoidCostTable,'Avoided Costs'!$D$47)</f>
        <v>#REF!</v>
      </c>
      <c r="W4" s="132">
        <f>IF('Avoided Costs'!C47="Upstate",-PV('Avoided Costs'!$D$2,G4,Q4*0.003),-PV('Avoided Costs'!$D$2,G4,Q4*0.007))</f>
        <v>0</v>
      </c>
      <c r="X4" s="33">
        <f t="shared" si="0"/>
        <v>0</v>
      </c>
      <c r="Y4" s="33">
        <f t="shared" si="1"/>
        <v>0</v>
      </c>
      <c r="Z4" s="33">
        <f t="shared" si="6"/>
        <v>0</v>
      </c>
      <c r="AA4" s="132">
        <f>IF('Avoided Costs'!$C$44="Upstate",((C4+D4)*0.1936+(E4+F4)*1.486+Q4*0.003),((C4+D4)*0.1936+(E4+F4)*1.486+Q4*0.007))</f>
        <v>0</v>
      </c>
      <c r="AB4" s="1985">
        <f t="shared" si="7"/>
        <v>0</v>
      </c>
      <c r="AC4" s="33">
        <f t="shared" si="2"/>
        <v>0</v>
      </c>
      <c r="AD4" s="37" t="str">
        <f t="shared" si="3"/>
        <v/>
      </c>
      <c r="AE4" s="154" t="str">
        <f t="shared" si="8"/>
        <v/>
      </c>
      <c r="AF4" s="269" t="s">
        <v>448</v>
      </c>
      <c r="AH4" s="1976" t="str">
        <f t="shared" si="4"/>
        <v/>
      </c>
      <c r="AI4" s="102" t="str">
        <f t="shared" si="9"/>
        <v/>
      </c>
      <c r="AJ4" s="102" t="str">
        <f t="shared" si="10"/>
        <v/>
      </c>
      <c r="AK4" s="102" t="str">
        <f t="shared" si="11"/>
        <v/>
      </c>
      <c r="AL4" s="1981" t="str">
        <f>IF('Prescriptive Path'!$D$7="","",(IF(AH4="Yes",IF('Prescriptive Path'!$D$7="Market-Rate",IF(Savings!AJ4="Electricity","MPPMREINC","MPPMRGINC"),IF(Savings!AJ4="Electricity","MPPLIEINC","MPPLIGINC")),"")))</f>
        <v/>
      </c>
    </row>
    <row r="5" spans="1:62">
      <c r="A5" s="2538"/>
      <c r="B5" s="343" t="s">
        <v>204</v>
      </c>
      <c r="C5" s="344">
        <f>(196-138)*'Prescriptive Path'!H31+IF('Prescriptive Path'!H32="Electric Dryer",73*'Prescriptive Path'!H31,0)+IF('Prescriptive Path'!F37=TRUE,127*'Prescriptive Path'!H31,0)</f>
        <v>0</v>
      </c>
      <c r="D5" s="344">
        <v>0</v>
      </c>
      <c r="E5" s="345">
        <v>0</v>
      </c>
      <c r="F5" s="345">
        <f>IF('Prescriptive Path'!H32="Gas Dryer",2.9*'Prescriptive Path'!H31,0)+IF('Prescriptive Path'!F34=TRUE,6.1*'Prescriptive Path'!H31,0)</f>
        <v>0</v>
      </c>
      <c r="G5" s="346">
        <v>14</v>
      </c>
      <c r="H5" s="2186">
        <f>Baseline!Q5*'Prescriptive Path'!H31</f>
        <v>0</v>
      </c>
      <c r="I5" s="2186">
        <f>Proposed!V5*'Prescriptive Path'!H31</f>
        <v>0</v>
      </c>
      <c r="J5" s="1033">
        <f t="shared" si="5"/>
        <v>0</v>
      </c>
      <c r="K5" s="1272"/>
      <c r="L5" s="106" t="s">
        <v>455</v>
      </c>
      <c r="M5" s="106" t="s">
        <v>455</v>
      </c>
      <c r="N5" s="106" t="s">
        <v>455</v>
      </c>
      <c r="O5" s="106" t="s">
        <v>455</v>
      </c>
      <c r="P5" s="296">
        <f>0.06*(C5+D5)/8760</f>
        <v>0</v>
      </c>
      <c r="Q5" s="345">
        <f>15854*'Prescriptive Path'!H31</f>
        <v>0</v>
      </c>
      <c r="R5" s="347" t="e">
        <f>1.1*D5*HLOOKUP(G5,AvoidCostTable,'Avoided Costs'!$D$44)</f>
        <v>#REF!</v>
      </c>
      <c r="S5" s="347" t="e">
        <f>C5*HLOOKUP(G5,AvoidCostTable,'Avoided Costs'!$D$44)</f>
        <v>#REF!</v>
      </c>
      <c r="T5" s="347" t="e">
        <f>P5*HLOOKUP(G5,AvoidCostTable,'Avoided Costs'!$D$45)</f>
        <v>#REF!</v>
      </c>
      <c r="U5" s="347" t="e">
        <f>E5/10*HLOOKUP(G5,AvoidCostTable,'Avoided Costs'!$D$46)</f>
        <v>#REF!</v>
      </c>
      <c r="V5" s="347" t="e">
        <f>F5/10*HLOOKUP(G5,AvoidCostTable,'Avoided Costs'!$D$47)</f>
        <v>#REF!</v>
      </c>
      <c r="W5" s="133">
        <f>IF('Avoided Costs'!C48="Upstate",-PV('Avoided Costs'!$D$2,G5,Q5*0.003),-PV('Avoided Costs'!$D$2,G5,Q5*0.007))</f>
        <v>0</v>
      </c>
      <c r="X5" s="347">
        <f t="shared" si="0"/>
        <v>0</v>
      </c>
      <c r="Y5" s="347">
        <f t="shared" si="1"/>
        <v>0</v>
      </c>
      <c r="Z5" s="347">
        <f t="shared" si="6"/>
        <v>0</v>
      </c>
      <c r="AA5" s="133">
        <f>IF('Avoided Costs'!$C$44="Upstate",((C5+D5)*0.1936+(E5+F5)*1.486+Q5*0.003),((C5+D5)*0.1936+(E5+F5)*1.486+Q5*0.007))</f>
        <v>0</v>
      </c>
      <c r="AB5" s="1986">
        <f t="shared" si="7"/>
        <v>0</v>
      </c>
      <c r="AC5" s="347">
        <f t="shared" si="2"/>
        <v>0</v>
      </c>
      <c r="AD5" s="348" t="str">
        <f t="shared" si="3"/>
        <v/>
      </c>
      <c r="AE5" s="349" t="str">
        <f t="shared" si="8"/>
        <v/>
      </c>
      <c r="AF5" s="261" t="s">
        <v>449</v>
      </c>
      <c r="AH5" s="1976" t="str">
        <f t="shared" si="4"/>
        <v/>
      </c>
      <c r="AI5" s="102" t="str">
        <f t="shared" si="9"/>
        <v/>
      </c>
      <c r="AJ5" s="102" t="str">
        <f t="shared" si="10"/>
        <v/>
      </c>
      <c r="AK5" s="102" t="str">
        <f t="shared" si="11"/>
        <v/>
      </c>
      <c r="AL5" s="1981" t="str">
        <f>IF('Prescriptive Path'!$D$7="","",(IF(AH5="Yes",IF('Prescriptive Path'!$D$7="Market-Rate",IF(Savings!AJ5="Electricity","MPPMREINC","MPPMRGINC"),IF(Savings!AJ5="Electricity","MPPLIEINC","MPPLIGINC")),"")))</f>
        <v/>
      </c>
    </row>
    <row r="6" spans="1:62" ht="15.75" thickBot="1">
      <c r="A6" s="2539"/>
      <c r="B6" s="335" t="s">
        <v>459</v>
      </c>
      <c r="C6" s="287">
        <f>151*'Prescriptive Path'!H33</f>
        <v>0</v>
      </c>
      <c r="D6" s="287">
        <v>0</v>
      </c>
      <c r="E6" s="227">
        <v>0</v>
      </c>
      <c r="F6" s="227">
        <v>0</v>
      </c>
      <c r="G6" s="18">
        <v>10</v>
      </c>
      <c r="H6" s="34">
        <f>Baseline!Q6*'Prescriptive Path'!H33</f>
        <v>0</v>
      </c>
      <c r="I6" s="2189">
        <f>Proposed!V6*'Prescriptive Path'!H33</f>
        <v>0</v>
      </c>
      <c r="J6" s="1034">
        <f t="shared" si="5"/>
        <v>0</v>
      </c>
      <c r="K6" s="1273"/>
      <c r="L6" s="502" t="s">
        <v>455</v>
      </c>
      <c r="M6" s="502" t="s">
        <v>455</v>
      </c>
      <c r="N6" s="502" t="s">
        <v>455</v>
      </c>
      <c r="O6" s="502" t="s">
        <v>455</v>
      </c>
      <c r="P6" s="294">
        <f>0.06*(C6+D6)/8760</f>
        <v>0</v>
      </c>
      <c r="Q6" s="227">
        <v>0</v>
      </c>
      <c r="R6" s="34" t="e">
        <f>1.1*D6*HLOOKUP(G6,AvoidCostTable,'Avoided Costs'!$D$44)</f>
        <v>#REF!</v>
      </c>
      <c r="S6" s="34" t="e">
        <f>C6*HLOOKUP(G6,AvoidCostTable,'Avoided Costs'!$D$44)</f>
        <v>#REF!</v>
      </c>
      <c r="T6" s="34" t="e">
        <f>P6*HLOOKUP(G6,AvoidCostTable,'Avoided Costs'!$D$45)</f>
        <v>#REF!</v>
      </c>
      <c r="U6" s="34" t="e">
        <f>E6/10*HLOOKUP(G6,AvoidCostTable,'Avoided Costs'!$D$46)</f>
        <v>#REF!</v>
      </c>
      <c r="V6" s="34" t="e">
        <f>F6/10*HLOOKUP(G6,AvoidCostTable,'Avoided Costs'!$D$47)</f>
        <v>#REF!</v>
      </c>
      <c r="W6" s="131">
        <f>IF('Avoided Costs'!C49="Upstate",-PV('Avoided Costs'!$D$2,G6,Q6*0.003),-PV('Avoided Costs'!$D$2,G6,Q6*0.007))</f>
        <v>0</v>
      </c>
      <c r="X6" s="34">
        <f t="shared" si="0"/>
        <v>0</v>
      </c>
      <c r="Y6" s="34">
        <f t="shared" si="1"/>
        <v>0</v>
      </c>
      <c r="Z6" s="34">
        <f t="shared" si="6"/>
        <v>0</v>
      </c>
      <c r="AA6" s="131">
        <f>IF('Avoided Costs'!$C$44="Upstate",((C6+D6)*0.1936+(E6+F6)*1.486+Q6*0.003),((C6+D6)*0.1936+(E6+F6)*1.486+Q6*0.007))</f>
        <v>0</v>
      </c>
      <c r="AB6" s="1987">
        <f t="shared" si="7"/>
        <v>0</v>
      </c>
      <c r="AC6" s="34">
        <f t="shared" si="2"/>
        <v>0</v>
      </c>
      <c r="AD6" s="38" t="str">
        <f t="shared" si="3"/>
        <v/>
      </c>
      <c r="AE6" s="155" t="str">
        <f t="shared" si="8"/>
        <v/>
      </c>
      <c r="AF6" s="357" t="s">
        <v>460</v>
      </c>
      <c r="AH6" s="1976" t="str">
        <f t="shared" si="4"/>
        <v/>
      </c>
      <c r="AI6" s="102" t="str">
        <f t="shared" si="9"/>
        <v/>
      </c>
      <c r="AJ6" s="102" t="str">
        <f t="shared" si="10"/>
        <v/>
      </c>
      <c r="AK6" s="102" t="str">
        <f t="shared" si="11"/>
        <v/>
      </c>
      <c r="AL6" s="1981" t="str">
        <f>IF('Prescriptive Path'!$D$7="","",(IF(AH6="Yes",IF('Prescriptive Path'!$D$7="Market-Rate",IF(Savings!AJ6="Electricity","MPPMREINC","MPPMRGINC"),IF(Savings!AJ6="Electricity","MPPLIEINC","MPPLIGINC")),"")))</f>
        <v/>
      </c>
    </row>
    <row r="7" spans="1:62">
      <c r="A7" s="2540" t="s">
        <v>40</v>
      </c>
      <c r="B7" s="350" t="s">
        <v>210</v>
      </c>
      <c r="C7" s="351">
        <v>0</v>
      </c>
      <c r="D7" s="351">
        <v>0</v>
      </c>
      <c r="E7" s="352">
        <v>0</v>
      </c>
      <c r="F7" s="352">
        <f>IF('Prescriptive Path'!$H$34=0,0,Proposed!$D$103*365*8.33/100000*((120-VLOOKUP('Prescriptive Path'!$D$4,ClimateZoneLookup!$A$4:$J$65,10,FALSE)))*((1/Baseline!$D$8)-(1/Proposed!D8)))</f>
        <v>0</v>
      </c>
      <c r="G7" s="353">
        <v>13</v>
      </c>
      <c r="H7" s="2187">
        <f>Baseline!Q8*'Prescriptive Path'!H34*VLOOKUP('Prescriptive Path'!$D$4,ClimateZoneLookup!$A$4:$AT$65,46,FALSE)</f>
        <v>0</v>
      </c>
      <c r="I7" s="2187">
        <f>Proposed!V8*'Prescriptive Path'!H34*VLOOKUP('Prescriptive Path'!$D$4,ClimateZoneLookup!$A$4:$AT$65,46,FALSE)</f>
        <v>0</v>
      </c>
      <c r="J7" s="1035">
        <f t="shared" si="5"/>
        <v>0</v>
      </c>
      <c r="K7" s="1274"/>
      <c r="L7" s="180" t="s">
        <v>455</v>
      </c>
      <c r="M7" s="180" t="s">
        <v>455</v>
      </c>
      <c r="N7" s="180" t="s">
        <v>455</v>
      </c>
      <c r="O7" s="180" t="s">
        <v>455</v>
      </c>
      <c r="P7" s="354">
        <f>IF(F7=0,0,'Prescriptive Path'!H34*(Baseline!D8-Proposed!H8)*(120-70)/3413)</f>
        <v>0</v>
      </c>
      <c r="Q7" s="352">
        <v>0</v>
      </c>
      <c r="R7" s="177" t="e">
        <f>1.1*D7*HLOOKUP(G7,AvoidCostTable,'Avoided Costs'!$D$44)</f>
        <v>#REF!</v>
      </c>
      <c r="S7" s="177" t="e">
        <f>C7*HLOOKUP(G7,AvoidCostTable,'Avoided Costs'!$D$44)</f>
        <v>#REF!</v>
      </c>
      <c r="T7" s="177" t="e">
        <f>P7*HLOOKUP(G7,AvoidCostTable,'Avoided Costs'!$D$45)</f>
        <v>#REF!</v>
      </c>
      <c r="U7" s="177" t="e">
        <f>E7/10*HLOOKUP(G7,AvoidCostTable,'Avoided Costs'!$D$46)</f>
        <v>#REF!</v>
      </c>
      <c r="V7" s="177" t="e">
        <f>F7/10*HLOOKUP(G7,AvoidCostTable,'Avoided Costs'!$D$47)</f>
        <v>#REF!</v>
      </c>
      <c r="W7" s="177">
        <f>IF('Avoided Costs'!C50="Upstate",-PV('Avoided Costs'!$D$2,G7,Q7*0.003),-PV('Avoided Costs'!$D$2,G7,Q7*0.007))</f>
        <v>0</v>
      </c>
      <c r="X7" s="177">
        <f t="shared" si="0"/>
        <v>0</v>
      </c>
      <c r="Y7" s="177">
        <f t="shared" si="1"/>
        <v>0</v>
      </c>
      <c r="Z7" s="177">
        <f t="shared" si="6"/>
        <v>0</v>
      </c>
      <c r="AA7" s="177">
        <f>IF('Avoided Costs'!$C$44="Upstate",((C7+D7)*0.1936+(E7+F7)*1.486+Q7*0.003),((C7+D7)*0.1936+(E7+F7)*1.486+Q7*0.007))</f>
        <v>0</v>
      </c>
      <c r="AB7" s="1988">
        <f t="shared" si="7"/>
        <v>0</v>
      </c>
      <c r="AC7" s="177">
        <f t="shared" si="2"/>
        <v>0</v>
      </c>
      <c r="AD7" s="355" t="str">
        <f t="shared" si="3"/>
        <v/>
      </c>
      <c r="AE7" s="356" t="str">
        <f t="shared" si="8"/>
        <v/>
      </c>
      <c r="AF7" s="304" t="s">
        <v>448</v>
      </c>
      <c r="AH7" s="1976" t="str">
        <f t="shared" si="4"/>
        <v/>
      </c>
      <c r="AI7" s="102" t="str">
        <f t="shared" si="9"/>
        <v/>
      </c>
      <c r="AJ7" s="102" t="str">
        <f t="shared" si="10"/>
        <v/>
      </c>
      <c r="AK7" s="102" t="str">
        <f t="shared" si="11"/>
        <v/>
      </c>
      <c r="AL7" s="1981" t="str">
        <f>IF('Prescriptive Path'!$D$7="","",(IF(AH7="Yes",IF('Prescriptive Path'!$D$7="Market-Rate",IF(Savings!AJ7="Electricity","MPPMREINC","MPPMRGINC"),IF(Savings!AJ7="Electricity","MPPLIEINC","MPPLIGINC")),"")))</f>
        <v/>
      </c>
    </row>
    <row r="8" spans="1:62">
      <c r="A8" s="2541"/>
      <c r="B8" s="178" t="s">
        <v>211</v>
      </c>
      <c r="C8" s="305">
        <f>IF('Prescriptive Path'!$H$37=0,0,Proposed!$D$103*365*8.33/3413*((120-VLOOKUP('Prescriptive Path'!$D$4,ClimateZoneLookup!$A$4:$J$65,10,FALSE)))*((1/Baseline!$D$9)-(1/Proposed!$D$9)))</f>
        <v>0</v>
      </c>
      <c r="D8" s="305">
        <v>0</v>
      </c>
      <c r="E8" s="228">
        <v>0</v>
      </c>
      <c r="F8" s="228">
        <v>0</v>
      </c>
      <c r="G8" s="179">
        <v>15</v>
      </c>
      <c r="H8" s="2188">
        <f>Baseline!Q9*'Prescriptive Path'!H37*VLOOKUP('Prescriptive Path'!$D$4,ClimateZoneLookup!$A$4:$AT$65,46,FALSE)</f>
        <v>0</v>
      </c>
      <c r="I8" s="2188">
        <f>Proposed!V9*'Prescriptive Path'!H37*VLOOKUP('Prescriptive Path'!$D$4,ClimateZoneLookup!$A$4:$AT$65,46,FALSE)</f>
        <v>0</v>
      </c>
      <c r="J8" s="1036">
        <f t="shared" si="5"/>
        <v>0</v>
      </c>
      <c r="K8" s="1274"/>
      <c r="L8" s="180" t="s">
        <v>455</v>
      </c>
      <c r="M8" s="180" t="s">
        <v>455</v>
      </c>
      <c r="N8" s="180" t="s">
        <v>455</v>
      </c>
      <c r="O8" s="180" t="s">
        <v>455</v>
      </c>
      <c r="P8" s="306">
        <f>IF(C8=0,0,'Prescriptive Path'!H37*(Baseline!D9-Proposed!H9)*(120-70)/3413)</f>
        <v>0</v>
      </c>
      <c r="Q8" s="228">
        <v>0</v>
      </c>
      <c r="R8" s="181" t="e">
        <f>1.1*D8*HLOOKUP(G8,AvoidCostTable,'Avoided Costs'!$D$44)</f>
        <v>#REF!</v>
      </c>
      <c r="S8" s="181" t="e">
        <f>C8*HLOOKUP(G8,AvoidCostTable,'Avoided Costs'!$D$44)</f>
        <v>#REF!</v>
      </c>
      <c r="T8" s="181" t="e">
        <f>P8*HLOOKUP(G8,AvoidCostTable,'Avoided Costs'!$D$45)</f>
        <v>#REF!</v>
      </c>
      <c r="U8" s="181" t="e">
        <f>E8/10*HLOOKUP(G8,AvoidCostTable,'Avoided Costs'!$D$46)</f>
        <v>#REF!</v>
      </c>
      <c r="V8" s="181" t="e">
        <f>F8/10*HLOOKUP(G8,AvoidCostTable,'Avoided Costs'!$D$47)</f>
        <v>#REF!</v>
      </c>
      <c r="W8" s="181">
        <f>IF('Avoided Costs'!C51="Upstate",-PV('Avoided Costs'!$D$2,G8,Q8*0.003),-PV('Avoided Costs'!$D$2,G8,Q8*0.007))</f>
        <v>0</v>
      </c>
      <c r="X8" s="181">
        <f t="shared" si="0"/>
        <v>0</v>
      </c>
      <c r="Y8" s="181">
        <f t="shared" si="1"/>
        <v>0</v>
      </c>
      <c r="Z8" s="181">
        <f t="shared" si="6"/>
        <v>0</v>
      </c>
      <c r="AA8" s="181">
        <f>IF('Avoided Costs'!$C$44="Upstate",((C8+D8)*0.1936+(E8+F8)*1.486+Q8*0.003),((C8+D8)*0.1936+(E8+F8)*1.486+Q8*0.007))</f>
        <v>0</v>
      </c>
      <c r="AB8" s="1989">
        <f t="shared" si="7"/>
        <v>0</v>
      </c>
      <c r="AC8" s="181">
        <f t="shared" si="2"/>
        <v>0</v>
      </c>
      <c r="AD8" s="182" t="str">
        <f t="shared" si="3"/>
        <v/>
      </c>
      <c r="AE8" s="183" t="str">
        <f t="shared" si="8"/>
        <v/>
      </c>
      <c r="AF8" s="304" t="s">
        <v>448</v>
      </c>
      <c r="AH8" s="1976" t="str">
        <f t="shared" si="4"/>
        <v/>
      </c>
      <c r="AI8" s="102" t="str">
        <f t="shared" si="9"/>
        <v/>
      </c>
      <c r="AJ8" s="102" t="str">
        <f t="shared" si="10"/>
        <v/>
      </c>
      <c r="AK8" s="102" t="str">
        <f t="shared" si="11"/>
        <v/>
      </c>
      <c r="AL8" s="1981" t="str">
        <f>IF('Prescriptive Path'!$D$7="","",(IF(AH8="Yes",IF('Prescriptive Path'!$D$7="Market-Rate",IF(Savings!AJ8="Electricity","MPPMREINC","MPPMRGINC"),IF(Savings!AJ8="Electricity","MPPLIEINC","MPPLIGINC")),"")))</f>
        <v/>
      </c>
    </row>
    <row r="9" spans="1:62">
      <c r="A9" s="2542"/>
      <c r="B9" s="178" t="s">
        <v>466</v>
      </c>
      <c r="C9" s="305">
        <v>0</v>
      </c>
      <c r="D9" s="305">
        <v>0</v>
      </c>
      <c r="E9" s="228">
        <v>0</v>
      </c>
      <c r="F9" s="228">
        <f>IF('Prescriptive Path'!$H$40=0,0,Proposed!$D$103*365*8.33/100000*((120-VLOOKUP('Prescriptive Path'!$D$4,ClimateZoneLookup!$A$4:$J$65,10,FALSE)))*(1/Baseline!P10-1/Proposed!D10))</f>
        <v>0</v>
      </c>
      <c r="G9" s="179">
        <v>25</v>
      </c>
      <c r="H9" s="2188">
        <f>Baseline!Q10*'Prescriptive Path'!H40</f>
        <v>0</v>
      </c>
      <c r="I9" s="2188">
        <f>Proposed!V10*'Prescriptive Path'!H40</f>
        <v>0</v>
      </c>
      <c r="J9" s="1037">
        <f t="shared" si="5"/>
        <v>0</v>
      </c>
      <c r="K9" s="1275"/>
      <c r="L9" s="180" t="s">
        <v>455</v>
      </c>
      <c r="M9" s="180" t="s">
        <v>455</v>
      </c>
      <c r="N9" s="180" t="s">
        <v>455</v>
      </c>
      <c r="O9" s="180" t="s">
        <v>455</v>
      </c>
      <c r="P9" s="306">
        <v>0</v>
      </c>
      <c r="Q9" s="228">
        <v>0</v>
      </c>
      <c r="R9" s="181" t="e">
        <f>1.1*D9*HLOOKUP(G9,AvoidCostTable,'Avoided Costs'!$D$44)</f>
        <v>#REF!</v>
      </c>
      <c r="S9" s="181" t="e">
        <f>C9*HLOOKUP(G9,AvoidCostTable,'Avoided Costs'!$D$44)</f>
        <v>#REF!</v>
      </c>
      <c r="T9" s="181" t="e">
        <f>P9*HLOOKUP(G9,AvoidCostTable,'Avoided Costs'!$D$45)</f>
        <v>#REF!</v>
      </c>
      <c r="U9" s="181" t="e">
        <f>E9/10*HLOOKUP(G9,AvoidCostTable,'Avoided Costs'!$D$46)</f>
        <v>#REF!</v>
      </c>
      <c r="V9" s="181" t="e">
        <f>F9/10*HLOOKUP(G9,AvoidCostTable,'Avoided Costs'!$D$47)</f>
        <v>#REF!</v>
      </c>
      <c r="W9" s="181">
        <f>IF('Avoided Costs'!C52="Upstate",-PV('Avoided Costs'!$D$2,G9,Q9*0.003),-PV('Avoided Costs'!$D$2,G9,Q9*0.007))</f>
        <v>0</v>
      </c>
      <c r="X9" s="181">
        <f t="shared" si="0"/>
        <v>0</v>
      </c>
      <c r="Y9" s="181">
        <f t="shared" si="1"/>
        <v>0</v>
      </c>
      <c r="Z9" s="181">
        <f t="shared" si="6"/>
        <v>0</v>
      </c>
      <c r="AA9" s="181">
        <f>IF('Avoided Costs'!$C$44="Upstate",((C9+D9)*0.1936+(E9+F9)*1.486+Q9*0.003),((C9+D9)*0.1936+(E9+F9)*1.486+Q9*0.007))</f>
        <v>0</v>
      </c>
      <c r="AB9" s="1989">
        <f t="shared" si="7"/>
        <v>0</v>
      </c>
      <c r="AC9" s="181">
        <f t="shared" si="2"/>
        <v>0</v>
      </c>
      <c r="AD9" s="182" t="str">
        <f t="shared" si="3"/>
        <v/>
      </c>
      <c r="AE9" s="183" t="str">
        <f t="shared" si="8"/>
        <v/>
      </c>
      <c r="AF9" s="304" t="s">
        <v>448</v>
      </c>
      <c r="AH9" s="1976" t="str">
        <f t="shared" si="4"/>
        <v/>
      </c>
      <c r="AI9" s="102" t="str">
        <f t="shared" si="9"/>
        <v/>
      </c>
      <c r="AJ9" s="102" t="str">
        <f t="shared" si="10"/>
        <v/>
      </c>
      <c r="AK9" s="102" t="str">
        <f t="shared" si="11"/>
        <v/>
      </c>
      <c r="AL9" s="1981" t="str">
        <f>IF('Prescriptive Path'!$D$7="","",(IF(AH9="Yes",IF('Prescriptive Path'!$D$7="Market-Rate",IF(Savings!AJ9="Electricity","MPPMREINC","MPPMRGINC"),IF(Savings!AJ9="Electricity","MPPLIEINC","MPPLIGINC")),"")))</f>
        <v/>
      </c>
    </row>
    <row r="10" spans="1:62" ht="15.75" thickBot="1">
      <c r="A10" s="2543"/>
      <c r="B10" s="184" t="s">
        <v>35</v>
      </c>
      <c r="C10" s="308">
        <f>IF(C8*3413&lt;(F7+F9)*100000,0,(3830*'Prescriptive Path'!H42*(80-VLOOKUP('Prescriptive Path'!$D$4,ClimateZoneLookup!$A$4:$J$65,10,FALSE))*8.3)/3413/Baseline!D9+(((2.5-1.75)*0.75*8*2*365)*'Prescriptive Path'!H42*(105-VLOOKUP('Prescriptive Path'!$D$4,ClimateZoneLookup!$A$4:$J$65,10,FALSE))*8.3)/3413/Baseline!D9)</f>
        <v>0</v>
      </c>
      <c r="D10" s="308">
        <v>0</v>
      </c>
      <c r="E10" s="185">
        <v>0</v>
      </c>
      <c r="F10" s="185">
        <f>IF(OR(F7*100000&gt;C8*3413,F9*100000&gt;C8*3413)=FALSE,0,3830*'Prescriptive Path'!H42*(80-VLOOKUP('Prescriptive Path'!$D$4,ClimateZoneLookup!$A$4:$J$65,10,FALSE))*8.3)/100000/Baseline!D8+(((2.5-1.75)*0.75*8*2*365)*'Prescriptive Path'!H42*(105-VLOOKUP('Prescriptive Path'!$D$4,ClimateZoneLookup!$A$4:$J$65,10,FALSE))*8.3)/100000/Baseline!D8</f>
        <v>0</v>
      </c>
      <c r="G10" s="186">
        <v>7</v>
      </c>
      <c r="H10" s="2190">
        <f>('Prescriptive Path'!H41+2*'Prescriptive Path'!H42)*Baseline!Q11</f>
        <v>0</v>
      </c>
      <c r="I10" s="2190">
        <f>('Prescriptive Path'!H41+2*'Prescriptive Path'!H42)*Proposed!V11</f>
        <v>0</v>
      </c>
      <c r="J10" s="1038">
        <f t="shared" si="5"/>
        <v>0</v>
      </c>
      <c r="K10" s="1276"/>
      <c r="L10" s="187" t="s">
        <v>455</v>
      </c>
      <c r="M10" s="188" t="s">
        <v>455</v>
      </c>
      <c r="N10" s="188" t="s">
        <v>455</v>
      </c>
      <c r="O10" s="188" t="s">
        <v>455</v>
      </c>
      <c r="P10" s="309">
        <v>0</v>
      </c>
      <c r="Q10" s="185">
        <f>'Prescriptive Path'!H41*2*365*((2.5-1.75)*0.75*(450/60)+(2.5-1)*5*(15/60)+(2.5-2)*4*(60/60))</f>
        <v>0</v>
      </c>
      <c r="R10" s="189" t="e">
        <f>1.1*D10*HLOOKUP(G10,AvoidCostTable,'Avoided Costs'!$D$44)</f>
        <v>#REF!</v>
      </c>
      <c r="S10" s="189" t="e">
        <f>C10*HLOOKUP(G10,AvoidCostTable,'Avoided Costs'!$D$44)</f>
        <v>#REF!</v>
      </c>
      <c r="T10" s="189" t="e">
        <f>P10*HLOOKUP(G10,AvoidCostTable,'Avoided Costs'!$D$45)</f>
        <v>#REF!</v>
      </c>
      <c r="U10" s="189" t="e">
        <f>E10/10*HLOOKUP(G10,AvoidCostTable,'Avoided Costs'!$D$46)</f>
        <v>#REF!</v>
      </c>
      <c r="V10" s="189" t="e">
        <f>F10/10*HLOOKUP(G10,AvoidCostTable,'Avoided Costs'!$D$47)</f>
        <v>#REF!</v>
      </c>
      <c r="W10" s="190">
        <f>IF('Avoided Costs'!C53="Upstate",-PV('Avoided Costs'!$D$2,G10,Q10*0.003),-PV('Avoided Costs'!$D$2,G10,Q10*0.007))</f>
        <v>0</v>
      </c>
      <c r="X10" s="189">
        <f t="shared" si="0"/>
        <v>0</v>
      </c>
      <c r="Y10" s="189">
        <f t="shared" si="1"/>
        <v>0</v>
      </c>
      <c r="Z10" s="189">
        <f t="shared" si="6"/>
        <v>0</v>
      </c>
      <c r="AA10" s="190">
        <f>IF('Avoided Costs'!$C$44="Upstate",((C10+D10)*0.1936+(E10+F10)*1.486+Q10*0.003),((C10+D10)*0.1936+(E10+F10)*1.486+Q10*0.007))</f>
        <v>0</v>
      </c>
      <c r="AB10" s="1990">
        <f t="shared" si="7"/>
        <v>0</v>
      </c>
      <c r="AC10" s="189">
        <f t="shared" si="2"/>
        <v>0</v>
      </c>
      <c r="AD10" s="191" t="str">
        <f t="shared" si="3"/>
        <v/>
      </c>
      <c r="AE10" s="192" t="str">
        <f t="shared" si="8"/>
        <v/>
      </c>
      <c r="AF10" s="776" t="s">
        <v>448</v>
      </c>
      <c r="AH10" s="1976" t="str">
        <f t="shared" si="4"/>
        <v/>
      </c>
      <c r="AI10" s="102" t="str">
        <f t="shared" si="9"/>
        <v/>
      </c>
      <c r="AJ10" s="102" t="str">
        <f t="shared" si="10"/>
        <v/>
      </c>
      <c r="AK10" s="102" t="str">
        <f t="shared" si="11"/>
        <v/>
      </c>
      <c r="AL10" s="1981" t="str">
        <f>IF('Prescriptive Path'!$D$7="","",(IF(AH10="Yes",IF('Prescriptive Path'!$D$7="Market-Rate",IF(Savings!AJ10="Electricity","MPPMREINC","MPPMRGINC"),IF(Savings!AJ10="Electricity","MPPLIEINC","MPPLIGINC")),"")))</f>
        <v/>
      </c>
    </row>
    <row r="11" spans="1:62" ht="15" customHeight="1">
      <c r="A11" s="2544" t="s">
        <v>29</v>
      </c>
      <c r="B11" s="142" t="s">
        <v>222</v>
      </c>
      <c r="C11" s="288">
        <v>0</v>
      </c>
      <c r="D11" s="70">
        <f>IF('Prescriptive Path'!I6="No",'Prescriptive Path'!H11/1000*VLOOKUP('Prescriptive Path'!$D$4,ClimateZoneLookup!$A$2:$AS$65,20)*Baseline!$D$99/Proposed!$D$108,'Prescriptive Path'!H11/1000*'Gut Rehab Envelope'!F15*Baseline!$D$99/Proposed!$D$108)</f>
        <v>0</v>
      </c>
      <c r="E11" s="70">
        <f>IF('Prescriptive Path'!I6="No",'Prescriptive Path'!H11/1000*VLOOKUP('Prescriptive Path'!$D$4,ClimateZoneLookup!$A$4:$AS$65,22)*Baseline!$D$100/Proposed!$D$109,'Prescriptive Path'!H11/1000*'Gut Rehab Envelope'!H15*Baseline!$D$100/Proposed!$D$109)</f>
        <v>0</v>
      </c>
      <c r="F11" s="70">
        <v>0</v>
      </c>
      <c r="G11" s="71">
        <v>25</v>
      </c>
      <c r="H11" s="2185">
        <f>Baseline!Q14*'Prescriptive Path'!H11*VLOOKUP('Prescriptive Path'!$D$4,ClimateZoneLookup!$A$4:$AT$65,46,FALSE)</f>
        <v>0</v>
      </c>
      <c r="I11" s="2197">
        <f>Proposed!V14*'Prescriptive Path'!H11*VLOOKUP('Prescriptive Path'!$D$4,ClimateZoneLookup!$A$4:$AT$65,46,FALSE)</f>
        <v>0</v>
      </c>
      <c r="J11" s="1032">
        <f t="shared" si="5"/>
        <v>0</v>
      </c>
      <c r="K11" s="1277"/>
      <c r="L11" s="503" t="s">
        <v>455</v>
      </c>
      <c r="M11" s="504" t="s">
        <v>455</v>
      </c>
      <c r="N11" s="504" t="s">
        <v>455</v>
      </c>
      <c r="O11" s="504" t="s">
        <v>455</v>
      </c>
      <c r="P11" s="293">
        <f>IF('Prescriptive Path'!I6="No",'Prescriptive Path'!H11/1000*VLOOKUP('Prescriptive Path'!$D$4,ClimateZoneLookup!$A$4:$AN$65,21)*Baseline!$D$99/Proposed!$D$108,'Prescriptive Path'!H11/1000*'Gut Rehab Envelope'!G15*Baseline!$D$99/Proposed!$D$108)</f>
        <v>0</v>
      </c>
      <c r="Q11" s="70">
        <v>0</v>
      </c>
      <c r="R11" s="73" t="e">
        <f>1.1*D11*HLOOKUP(G11,AvoidCostTable,'Avoided Costs'!$D$44)</f>
        <v>#REF!</v>
      </c>
      <c r="S11" s="73" t="e">
        <f>C11*HLOOKUP(G11,AvoidCostTable,'Avoided Costs'!$D$44)</f>
        <v>#REF!</v>
      </c>
      <c r="T11" s="73" t="e">
        <f>P11*HLOOKUP(G11,AvoidCostTable,'Avoided Costs'!$D$45)</f>
        <v>#REF!</v>
      </c>
      <c r="U11" s="73" t="e">
        <f>E11/10*HLOOKUP(G11,AvoidCostTable,'Avoided Costs'!$D$46)</f>
        <v>#REF!</v>
      </c>
      <c r="V11" s="73" t="e">
        <f>F11/10*HLOOKUP(G11,AvoidCostTable,'Avoided Costs'!$D$47)</f>
        <v>#REF!</v>
      </c>
      <c r="W11" s="145">
        <f>IF('Avoided Costs'!C54="Upstate",-PV('Avoided Costs'!$D$2,G11,Q11*0.003),-PV('Avoided Costs'!$D$2,G11,Q11*0.007))</f>
        <v>0</v>
      </c>
      <c r="X11" s="73">
        <f t="shared" si="0"/>
        <v>0</v>
      </c>
      <c r="Y11" s="73">
        <f t="shared" si="1"/>
        <v>0</v>
      </c>
      <c r="Z11" s="73">
        <f t="shared" si="6"/>
        <v>0</v>
      </c>
      <c r="AA11" s="145">
        <f>IF('Avoided Costs'!$C$44="Upstate",((C11+D11)*0.1936+(E11+F11)*1.486+Q11*0.003),((C11+D11)*0.1936+(E11+F11)*1.486+Q11*0.007))</f>
        <v>0</v>
      </c>
      <c r="AB11" s="1991">
        <f t="shared" si="7"/>
        <v>0</v>
      </c>
      <c r="AC11" s="73">
        <f t="shared" si="2"/>
        <v>0</v>
      </c>
      <c r="AD11" s="74" t="str">
        <f t="shared" si="3"/>
        <v/>
      </c>
      <c r="AE11" s="146" t="str">
        <f t="shared" si="8"/>
        <v/>
      </c>
      <c r="AF11" s="140" t="s">
        <v>448</v>
      </c>
      <c r="AH11" s="1976" t="str">
        <f t="shared" si="4"/>
        <v/>
      </c>
      <c r="AI11" s="102" t="str">
        <f t="shared" si="9"/>
        <v/>
      </c>
      <c r="AJ11" s="102" t="str">
        <f t="shared" si="10"/>
        <v/>
      </c>
      <c r="AK11" s="102" t="str">
        <f t="shared" si="11"/>
        <v/>
      </c>
      <c r="AL11" s="1981" t="str">
        <f>IF('Prescriptive Path'!$D$7="","",(IF(AH11="Yes",IF('Prescriptive Path'!$D$7="Market-Rate",IF(Savings!AJ11="Electricity","MPPMREINC","MPPMRGINC"),IF(Savings!AJ11="Electricity","MPPLIEINC","MPPLIGINC")),"")))</f>
        <v/>
      </c>
    </row>
    <row r="12" spans="1:62">
      <c r="A12" s="2545"/>
      <c r="B12" s="143" t="s">
        <v>51</v>
      </c>
      <c r="C12" s="75">
        <v>0</v>
      </c>
      <c r="D12" s="77">
        <f>IF('Prescriptive Path'!I6="No",'Prescriptive Path'!H12/1000*VLOOKUP('Prescriptive Path'!$D$4,ClimateZoneLookup!$A$2:$AN$65,23)*Baseline!$D$99/Proposed!$D$108,'Prescriptive Path'!H12/1000*'Gut Rehab Envelope'!F16*Baseline!$D$99/Proposed!$D$108)</f>
        <v>0</v>
      </c>
      <c r="E12" s="77">
        <f>IF('Prescriptive Path'!I6="No",'Prescriptive Path'!H12/1000*VLOOKUP('Prescriptive Path'!$D$4,ClimateZoneLookup!$A$4:$AN$65,25)*Baseline!$D$100/Proposed!$D$109,'Prescriptive Path'!H12/1000*'Gut Rehab Envelope'!H16*Baseline!$D$100/Proposed!$D$109)</f>
        <v>0</v>
      </c>
      <c r="F12" s="77">
        <v>0</v>
      </c>
      <c r="G12" s="78">
        <v>25</v>
      </c>
      <c r="H12" s="2191">
        <f>Baseline!Q15*'Prescriptive Path'!H12*VLOOKUP('Prescriptive Path'!$D$4,ClimateZoneLookup!$A$4:$AT$65,46,FALSE)</f>
        <v>0</v>
      </c>
      <c r="I12" s="2197">
        <f>Proposed!V15*'Prescriptive Path'!H12*VLOOKUP('Prescriptive Path'!$D$4,ClimateZoneLookup!$A$4:$AT$65,46,FALSE)</f>
        <v>0</v>
      </c>
      <c r="J12" s="1039">
        <f t="shared" si="5"/>
        <v>0</v>
      </c>
      <c r="K12" s="1278"/>
      <c r="L12" s="505" t="s">
        <v>455</v>
      </c>
      <c r="M12" s="505" t="s">
        <v>455</v>
      </c>
      <c r="N12" s="505" t="s">
        <v>455</v>
      </c>
      <c r="O12" s="505" t="s">
        <v>455</v>
      </c>
      <c r="P12" s="80">
        <f>IF('Prescriptive Path'!I6="No",'Prescriptive Path'!H12/1000*VLOOKUP('Prescriptive Path'!$D$4,ClimateZoneLookup!$A$4:$AN$65,24)*Baseline!$D$99/Proposed!$D$108,'Prescriptive Path'!H12/1000*'Gut Rehab Envelope'!G16*Baseline!$D$99/Proposed!$D$108)</f>
        <v>0</v>
      </c>
      <c r="Q12" s="77">
        <v>0</v>
      </c>
      <c r="R12" s="81" t="e">
        <f>1.1*D12*HLOOKUP(G12,AvoidCostTable,'Avoided Costs'!$D$44)</f>
        <v>#REF!</v>
      </c>
      <c r="S12" s="81" t="e">
        <f>C12*HLOOKUP(G12,AvoidCostTable,'Avoided Costs'!$D$44)</f>
        <v>#REF!</v>
      </c>
      <c r="T12" s="81" t="e">
        <f>P12*HLOOKUP(G12,AvoidCostTable,'Avoided Costs'!$D$45)</f>
        <v>#REF!</v>
      </c>
      <c r="U12" s="81" t="e">
        <f>E12/10*HLOOKUP(G12,AvoidCostTable,'Avoided Costs'!$D$46)</f>
        <v>#REF!</v>
      </c>
      <c r="V12" s="81" t="e">
        <f>F12/10*HLOOKUP(G12,AvoidCostTable,'Avoided Costs'!$D$47)</f>
        <v>#REF!</v>
      </c>
      <c r="W12" s="132">
        <f>IF('Avoided Costs'!C55="Upstate",-PV('Avoided Costs'!$D$2,G12,Q12*0.003),-PV('Avoided Costs'!$D$2,G12,Q12*0.007))</f>
        <v>0</v>
      </c>
      <c r="X12" s="81">
        <f t="shared" si="0"/>
        <v>0</v>
      </c>
      <c r="Y12" s="81">
        <f t="shared" si="1"/>
        <v>0</v>
      </c>
      <c r="Z12" s="81">
        <f t="shared" si="6"/>
        <v>0</v>
      </c>
      <c r="AA12" s="132">
        <f>IF('Avoided Costs'!$C$44="Upstate",((C12+D12)*0.1936+(E12+F12)*1.486+Q12*0.003),((C12+D12)*0.1936+(E12+F12)*1.486+Q12*0.007))</f>
        <v>0</v>
      </c>
      <c r="AB12" s="1985">
        <f t="shared" si="7"/>
        <v>0</v>
      </c>
      <c r="AC12" s="81">
        <f t="shared" si="2"/>
        <v>0</v>
      </c>
      <c r="AD12" s="82" t="str">
        <f t="shared" si="3"/>
        <v/>
      </c>
      <c r="AE12" s="147" t="str">
        <f t="shared" si="8"/>
        <v/>
      </c>
      <c r="AF12" s="141" t="s">
        <v>448</v>
      </c>
      <c r="AH12" s="1976" t="str">
        <f t="shared" si="4"/>
        <v/>
      </c>
      <c r="AI12" s="102" t="str">
        <f t="shared" si="9"/>
        <v/>
      </c>
      <c r="AJ12" s="102" t="str">
        <f t="shared" si="10"/>
        <v/>
      </c>
      <c r="AK12" s="102" t="str">
        <f t="shared" si="11"/>
        <v/>
      </c>
      <c r="AL12" s="1981" t="str">
        <f>IF('Prescriptive Path'!$D$7="","",(IF(AH12="Yes",IF('Prescriptive Path'!$D$7="Market-Rate",IF(Savings!AJ12="Electricity","MPPMREINC","MPPMRGINC"),IF(Savings!AJ12="Electricity","MPPLIEINC","MPPLIGINC")),"")))</f>
        <v/>
      </c>
    </row>
    <row r="13" spans="1:62" ht="15.75" thickBot="1">
      <c r="A13" s="2546"/>
      <c r="B13" s="144" t="s">
        <v>53</v>
      </c>
      <c r="C13" s="289">
        <v>0</v>
      </c>
      <c r="D13" s="83">
        <f>IF('Prescriptive Path'!I6="No",'Prescriptive Path'!H13/1000*VLOOKUP('Prescriptive Path'!$D$4,ClimateZoneLookup!$A$2:$AN$65,26)*Baseline!$D$99/Proposed!$D$108,'Prescriptive Path'!H13/1000*'Gut Rehab Envelope'!F17*Baseline!$D$99/Proposed!$D$108)</f>
        <v>0</v>
      </c>
      <c r="E13" s="83">
        <f>IF('Prescriptive Path'!I6="No",'Prescriptive Path'!H13/1000*VLOOKUP('Prescriptive Path'!$D$4,ClimateZoneLookup!$A$4:$AN$65,28)*Baseline!$D$100/Proposed!$D$109,'Prescriptive Path'!H13/1000*'Gut Rehab Envelope'!H17*Baseline!$D$100/Proposed!$D$109)</f>
        <v>0</v>
      </c>
      <c r="F13" s="83">
        <v>0</v>
      </c>
      <c r="G13" s="84">
        <v>25</v>
      </c>
      <c r="H13" s="2192">
        <f>Baseline!Q16*'Prescriptive Path'!H13*VLOOKUP('Prescriptive Path'!$D$4,ClimateZoneLookup!$A$4:$AT$65,46,FALSE)</f>
        <v>0</v>
      </c>
      <c r="I13" s="2198">
        <f>Proposed!V16*'Prescriptive Path'!H13*VLOOKUP('Prescriptive Path'!$D$4,ClimateZoneLookup!$A$4:$AT$65,46,FALSE)</f>
        <v>0</v>
      </c>
      <c r="J13" s="1040">
        <f t="shared" si="5"/>
        <v>0</v>
      </c>
      <c r="K13" s="1279"/>
      <c r="L13" s="506" t="s">
        <v>455</v>
      </c>
      <c r="M13" s="506" t="s">
        <v>455</v>
      </c>
      <c r="N13" s="506" t="s">
        <v>455</v>
      </c>
      <c r="O13" s="506" t="s">
        <v>455</v>
      </c>
      <c r="P13" s="294">
        <f>IF('Prescriptive Path'!I6="No",'Prescriptive Path'!H13/1000*VLOOKUP('Prescriptive Path'!$D$4,ClimateZoneLookup!$A$4:$AN$65,27)*Baseline!$D$99/Proposed!$D$108,'Prescriptive Path'!H13/1000*'Gut Rehab Envelope'!G17*Baseline!$D$99/Proposed!$D$108)</f>
        <v>0</v>
      </c>
      <c r="Q13" s="83">
        <v>0</v>
      </c>
      <c r="R13" s="85" t="e">
        <f>1.1*D13*HLOOKUP(G13,AvoidCostTable,'Avoided Costs'!$D$44)</f>
        <v>#REF!</v>
      </c>
      <c r="S13" s="85" t="e">
        <f>C13*HLOOKUP(G13,AvoidCostTable,'Avoided Costs'!$D$44)</f>
        <v>#REF!</v>
      </c>
      <c r="T13" s="85" t="e">
        <f>P13*HLOOKUP(G13,AvoidCostTable,'Avoided Costs'!$D$45)</f>
        <v>#REF!</v>
      </c>
      <c r="U13" s="85" t="e">
        <f>E13/10*HLOOKUP(G13,AvoidCostTable,'Avoided Costs'!$D$46)</f>
        <v>#REF!</v>
      </c>
      <c r="V13" s="85" t="e">
        <f>F13/10*HLOOKUP(G13,AvoidCostTable,'Avoided Costs'!$D$47)</f>
        <v>#REF!</v>
      </c>
      <c r="W13" s="131">
        <f>IF('Avoided Costs'!C56="Upstate",-PV('Avoided Costs'!$D$2,G13,Q13*0.003),-PV('Avoided Costs'!$D$2,G13,Q13*0.007))</f>
        <v>0</v>
      </c>
      <c r="X13" s="85">
        <f t="shared" si="0"/>
        <v>0</v>
      </c>
      <c r="Y13" s="85">
        <f t="shared" si="1"/>
        <v>0</v>
      </c>
      <c r="Z13" s="85">
        <f t="shared" si="6"/>
        <v>0</v>
      </c>
      <c r="AA13" s="131">
        <f>IF('Avoided Costs'!$C$44="Upstate",((C13+D13)*0.1936+(E13+F13)*1.486+Q13*0.003),((C13+D13)*0.1936+(E13+F13)*1.486+Q13*0.007))</f>
        <v>0</v>
      </c>
      <c r="AB13" s="1987">
        <f t="shared" si="7"/>
        <v>0</v>
      </c>
      <c r="AC13" s="85">
        <f t="shared" si="2"/>
        <v>0</v>
      </c>
      <c r="AD13" s="86" t="str">
        <f t="shared" si="3"/>
        <v/>
      </c>
      <c r="AE13" s="148" t="str">
        <f t="shared" si="8"/>
        <v/>
      </c>
      <c r="AF13" s="223" t="s">
        <v>448</v>
      </c>
      <c r="AH13" s="1976" t="str">
        <f t="shared" si="4"/>
        <v/>
      </c>
      <c r="AI13" s="102" t="str">
        <f t="shared" si="9"/>
        <v/>
      </c>
      <c r="AJ13" s="102" t="str">
        <f t="shared" si="10"/>
        <v/>
      </c>
      <c r="AK13" s="102" t="str">
        <f t="shared" si="11"/>
        <v/>
      </c>
      <c r="AL13" s="1981" t="str">
        <f>IF('Prescriptive Path'!$D$7="","",(IF(AH13="Yes",IF('Prescriptive Path'!$D$7="Market-Rate",IF(Savings!AJ13="Electricity","MPPMREINC","MPPMRGINC"),IF(Savings!AJ13="Electricity","MPPLIEINC","MPPLIGINC")),"")))</f>
        <v/>
      </c>
    </row>
    <row r="14" spans="1:62">
      <c r="A14" s="2547" t="s">
        <v>63</v>
      </c>
      <c r="B14" s="176" t="s">
        <v>99</v>
      </c>
      <c r="C14" s="310">
        <v>0</v>
      </c>
      <c r="D14" s="193">
        <f>IF('Prescriptive Path'!I6="No",'Prescriptive Path'!H14/1000*VLOOKUP('Prescriptive Path'!$D$4,ClimateZoneLookup!$A$2:$AN$65,29)*Baseline!$D$99/Proposed!$D$108,'Prescriptive Path'!H14/1000*'Gut Rehab Envelope'!F18*Baseline!$D$99/Proposed!$D$108)</f>
        <v>0</v>
      </c>
      <c r="E14" s="193">
        <f>IF('Prescriptive Path'!I6="No",'Prescriptive Path'!H14/1000*VLOOKUP('Prescriptive Path'!$D$4,ClimateZoneLookup!$A$4:$AN$65,31)*Baseline!$D$100/Proposed!$D$109,'Prescriptive Path'!H14/1000*'Gut Rehab Envelope'!H18*Baseline!$D$100/Proposed!$D$109)</f>
        <v>0</v>
      </c>
      <c r="F14" s="193">
        <v>0</v>
      </c>
      <c r="G14" s="194">
        <v>25</v>
      </c>
      <c r="H14" s="2193">
        <f>Baseline!Q17*'Prescriptive Path'!H14*VLOOKUP('Prescriptive Path'!$D$4,ClimateZoneLookup!$A$4:$AT$65,46,FALSE)</f>
        <v>0</v>
      </c>
      <c r="I14" s="2193">
        <f>Proposed!V17*'Prescriptive Path'!H14*VLOOKUP('Prescriptive Path'!$D$4,ClimateZoneLookup!$A$4:$AT$65,46,FALSE)</f>
        <v>0</v>
      </c>
      <c r="J14" s="1041">
        <f t="shared" si="5"/>
        <v>0</v>
      </c>
      <c r="K14" s="1280"/>
      <c r="L14" s="311" t="s">
        <v>455</v>
      </c>
      <c r="M14" s="311" t="s">
        <v>455</v>
      </c>
      <c r="N14" s="311" t="s">
        <v>455</v>
      </c>
      <c r="O14" s="311" t="s">
        <v>455</v>
      </c>
      <c r="P14" s="312">
        <f>IF('Prescriptive Path'!I6="No",'Prescriptive Path'!H14/1000*VLOOKUP('Prescriptive Path'!$D$4,ClimateZoneLookup!$A$4:$AN$65,30)*Baseline!$D$99/Proposed!$D$108,'Prescriptive Path'!H14/1000*'Gut Rehab Envelope'!G18*Baseline!$D$99/Proposed!$D$108)</f>
        <v>0</v>
      </c>
      <c r="Q14" s="193">
        <v>0</v>
      </c>
      <c r="R14" s="195" t="e">
        <f>1.1*D14*HLOOKUP(G14,AvoidCostTable,'Avoided Costs'!$D$44)</f>
        <v>#REF!</v>
      </c>
      <c r="S14" s="195" t="e">
        <f>C14*HLOOKUP(G14,AvoidCostTable,'Avoided Costs'!$D$44)</f>
        <v>#REF!</v>
      </c>
      <c r="T14" s="195" t="e">
        <f>P14*HLOOKUP(G14,AvoidCostTable,'Avoided Costs'!$D$45)</f>
        <v>#REF!</v>
      </c>
      <c r="U14" s="195" t="e">
        <f>E14/10*HLOOKUP(G14,AvoidCostTable,'Avoided Costs'!$D$46)</f>
        <v>#REF!</v>
      </c>
      <c r="V14" s="195" t="e">
        <f>F14/10*HLOOKUP(G14,AvoidCostTable,'Avoided Costs'!$D$47)</f>
        <v>#REF!</v>
      </c>
      <c r="W14" s="177">
        <f>IF('Avoided Costs'!C57="Upstate",-PV('Avoided Costs'!$D$2,G14,Q14*0.003),-PV('Avoided Costs'!$D$2,G14,Q14*0.007))</f>
        <v>0</v>
      </c>
      <c r="X14" s="195">
        <f t="shared" si="0"/>
        <v>0</v>
      </c>
      <c r="Y14" s="195">
        <f t="shared" si="1"/>
        <v>0</v>
      </c>
      <c r="Z14" s="195">
        <f t="shared" si="6"/>
        <v>0</v>
      </c>
      <c r="AA14" s="177">
        <f>IF('Avoided Costs'!$C$44="Upstate",((C14+D14)*0.1936+(E14+F14)*1.486+Q14*0.003),((C14+D14)*0.1936+(E14+F14)*1.486+Q14*0.007))</f>
        <v>0</v>
      </c>
      <c r="AB14" s="1988">
        <f t="shared" si="7"/>
        <v>0</v>
      </c>
      <c r="AC14" s="195">
        <f t="shared" si="2"/>
        <v>0</v>
      </c>
      <c r="AD14" s="196" t="str">
        <f t="shared" si="3"/>
        <v/>
      </c>
      <c r="AE14" s="197" t="str">
        <f t="shared" si="8"/>
        <v/>
      </c>
      <c r="AF14" s="304" t="s">
        <v>448</v>
      </c>
      <c r="AH14" s="1976" t="str">
        <f t="shared" si="4"/>
        <v/>
      </c>
      <c r="AI14" s="102" t="str">
        <f t="shared" si="9"/>
        <v/>
      </c>
      <c r="AJ14" s="102" t="str">
        <f t="shared" si="10"/>
        <v/>
      </c>
      <c r="AK14" s="102" t="str">
        <f t="shared" si="11"/>
        <v/>
      </c>
      <c r="AL14" s="1981" t="str">
        <f>IF('Prescriptive Path'!$D$7="","",(IF(AH14="Yes",IF('Prescriptive Path'!$D$7="Market-Rate",IF(Savings!AJ14="Electricity","MPPMREINC","MPPMRGINC"),IF(Savings!AJ14="Electricity","MPPLIEINC","MPPLIGINC")),"")))</f>
        <v/>
      </c>
    </row>
    <row r="15" spans="1:62">
      <c r="A15" s="2548"/>
      <c r="B15" s="178" t="s">
        <v>102</v>
      </c>
      <c r="C15" s="313">
        <v>0</v>
      </c>
      <c r="D15" s="198">
        <f>IF('Prescriptive Path'!I6="No",'Prescriptive Path'!H15/1000*VLOOKUP('Prescriptive Path'!$D$4,ClimateZoneLookup!$A$2:$AN$65,32)*Baseline!$D$99/Proposed!$D$108,'Prescriptive Path'!H15/1000*'Gut Rehab Envelope'!F19*Baseline!$D$99/Proposed!$D$108)</f>
        <v>0</v>
      </c>
      <c r="E15" s="198">
        <f>IF('Prescriptive Path'!I6="No",'Prescriptive Path'!H15/1000*VLOOKUP('Prescriptive Path'!$D$4,ClimateZoneLookup!$A$4:$AN$65,34)*Baseline!$D$100/Proposed!$D$109,'Prescriptive Path'!H15/1000*'Gut Rehab Envelope'!H19*Baseline!$D$100/Proposed!$D$109)</f>
        <v>0</v>
      </c>
      <c r="F15" s="198">
        <v>0</v>
      </c>
      <c r="G15" s="199">
        <v>25</v>
      </c>
      <c r="H15" s="2194">
        <f>Baseline!Q18*'Prescriptive Path'!H15*VLOOKUP('Prescriptive Path'!$D$4,ClimateZoneLookup!$A$4:$AT$65,46,FALSE)</f>
        <v>0</v>
      </c>
      <c r="I15" s="2194">
        <f>Proposed!V18*'Prescriptive Path'!H15*VLOOKUP('Prescriptive Path'!$D$4,ClimateZoneLookup!$A$4:$AT$65,46,FALSE)</f>
        <v>0</v>
      </c>
      <c r="J15" s="1042">
        <f t="shared" si="5"/>
        <v>0</v>
      </c>
      <c r="K15" s="1281"/>
      <c r="L15" s="314" t="s">
        <v>455</v>
      </c>
      <c r="M15" s="314" t="s">
        <v>455</v>
      </c>
      <c r="N15" s="314" t="s">
        <v>455</v>
      </c>
      <c r="O15" s="314" t="s">
        <v>455</v>
      </c>
      <c r="P15" s="315">
        <f>IF('Prescriptive Path'!I6="No",'Prescriptive Path'!H15/1000*VLOOKUP('Prescriptive Path'!$D$4,ClimateZoneLookup!$A$4:$AN$65,33)*Baseline!$D$99/Proposed!$D$108,'Prescriptive Path'!H15/1000*'Gut Rehab Envelope'!G19*Baseline!$D$99/Proposed!$D$108)</f>
        <v>0</v>
      </c>
      <c r="Q15" s="198">
        <v>0</v>
      </c>
      <c r="R15" s="200" t="e">
        <f>1.1*D15*HLOOKUP(G15,AvoidCostTable,'Avoided Costs'!$D$44)</f>
        <v>#REF!</v>
      </c>
      <c r="S15" s="200" t="e">
        <f>C15*HLOOKUP(G15,AvoidCostTable,'Avoided Costs'!$D$44)</f>
        <v>#REF!</v>
      </c>
      <c r="T15" s="200" t="e">
        <f>P15*HLOOKUP(G15,AvoidCostTable,'Avoided Costs'!$D$45)</f>
        <v>#REF!</v>
      </c>
      <c r="U15" s="200" t="e">
        <f>E15/10*HLOOKUP(G15,AvoidCostTable,'Avoided Costs'!$D$46)</f>
        <v>#REF!</v>
      </c>
      <c r="V15" s="200" t="e">
        <f>F15/10*HLOOKUP(G15,AvoidCostTable,'Avoided Costs'!$D$47)</f>
        <v>#REF!</v>
      </c>
      <c r="W15" s="181">
        <f>IF('Avoided Costs'!C58="Upstate",-PV('Avoided Costs'!$D$2,G15,Q15*0.003),-PV('Avoided Costs'!$D$2,G15,Q15*0.007))</f>
        <v>0</v>
      </c>
      <c r="X15" s="200">
        <f t="shared" si="0"/>
        <v>0</v>
      </c>
      <c r="Y15" s="200">
        <f t="shared" si="1"/>
        <v>0</v>
      </c>
      <c r="Z15" s="200">
        <f t="shared" si="6"/>
        <v>0</v>
      </c>
      <c r="AA15" s="181">
        <f>IF('Avoided Costs'!$C$44="Upstate",((C15+D15)*0.1936+(E15+F15)*1.486+Q15*0.003),((C15+D15)*0.1936+(E15+F15)*1.486+Q15*0.007))</f>
        <v>0</v>
      </c>
      <c r="AB15" s="1989">
        <f t="shared" si="7"/>
        <v>0</v>
      </c>
      <c r="AC15" s="200">
        <f t="shared" si="2"/>
        <v>0</v>
      </c>
      <c r="AD15" s="201" t="str">
        <f t="shared" si="3"/>
        <v/>
      </c>
      <c r="AE15" s="202" t="str">
        <f t="shared" si="8"/>
        <v/>
      </c>
      <c r="AF15" s="307" t="s">
        <v>448</v>
      </c>
      <c r="AH15" s="1976" t="str">
        <f t="shared" si="4"/>
        <v/>
      </c>
      <c r="AI15" s="102" t="str">
        <f t="shared" si="9"/>
        <v/>
      </c>
      <c r="AJ15" s="102" t="str">
        <f t="shared" si="10"/>
        <v/>
      </c>
      <c r="AK15" s="102" t="str">
        <f t="shared" si="11"/>
        <v/>
      </c>
      <c r="AL15" s="1981" t="str">
        <f>IF('Prescriptive Path'!$D$7="","",(IF(AH15="Yes",IF('Prescriptive Path'!$D$7="Market-Rate",IF(Savings!AJ15="Electricity","MPPMREINC","MPPMRGINC"),IF(Savings!AJ15="Electricity","MPPLIEINC","MPPLIGINC")),"")))</f>
        <v/>
      </c>
    </row>
    <row r="16" spans="1:62">
      <c r="A16" s="2549"/>
      <c r="B16" s="178" t="s">
        <v>252</v>
      </c>
      <c r="C16" s="313">
        <v>0</v>
      </c>
      <c r="D16" s="198">
        <f>IF('Prescriptive Path'!I6="No",'Prescriptive Path'!H16/1000*VLOOKUP('Prescriptive Path'!$D$4,ClimateZoneLookup!$A$2:$AN$65,35)*Baseline!$D$99/Proposed!$D$108,'Prescriptive Path'!H16/1000*'Gut Rehab Envelope'!F20*Baseline!$D$99/Proposed!$D$108)</f>
        <v>0</v>
      </c>
      <c r="E16" s="198">
        <f>IF('Prescriptive Path'!I6="No",'Prescriptive Path'!H16/1000*VLOOKUP('Prescriptive Path'!$D$4,ClimateZoneLookup!$A$4:$AN$65,37)*Baseline!$D$100/Proposed!$D$109,'Prescriptive Path'!H16/1000*'Gut Rehab Envelope'!H20*Baseline!$D$100/Proposed!$D$109)</f>
        <v>0</v>
      </c>
      <c r="F16" s="198">
        <v>0</v>
      </c>
      <c r="G16" s="199">
        <v>25</v>
      </c>
      <c r="H16" s="2194">
        <f>Baseline!Q19*'Prescriptive Path'!H16*VLOOKUP('Prescriptive Path'!$D$4,ClimateZoneLookup!$A$4:$AT$65,46,FALSE)</f>
        <v>0</v>
      </c>
      <c r="I16" s="2194">
        <f>Proposed!V19*'Prescriptive Path'!H16*VLOOKUP('Prescriptive Path'!$D$4,ClimateZoneLookup!$A$4:$AT$65,46,FALSE)</f>
        <v>0</v>
      </c>
      <c r="J16" s="1042">
        <f t="shared" si="5"/>
        <v>0</v>
      </c>
      <c r="K16" s="1281"/>
      <c r="L16" s="314" t="s">
        <v>455</v>
      </c>
      <c r="M16" s="314" t="s">
        <v>455</v>
      </c>
      <c r="N16" s="314" t="s">
        <v>455</v>
      </c>
      <c r="O16" s="314" t="s">
        <v>455</v>
      </c>
      <c r="P16" s="315">
        <f>IF('Prescriptive Path'!I6="No",'Prescriptive Path'!H16/1000*VLOOKUP('Prescriptive Path'!$D$4,ClimateZoneLookup!$A$4:$AN$65,36)*Baseline!$D$99/Proposed!$D$108,'Prescriptive Path'!H16/1000*'Gut Rehab Envelope'!G20*Baseline!$D$99/Proposed!$D$108)</f>
        <v>0</v>
      </c>
      <c r="Q16" s="198">
        <v>0</v>
      </c>
      <c r="R16" s="200" t="e">
        <f>1.1*D16*HLOOKUP(G16,AvoidCostTable,'Avoided Costs'!$D$44)</f>
        <v>#REF!</v>
      </c>
      <c r="S16" s="200" t="e">
        <f>C16*HLOOKUP(G16,AvoidCostTable,'Avoided Costs'!$D$44)</f>
        <v>#REF!</v>
      </c>
      <c r="T16" s="200" t="e">
        <f>P16*HLOOKUP(G16,AvoidCostTable,'Avoided Costs'!$D$45)</f>
        <v>#REF!</v>
      </c>
      <c r="U16" s="200" t="e">
        <f>E16/10*HLOOKUP(G16,AvoidCostTable,'Avoided Costs'!$D$46)</f>
        <v>#REF!</v>
      </c>
      <c r="V16" s="200" t="e">
        <f>F16/10*HLOOKUP(G16,AvoidCostTable,'Avoided Costs'!$D$47)</f>
        <v>#REF!</v>
      </c>
      <c r="W16" s="181">
        <f>IF('Avoided Costs'!C59="Upstate",-PV('Avoided Costs'!$D$2,G16,Q16*0.003),-PV('Avoided Costs'!$D$2,G16,Q16*0.007))</f>
        <v>0</v>
      </c>
      <c r="X16" s="200">
        <f t="shared" si="0"/>
        <v>0</v>
      </c>
      <c r="Y16" s="200">
        <f t="shared" si="1"/>
        <v>0</v>
      </c>
      <c r="Z16" s="200">
        <f t="shared" si="6"/>
        <v>0</v>
      </c>
      <c r="AA16" s="181">
        <f>IF('Avoided Costs'!$C$44="Upstate",((C16+D16)*0.1936+(E16+F16)*1.486+Q16*0.003),((C16+D16)*0.1936+(E16+F16)*1.486+Q16*0.007))</f>
        <v>0</v>
      </c>
      <c r="AB16" s="1989">
        <f t="shared" si="7"/>
        <v>0</v>
      </c>
      <c r="AC16" s="200">
        <f t="shared" si="2"/>
        <v>0</v>
      </c>
      <c r="AD16" s="201" t="str">
        <f t="shared" si="3"/>
        <v/>
      </c>
      <c r="AE16" s="202" t="str">
        <f t="shared" si="8"/>
        <v/>
      </c>
      <c r="AF16" s="307" t="s">
        <v>448</v>
      </c>
      <c r="AH16" s="1976" t="str">
        <f t="shared" si="4"/>
        <v/>
      </c>
      <c r="AI16" s="102" t="str">
        <f t="shared" si="9"/>
        <v/>
      </c>
      <c r="AJ16" s="102" t="str">
        <f t="shared" si="10"/>
        <v/>
      </c>
      <c r="AK16" s="102" t="str">
        <f t="shared" si="11"/>
        <v/>
      </c>
      <c r="AL16" s="1981" t="str">
        <f>IF('Prescriptive Path'!$D$7="","",(IF(AH16="Yes",IF('Prescriptive Path'!$D$7="Market-Rate",IF(Savings!AJ16="Electricity","MPPMREINC","MPPMRGINC"),IF(Savings!AJ16="Electricity","MPPLIEINC","MPPLIGINC")),"")))</f>
        <v/>
      </c>
    </row>
    <row r="17" spans="1:49" ht="15.75" thickBot="1">
      <c r="A17" s="2550"/>
      <c r="B17" s="203" t="s">
        <v>278</v>
      </c>
      <c r="C17" s="316">
        <v>0</v>
      </c>
      <c r="D17" s="204">
        <f>IF('Prescriptive Path'!I6="No",'Prescriptive Path'!H17/1000*VLOOKUP('Prescriptive Path'!$D$4,ClimateZoneLookup!$A$2:$AN$65,38)*Baseline!$D$99/Proposed!$D$108,'Prescriptive Path'!H17/1000*'Gut Rehab Envelope'!F21*Baseline!$D$99/Proposed!$D$108)</f>
        <v>0</v>
      </c>
      <c r="E17" s="204">
        <f>IF('Prescriptive Path'!I6="No",'Prescriptive Path'!H17/1000*VLOOKUP('Prescriptive Path'!$D$4,ClimateZoneLookup!$A$4:$AN$65,40)*Baseline!$D$100/Proposed!$D$109,'Prescriptive Path'!H17/1000*'Gut Rehab Envelope'!H21*Baseline!$D$100/Proposed!$D$109)</f>
        <v>0</v>
      </c>
      <c r="F17" s="204">
        <v>0</v>
      </c>
      <c r="G17" s="205">
        <v>25</v>
      </c>
      <c r="H17" s="2195">
        <f>Baseline!Q20*'Prescriptive Path'!H17*VLOOKUP('Prescriptive Path'!$D$4,ClimateZoneLookup!$A$4:$AT$65,46,FALSE)</f>
        <v>0</v>
      </c>
      <c r="I17" s="2195">
        <f>Proposed!V20*'Prescriptive Path'!H17*VLOOKUP('Prescriptive Path'!$D$4,ClimateZoneLookup!$A$4:$AT$65,46,FALSE)</f>
        <v>0</v>
      </c>
      <c r="J17" s="1043">
        <f t="shared" si="5"/>
        <v>0</v>
      </c>
      <c r="K17" s="1282"/>
      <c r="L17" s="317" t="s">
        <v>455</v>
      </c>
      <c r="M17" s="317" t="s">
        <v>455</v>
      </c>
      <c r="N17" s="317" t="s">
        <v>455</v>
      </c>
      <c r="O17" s="317" t="s">
        <v>455</v>
      </c>
      <c r="P17" s="318">
        <f>IF('Prescriptive Path'!I6="No",'Prescriptive Path'!H17/1000*VLOOKUP('Prescriptive Path'!$D$4,ClimateZoneLookup!$A$4:$AN$65,39)*Baseline!$D$99/Proposed!$D$108,'Prescriptive Path'!H17/1000*'Gut Rehab Envelope'!G21*Baseline!$D$99/Proposed!$D$108)</f>
        <v>0</v>
      </c>
      <c r="Q17" s="204">
        <v>0</v>
      </c>
      <c r="R17" s="206" t="e">
        <f>1.1*D17*HLOOKUP(G17,AvoidCostTable,'Avoided Costs'!$D$44)</f>
        <v>#REF!</v>
      </c>
      <c r="S17" s="206" t="e">
        <f>C17*HLOOKUP(G17,AvoidCostTable,'Avoided Costs'!$D$44)</f>
        <v>#REF!</v>
      </c>
      <c r="T17" s="206" t="e">
        <f>P17*HLOOKUP(G17,AvoidCostTable,'Avoided Costs'!$D$45)</f>
        <v>#REF!</v>
      </c>
      <c r="U17" s="206" t="e">
        <f>E17/10*HLOOKUP(G17,AvoidCostTable,'Avoided Costs'!$D$46)</f>
        <v>#REF!</v>
      </c>
      <c r="V17" s="206" t="e">
        <f>F17/10*HLOOKUP(G17,AvoidCostTable,'Avoided Costs'!$D$47)</f>
        <v>#REF!</v>
      </c>
      <c r="W17" s="207">
        <f>IF('Avoided Costs'!C60="Upstate",-PV('Avoided Costs'!$D$2,G17,Q17*0.003),-PV('Avoided Costs'!$D$2,G17,Q17*0.007))</f>
        <v>0</v>
      </c>
      <c r="X17" s="206">
        <f t="shared" si="0"/>
        <v>0</v>
      </c>
      <c r="Y17" s="206">
        <f t="shared" si="1"/>
        <v>0</v>
      </c>
      <c r="Z17" s="206">
        <f t="shared" si="6"/>
        <v>0</v>
      </c>
      <c r="AA17" s="207">
        <f>IF('Avoided Costs'!$C$44="Upstate",((C17+D17)*0.1936+(E17+F17)*1.486+Q17*0.003),((C17+D17)*0.1936+(E17+F17)*1.486+Q17*0.007))</f>
        <v>0</v>
      </c>
      <c r="AB17" s="1992">
        <f t="shared" si="7"/>
        <v>0</v>
      </c>
      <c r="AC17" s="206">
        <f t="shared" si="2"/>
        <v>0</v>
      </c>
      <c r="AD17" s="208" t="str">
        <f t="shared" si="3"/>
        <v/>
      </c>
      <c r="AE17" s="209" t="str">
        <f t="shared" si="8"/>
        <v/>
      </c>
      <c r="AF17" s="319" t="s">
        <v>448</v>
      </c>
      <c r="AH17" s="1976" t="str">
        <f t="shared" si="4"/>
        <v/>
      </c>
      <c r="AI17" s="102" t="str">
        <f t="shared" si="9"/>
        <v/>
      </c>
      <c r="AJ17" s="102" t="str">
        <f t="shared" si="10"/>
        <v/>
      </c>
      <c r="AK17" s="102" t="str">
        <f t="shared" si="11"/>
        <v/>
      </c>
      <c r="AL17" s="1981" t="str">
        <f>IF('Prescriptive Path'!$D$7="","",(IF(AH17="Yes",IF('Prescriptive Path'!$D$7="Market-Rate",IF(Savings!AJ17="Electricity","MPPMREINC","MPPMRGINC"),IF(Savings!AJ17="Electricity","MPPLIEINC","MPPLIGINC")),"")))</f>
        <v/>
      </c>
    </row>
    <row r="18" spans="1:49" ht="26.25" thickBot="1">
      <c r="A18" s="1826" t="s">
        <v>64</v>
      </c>
      <c r="B18" s="1827" t="s">
        <v>5</v>
      </c>
      <c r="C18" s="1828">
        <v>0</v>
      </c>
      <c r="D18" s="1829">
        <f>IF('Prescriptive Path'!H18="",0,IF('Prescriptive Path'!I6="No",(Baseline!P21-Proposed!U21)*(68-(50-18))*'Prescriptive Path'!H18*VLOOKUP('Prescriptive Path'!$D$4,ClimateZoneLookup!$A$4:$AS$65,11,FALSE)/(1000*Proposed!$D$107),('Gut Rehab Envelope'!E26-Proposed!U21)*(68-(50-18))*'Prescriptive Path'!H18*VLOOKUP('Prescriptive Path'!$D$4,ClimateZoneLookup!$A$4:$AS$65,11,FALSE)/(1000*Proposed!$D$107)))</f>
        <v>0</v>
      </c>
      <c r="E18" s="1829">
        <f>IF('Prescriptive Path'!H18="",0,IF('Prescriptive Path'!I6="No",(Baseline!P21-Proposed!U21)*(68-(50-18))*'Prescriptive Path'!H18*VLOOKUP('Prescriptive Path'!$D$4,ClimateZoneLookup!A4:E65,5,FALSE)/100000/Proposed!$D$109,('Gut Rehab Envelope'!E26-Proposed!U21)*(68-(50-18))*'Prescriptive Path'!H18*VLOOKUP('Prescriptive Path'!$D$4,ClimateZoneLookup!A4:E65,5,FALSE)/100000/Proposed!$D$109))</f>
        <v>0</v>
      </c>
      <c r="F18" s="1829">
        <v>0</v>
      </c>
      <c r="G18" s="1830">
        <v>25</v>
      </c>
      <c r="H18" s="2196">
        <f>Baseline!Q21*'Prescriptive Path'!H18*VLOOKUP('Prescriptive Path'!$D$4,ClimateZoneLookup!$A$4:$AT$65,46,FALSE)</f>
        <v>0</v>
      </c>
      <c r="I18" s="2196">
        <f>Proposed!V21*'Prescriptive Path'!H18*VLOOKUP('Prescriptive Path'!$D$4,ClimateZoneLookup!$A$4:$AT$65,46,FALSE)</f>
        <v>0</v>
      </c>
      <c r="J18" s="1831">
        <f t="shared" si="5"/>
        <v>0</v>
      </c>
      <c r="K18" s="1832"/>
      <c r="L18" s="1833">
        <v>0</v>
      </c>
      <c r="M18" s="1833">
        <v>1.8500000000000001E-3</v>
      </c>
      <c r="N18" s="1833">
        <v>0</v>
      </c>
      <c r="O18" s="1833">
        <v>1.1299999999999999E-3</v>
      </c>
      <c r="P18" s="1834">
        <f>IF('Prescriptive Path'!$K$1=4,C18*N18+D18*O18,C18*L18+D18*M18)</f>
        <v>0</v>
      </c>
      <c r="Q18" s="1829">
        <v>0</v>
      </c>
      <c r="R18" s="1835" t="e">
        <f>1.1*D18*HLOOKUP(G18,AvoidCostTable,'Avoided Costs'!$D$44)</f>
        <v>#REF!</v>
      </c>
      <c r="S18" s="1835" t="e">
        <f>C18*HLOOKUP(G18,AvoidCostTable,'Avoided Costs'!$D$44)</f>
        <v>#REF!</v>
      </c>
      <c r="T18" s="1835" t="e">
        <f>P18*HLOOKUP(G18,AvoidCostTable,'Avoided Costs'!$D$45)</f>
        <v>#REF!</v>
      </c>
      <c r="U18" s="1835" t="e">
        <f>E18/10*HLOOKUP(G18,AvoidCostTable,'Avoided Costs'!$D$46)</f>
        <v>#REF!</v>
      </c>
      <c r="V18" s="1835" t="e">
        <f>F18/10*HLOOKUP(G18,AvoidCostTable,'Avoided Costs'!$D$47)</f>
        <v>#REF!</v>
      </c>
      <c r="W18" s="1836">
        <f>IF('Avoided Costs'!C61="Upstate",-PV('Avoided Costs'!$D$2,G18,Q18*0.003),-PV('Avoided Costs'!$D$2,G18,Q18*0.007))</f>
        <v>0</v>
      </c>
      <c r="X18" s="1835">
        <f t="shared" si="0"/>
        <v>0</v>
      </c>
      <c r="Y18" s="1835">
        <f t="shared" si="1"/>
        <v>0</v>
      </c>
      <c r="Z18" s="1835">
        <f t="shared" si="6"/>
        <v>0</v>
      </c>
      <c r="AA18" s="1836">
        <f>IF('Avoided Costs'!$C$44="Upstate",((C18+D18)*0.1936+(E18+F18)*1.486+Q18*0.003),((C18+D18)*0.1936+(E18+F18)*1.486+Q18*0.007))</f>
        <v>0</v>
      </c>
      <c r="AB18" s="1993">
        <f t="shared" si="7"/>
        <v>0</v>
      </c>
      <c r="AC18" s="1835">
        <f t="shared" si="2"/>
        <v>0</v>
      </c>
      <c r="AD18" s="1837" t="str">
        <f t="shared" si="3"/>
        <v/>
      </c>
      <c r="AE18" s="1838" t="str">
        <f t="shared" si="8"/>
        <v/>
      </c>
      <c r="AF18" s="1839" t="s">
        <v>452</v>
      </c>
      <c r="AH18" s="1976" t="str">
        <f t="shared" si="4"/>
        <v/>
      </c>
      <c r="AI18" s="102" t="str">
        <f t="shared" si="9"/>
        <v/>
      </c>
      <c r="AJ18" s="102" t="str">
        <f t="shared" si="10"/>
        <v/>
      </c>
      <c r="AK18" s="102" t="str">
        <f t="shared" si="11"/>
        <v/>
      </c>
      <c r="AL18" s="1981" t="str">
        <f>IF('Prescriptive Path'!$D$7="","",(IF(AH18="Yes",IF('Prescriptive Path'!$D$7="Market-Rate",IF(Savings!AJ18="Electricity","MPPMREINC","MPPMRGINC"),IF(Savings!AJ18="Electricity","MPPLIEINC","MPPLIGINC")),"")))</f>
        <v/>
      </c>
    </row>
    <row r="19" spans="1:49">
      <c r="A19" s="2551" t="s">
        <v>65</v>
      </c>
      <c r="B19" s="210" t="s">
        <v>100</v>
      </c>
      <c r="C19" s="320">
        <v>0</v>
      </c>
      <c r="D19" s="193">
        <f>IF('Prescriptive Path'!H19="",0,IF('Prescriptive Path'!I6="No",(Baseline!P23-Proposed!U23)*'Prescriptive Path'!H19*24*VLOOKUP('Prescriptive Path'!$D$4,ClimateZoneLookup!$A$4:$K$65,11,FALSE)/(1000*Proposed!$D$107),('Gut Rehab Envelope'!E27-Proposed!U23)*'Prescriptive Path'!H19*24*VLOOKUP('Prescriptive Path'!$D$4,ClimateZoneLookup!$A$4:$K$65,11,FALSE)/(1000*Proposed!$D$107)))</f>
        <v>0</v>
      </c>
      <c r="E19" s="494">
        <f>IF('Prescriptive Path'!H19="",0,IF('Prescriptive Path'!I6="No",(Baseline!P23-Proposed!U23)*'Prescriptive Path'!H19*24*VLOOKUP('Prescriptive Path'!$D$4,ClimateZoneLookup!$A$4:$E$65,5,FALSE)/100000/Proposed!$D$109,('Gut Rehab Envelope'!E27-Proposed!U23)*'Prescriptive Path'!H19*24*VLOOKUP('Prescriptive Path'!$D$4,ClimateZoneLookup!$A$4:$E$65,5,FALSE)/100000/Proposed!$D$109))</f>
        <v>0</v>
      </c>
      <c r="F19" s="193">
        <v>0</v>
      </c>
      <c r="G19" s="194">
        <v>25</v>
      </c>
      <c r="H19" s="2193">
        <f>Baseline!Q23*'Prescriptive Path'!H19*VLOOKUP('Prescriptive Path'!$D$4,ClimateZoneLookup!$A$4:$AT$65,46,FALSE)</f>
        <v>0</v>
      </c>
      <c r="I19" s="2193">
        <f>Proposed!V23*'Prescriptive Path'!H19*VLOOKUP('Prescriptive Path'!$D$4,ClimateZoneLookup!$A$4:$AT$65,46,FALSE)</f>
        <v>0</v>
      </c>
      <c r="J19" s="1041">
        <f t="shared" si="5"/>
        <v>0</v>
      </c>
      <c r="K19" s="1280"/>
      <c r="L19" s="311">
        <v>0</v>
      </c>
      <c r="M19" s="311">
        <v>1.8500000000000001E-3</v>
      </c>
      <c r="N19" s="311">
        <v>0</v>
      </c>
      <c r="O19" s="311">
        <v>1.1299999999999999E-3</v>
      </c>
      <c r="P19" s="312">
        <f>IF('Prescriptive Path'!$K$1=4,C19*N19+D19*O19,C19*L19+D19*M19)</f>
        <v>0</v>
      </c>
      <c r="Q19" s="193">
        <v>0</v>
      </c>
      <c r="R19" s="195" t="e">
        <f>1.1*D19*HLOOKUP(G19,AvoidCostTable,'Avoided Costs'!$D$44)</f>
        <v>#REF!</v>
      </c>
      <c r="S19" s="195" t="e">
        <f>C19*HLOOKUP(G19,AvoidCostTable,'Avoided Costs'!$D$44)</f>
        <v>#REF!</v>
      </c>
      <c r="T19" s="195" t="e">
        <f>P19*HLOOKUP(G19,AvoidCostTable,'Avoided Costs'!$D$45)</f>
        <v>#REF!</v>
      </c>
      <c r="U19" s="195" t="e">
        <f>E19/10*HLOOKUP(G19,AvoidCostTable,'Avoided Costs'!$D$46)</f>
        <v>#REF!</v>
      </c>
      <c r="V19" s="195" t="e">
        <f>F19/10*HLOOKUP(G19,AvoidCostTable,'Avoided Costs'!$D$47)</f>
        <v>#REF!</v>
      </c>
      <c r="W19" s="177">
        <f>IF('Avoided Costs'!C63="Upstate",-PV('Avoided Costs'!$D$2,G19,Q19*0.003),-PV('Avoided Costs'!$D$2,G19,Q19*0.007))</f>
        <v>0</v>
      </c>
      <c r="X19" s="195">
        <f t="shared" si="0"/>
        <v>0</v>
      </c>
      <c r="Y19" s="195">
        <f t="shared" si="1"/>
        <v>0</v>
      </c>
      <c r="Z19" s="195">
        <f t="shared" si="6"/>
        <v>0</v>
      </c>
      <c r="AA19" s="177">
        <f>IF('Avoided Costs'!$C$44="Upstate",((C19+D19)*0.1936+(E19+F19)*1.486+Q19*0.003),((C19+D19)*0.1936+(E19+F19)*1.486+Q19*0.007))</f>
        <v>0</v>
      </c>
      <c r="AB19" s="1988">
        <f t="shared" si="7"/>
        <v>0</v>
      </c>
      <c r="AC19" s="195">
        <f t="shared" ref="AC19:AC24" si="12">IF(AA19=0,0,G19*AA19)</f>
        <v>0</v>
      </c>
      <c r="AD19" s="196" t="str">
        <f t="shared" ref="AD19:AD24" si="13">IF(AA19=0,"",IF(AA19&gt;0,-PV(3%,G19,AA19)/J19,0))</f>
        <v/>
      </c>
      <c r="AE19" s="197" t="str">
        <f t="shared" si="8"/>
        <v/>
      </c>
      <c r="AF19" s="304" t="s">
        <v>452</v>
      </c>
      <c r="AH19" s="1976" t="str">
        <f t="shared" si="4"/>
        <v/>
      </c>
      <c r="AI19" s="102" t="str">
        <f t="shared" si="9"/>
        <v/>
      </c>
      <c r="AJ19" s="102" t="str">
        <f t="shared" si="10"/>
        <v/>
      </c>
      <c r="AK19" s="102" t="str">
        <f t="shared" si="11"/>
        <v/>
      </c>
      <c r="AL19" s="1981" t="str">
        <f>IF('Prescriptive Path'!$D$7="","",(IF(AH19="Yes",IF('Prescriptive Path'!$D$7="Market-Rate",IF(Savings!AJ19="Electricity","MPPMREINC","MPPMRGINC"),IF(Savings!AJ19="Electricity","MPPLIEINC","MPPLIGINC")),"")))</f>
        <v/>
      </c>
    </row>
    <row r="20" spans="1:49">
      <c r="A20" s="2549"/>
      <c r="B20" s="211" t="s">
        <v>68</v>
      </c>
      <c r="C20" s="321">
        <v>0</v>
      </c>
      <c r="D20" s="198">
        <f>IF('Prescriptive Path'!H20="",0,IF('Prescriptive Path'!I6="No",(Baseline!P24-Proposed!U24)*'Prescriptive Path'!H20*24*VLOOKUP('Prescriptive Path'!$D$4,ClimateZoneLookup!$A$4:$K$65,11,FALSE)/(1000*Proposed!$D$107),('Gut Rehab Envelope'!E28-Proposed!U24)*'Prescriptive Path'!H20*24*VLOOKUP('Prescriptive Path'!$D$4,ClimateZoneLookup!$A$4:$K$65,11,FALSE)/(1000*Proposed!$D$107)))</f>
        <v>0</v>
      </c>
      <c r="E20" s="204">
        <f>IF('Prescriptive Path'!H20="",0,IF('Prescriptive Path'!I6="No",(Baseline!P24-Proposed!U24)*'Prescriptive Path'!H20*24*VLOOKUP('Prescriptive Path'!$D$4,ClimateZoneLookup!$A$4:$E$65,5,FALSE)/100000/Proposed!$D$109,('Gut Rehab Envelope'!E28-Proposed!U24)*'Prescriptive Path'!H20*24*VLOOKUP('Prescriptive Path'!$D$4,ClimateZoneLookup!$A$4:$E$65,5,FALSE)/100000/Proposed!$D$109))</f>
        <v>0</v>
      </c>
      <c r="F20" s="198">
        <v>0</v>
      </c>
      <c r="G20" s="199">
        <v>25</v>
      </c>
      <c r="H20" s="2194">
        <f>Baseline!Q24*'Prescriptive Path'!H20*VLOOKUP('Prescriptive Path'!$D$4,ClimateZoneLookup!$A$4:$AT$65,46,FALSE)</f>
        <v>0</v>
      </c>
      <c r="I20" s="2194">
        <f>Proposed!V24*'Prescriptive Path'!H20*VLOOKUP('Prescriptive Path'!$D$4,ClimateZoneLookup!$A$4:$AT$65,46,FALSE)</f>
        <v>0</v>
      </c>
      <c r="J20" s="1042">
        <f t="shared" si="5"/>
        <v>0</v>
      </c>
      <c r="K20" s="1281"/>
      <c r="L20" s="314">
        <v>0</v>
      </c>
      <c r="M20" s="314">
        <v>1.8500000000000001E-3</v>
      </c>
      <c r="N20" s="314">
        <v>0</v>
      </c>
      <c r="O20" s="314">
        <v>1.1299999999999999E-3</v>
      </c>
      <c r="P20" s="315">
        <f>IF('Prescriptive Path'!$K$1=4,C20*N20+D20*O20,C20*L20+D20*M20)</f>
        <v>0</v>
      </c>
      <c r="Q20" s="198">
        <v>0</v>
      </c>
      <c r="R20" s="200" t="e">
        <f>1.1*D20*HLOOKUP(G20,AvoidCostTable,'Avoided Costs'!$D$44)</f>
        <v>#REF!</v>
      </c>
      <c r="S20" s="200" t="e">
        <f>C20*HLOOKUP(G20,AvoidCostTable,'Avoided Costs'!$D$44)</f>
        <v>#REF!</v>
      </c>
      <c r="T20" s="200" t="e">
        <f>P20*HLOOKUP(G20,AvoidCostTable,'Avoided Costs'!$D$45)</f>
        <v>#REF!</v>
      </c>
      <c r="U20" s="200" t="e">
        <f>E20/10*HLOOKUP(G20,AvoidCostTable,'Avoided Costs'!$D$46)</f>
        <v>#REF!</v>
      </c>
      <c r="V20" s="200" t="e">
        <f>F20/10*HLOOKUP(G20,AvoidCostTable,'Avoided Costs'!$D$47)</f>
        <v>#REF!</v>
      </c>
      <c r="W20" s="181">
        <f>IF('Avoided Costs'!C64="Upstate",-PV('Avoided Costs'!$D$2,G20,Q20*0.003),-PV('Avoided Costs'!$D$2,G20,Q20*0.007))</f>
        <v>0</v>
      </c>
      <c r="X20" s="200">
        <f t="shared" si="0"/>
        <v>0</v>
      </c>
      <c r="Y20" s="200">
        <f t="shared" si="1"/>
        <v>0</v>
      </c>
      <c r="Z20" s="200">
        <f t="shared" si="6"/>
        <v>0</v>
      </c>
      <c r="AA20" s="181">
        <f>IF('Avoided Costs'!$C$44="Upstate",((C20+D20)*0.1936+(E20+F20)*1.486+Q20*0.003),((C20+D20)*0.1936+(E20+F20)*1.486+Q20*0.007))</f>
        <v>0</v>
      </c>
      <c r="AB20" s="1989">
        <f t="shared" si="7"/>
        <v>0</v>
      </c>
      <c r="AC20" s="200">
        <f t="shared" si="12"/>
        <v>0</v>
      </c>
      <c r="AD20" s="201" t="str">
        <f t="shared" si="13"/>
        <v/>
      </c>
      <c r="AE20" s="202" t="str">
        <f t="shared" si="8"/>
        <v/>
      </c>
      <c r="AF20" s="307" t="s">
        <v>452</v>
      </c>
      <c r="AH20" s="1976" t="str">
        <f t="shared" si="4"/>
        <v/>
      </c>
      <c r="AI20" s="102" t="str">
        <f t="shared" si="9"/>
        <v/>
      </c>
      <c r="AJ20" s="102" t="str">
        <f t="shared" si="10"/>
        <v/>
      </c>
      <c r="AK20" s="102" t="str">
        <f t="shared" si="11"/>
        <v/>
      </c>
      <c r="AL20" s="1981" t="str">
        <f>IF('Prescriptive Path'!$D$7="","",(IF(AH20="Yes",IF('Prescriptive Path'!$D$7="Market-Rate",IF(Savings!AJ20="Electricity","MPPMREINC","MPPMRGINC"),IF(Savings!AJ20="Electricity","MPPLIEINC","MPPLIGINC")),"")))</f>
        <v/>
      </c>
    </row>
    <row r="21" spans="1:49" ht="15.75" thickBot="1">
      <c r="A21" s="2552"/>
      <c r="B21" s="1841" t="s">
        <v>79</v>
      </c>
      <c r="C21" s="322">
        <v>0</v>
      </c>
      <c r="D21" s="204">
        <f>IF('Prescriptive Path'!H21="",0,IF('Prescriptive Path'!I6="No",(Baseline!P25-Proposed!U25)*'Prescriptive Path'!H21*24*VLOOKUP('Prescriptive Path'!$D$4,ClimateZoneLookup!$A$4:$K$65,11,FALSE)/(1000*Proposed!$D$107),('Gut Rehab Envelope'!E29-Proposed!U25)*'Prescriptive Path'!H21*24*VLOOKUP('Prescriptive Path'!$D$4,ClimateZoneLookup!$A$4:$K$65,11,FALSE)/(1000*Proposed!$D$107)))</f>
        <v>0</v>
      </c>
      <c r="E21" s="204">
        <f>IF('Prescriptive Path'!H21="",0,IF('Prescriptive Path'!I6="No",(Baseline!P25-Proposed!U25)*'Prescriptive Path'!H21*24*VLOOKUP('Prescriptive Path'!$D$4,ClimateZoneLookup!$A$4:$E$65,5,FALSE)/100000/Proposed!$D$109,('Gut Rehab Envelope'!E29-Proposed!U25)*'Prescriptive Path'!H21*24*VLOOKUP('Prescriptive Path'!$D$4,ClimateZoneLookup!$A$4:$E$65,5,FALSE)/100000/Proposed!$D$109))</f>
        <v>0</v>
      </c>
      <c r="F21" s="204">
        <v>0</v>
      </c>
      <c r="G21" s="205">
        <v>25</v>
      </c>
      <c r="H21" s="2195">
        <f>Baseline!Q25*'Prescriptive Path'!H21*VLOOKUP('Prescriptive Path'!$D$4,ClimateZoneLookup!$A$4:$AT$65,46,FALSE)</f>
        <v>0</v>
      </c>
      <c r="I21" s="2195">
        <f>Proposed!V25*'Prescriptive Path'!H21*VLOOKUP('Prescriptive Path'!$D$4,ClimateZoneLookup!$A$4:$AT$65,46,FALSE)</f>
        <v>0</v>
      </c>
      <c r="J21" s="1043">
        <f t="shared" si="5"/>
        <v>0</v>
      </c>
      <c r="K21" s="1282"/>
      <c r="L21" s="317">
        <v>0</v>
      </c>
      <c r="M21" s="317">
        <v>1.8500000000000001E-3</v>
      </c>
      <c r="N21" s="317">
        <v>0</v>
      </c>
      <c r="O21" s="317">
        <v>1.1299999999999999E-3</v>
      </c>
      <c r="P21" s="318">
        <f>IF('Prescriptive Path'!$K$1=4,C21*N21+D21*O21,C21*L21+D21*M21)</f>
        <v>0</v>
      </c>
      <c r="Q21" s="204">
        <v>0</v>
      </c>
      <c r="R21" s="206" t="e">
        <f>1.1*D21*HLOOKUP(G21,AvoidCostTable,'Avoided Costs'!$D$44)</f>
        <v>#REF!</v>
      </c>
      <c r="S21" s="206" t="e">
        <f>C21*HLOOKUP(G21,AvoidCostTable,'Avoided Costs'!$D$44)</f>
        <v>#REF!</v>
      </c>
      <c r="T21" s="206" t="e">
        <f>P21*HLOOKUP(G21,AvoidCostTable,'Avoided Costs'!$D$45)</f>
        <v>#REF!</v>
      </c>
      <c r="U21" s="206" t="e">
        <f>E21/10*HLOOKUP(G21,AvoidCostTable,'Avoided Costs'!$D$46)</f>
        <v>#REF!</v>
      </c>
      <c r="V21" s="206" t="e">
        <f>F21/10*HLOOKUP(G21,AvoidCostTable,'Avoided Costs'!$D$47)</f>
        <v>#REF!</v>
      </c>
      <c r="W21" s="207">
        <f>IF('Avoided Costs'!C65="Upstate",-PV('Avoided Costs'!$D$2,G21,Q21*0.003),-PV('Avoided Costs'!$D$2,G21,Q21*0.007))</f>
        <v>0</v>
      </c>
      <c r="X21" s="206">
        <f t="shared" si="0"/>
        <v>0</v>
      </c>
      <c r="Y21" s="206">
        <f t="shared" si="1"/>
        <v>0</v>
      </c>
      <c r="Z21" s="206">
        <f t="shared" si="6"/>
        <v>0</v>
      </c>
      <c r="AA21" s="207">
        <f>IF('Avoided Costs'!$C$44="Upstate",((C21+D21)*0.1936+(E21+F21)*1.486+Q21*0.003),((C21+D21)*0.1936+(E21+F21)*1.486+Q21*0.007))</f>
        <v>0</v>
      </c>
      <c r="AB21" s="1992">
        <f t="shared" si="7"/>
        <v>0</v>
      </c>
      <c r="AC21" s="206">
        <f t="shared" si="12"/>
        <v>0</v>
      </c>
      <c r="AD21" s="208" t="str">
        <f t="shared" si="13"/>
        <v/>
      </c>
      <c r="AE21" s="209" t="str">
        <f t="shared" si="8"/>
        <v/>
      </c>
      <c r="AF21" s="319" t="s">
        <v>452</v>
      </c>
      <c r="AH21" s="1976" t="str">
        <f t="shared" si="4"/>
        <v/>
      </c>
      <c r="AI21" s="102" t="str">
        <f t="shared" si="9"/>
        <v/>
      </c>
      <c r="AJ21" s="102" t="str">
        <f t="shared" si="10"/>
        <v/>
      </c>
      <c r="AK21" s="102" t="str">
        <f t="shared" si="11"/>
        <v/>
      </c>
      <c r="AL21" s="1981" t="str">
        <f>IF('Prescriptive Path'!$D$7="","",(IF(AH21="Yes",IF('Prescriptive Path'!$D$7="Market-Rate",IF(Savings!AJ21="Electricity","MPPMREINC","MPPMRGINC"),IF(Savings!AJ21="Electricity","MPPLIEINC","MPPLIGINC")),"")))</f>
        <v/>
      </c>
    </row>
    <row r="22" spans="1:49" ht="15.75" thickBot="1">
      <c r="A22" s="212" t="s">
        <v>13</v>
      </c>
      <c r="B22" s="213" t="s">
        <v>8</v>
      </c>
      <c r="C22" s="1842">
        <v>0</v>
      </c>
      <c r="D22" s="214">
        <f>IF('Prescriptive Path'!H22="",0,IF('Prescriptive Path'!I6="No",(Baseline!P28-Proposed!U28)*'Prescriptive Path'!H22*24*VLOOKUP('Prescriptive Path'!$D$4,ClimateZoneLookup!$A$4:$K$65,11,FALSE)/(1000*Proposed!$D$107),('Gut Rehab Envelope'!E30-Proposed!U28)*'Prescriptive Path'!H22*24*VLOOKUP('Prescriptive Path'!$D$4,ClimateZoneLookup!$A$4:$K$65,11,FALSE)/(1000*Proposed!$D$107)))</f>
        <v>0</v>
      </c>
      <c r="E22" s="214">
        <f>IF('Prescriptive Path'!H22="",0,IF('Prescriptive Path'!I6="No",(Baseline!P28-Proposed!U28)*'Prescriptive Path'!H22*24*VLOOKUP('Prescriptive Path'!$D$4,ClimateZoneLookup!$A$4:$E$65,5,FALSE)/100000/Proposed!$D$109,('Gut Rehab Envelope'!E30-Proposed!U28)*'Prescriptive Path'!H22*24*VLOOKUP('Prescriptive Path'!$D$4,ClimateZoneLookup!$A$4:$E$65,5,FALSE)/100000/Proposed!$D$109))</f>
        <v>0</v>
      </c>
      <c r="F22" s="214">
        <v>0</v>
      </c>
      <c r="G22" s="324">
        <v>25</v>
      </c>
      <c r="H22" s="2199">
        <f>Baseline!Q28*'Prescriptive Path'!H22</f>
        <v>0</v>
      </c>
      <c r="I22" s="2199">
        <f>Proposed!V28*'Prescriptive Path'!H22</f>
        <v>0</v>
      </c>
      <c r="J22" s="1047">
        <f t="shared" si="5"/>
        <v>0</v>
      </c>
      <c r="K22" s="1287"/>
      <c r="L22" s="325">
        <v>0</v>
      </c>
      <c r="M22" s="325">
        <v>1.8500000000000001E-3</v>
      </c>
      <c r="N22" s="325">
        <v>0</v>
      </c>
      <c r="O22" s="325">
        <v>1.1299999999999999E-3</v>
      </c>
      <c r="P22" s="326">
        <f>IF('Prescriptive Path'!$K$1=4,C22*N22+D22*O22,C22*L22+D22*M22)</f>
        <v>0</v>
      </c>
      <c r="Q22" s="214">
        <v>0</v>
      </c>
      <c r="R22" s="215" t="e">
        <f>1.1*D22*HLOOKUP(G22,AvoidCostTable,'Avoided Costs'!$D$44)</f>
        <v>#REF!</v>
      </c>
      <c r="S22" s="215" t="e">
        <f>C22*HLOOKUP(G22,AvoidCostTable,'Avoided Costs'!$D$44)</f>
        <v>#REF!</v>
      </c>
      <c r="T22" s="215" t="e">
        <f>P22*HLOOKUP(G22,AvoidCostTable,'Avoided Costs'!$D$45)</f>
        <v>#REF!</v>
      </c>
      <c r="U22" s="215" t="e">
        <f>E22/10*HLOOKUP(G22,AvoidCostTable,'Avoided Costs'!$D$46)</f>
        <v>#REF!</v>
      </c>
      <c r="V22" s="215" t="e">
        <f>F22/10*HLOOKUP(G22,AvoidCostTable,'Avoided Costs'!$D$47)</f>
        <v>#REF!</v>
      </c>
      <c r="W22" s="216">
        <f>IF('Avoided Costs'!C68="Upstate",-PV('Avoided Costs'!$D$2,G22,Q22*0.003),-PV('Avoided Costs'!$D$2,G22,Q22*0.007))</f>
        <v>0</v>
      </c>
      <c r="X22" s="215">
        <f t="shared" si="0"/>
        <v>0</v>
      </c>
      <c r="Y22" s="215">
        <f t="shared" si="1"/>
        <v>0</v>
      </c>
      <c r="Z22" s="215">
        <f t="shared" si="6"/>
        <v>0</v>
      </c>
      <c r="AA22" s="216">
        <f>IF('Avoided Costs'!$C$44="Upstate",((C22+D22)*0.1936+(E22+F22)*1.486+Q22*0.003),((C22+D22)*0.1936+(E22+F22)*1.486+Q22*0.007))</f>
        <v>0</v>
      </c>
      <c r="AB22" s="1994">
        <f t="shared" si="7"/>
        <v>0</v>
      </c>
      <c r="AC22" s="1843">
        <f t="shared" si="12"/>
        <v>0</v>
      </c>
      <c r="AD22" s="1844" t="str">
        <f t="shared" si="13"/>
        <v/>
      </c>
      <c r="AE22" s="217" t="str">
        <f t="shared" si="8"/>
        <v/>
      </c>
      <c r="AF22" s="323" t="s">
        <v>452</v>
      </c>
      <c r="AH22" s="1976" t="str">
        <f t="shared" si="4"/>
        <v/>
      </c>
      <c r="AI22" s="102" t="str">
        <f t="shared" si="9"/>
        <v/>
      </c>
      <c r="AJ22" s="102" t="str">
        <f t="shared" si="10"/>
        <v/>
      </c>
      <c r="AK22" s="102" t="str">
        <f t="shared" si="11"/>
        <v/>
      </c>
      <c r="AL22" s="1981" t="str">
        <f>IF('Prescriptive Path'!$D$7="","",(IF(AH22="Yes",IF('Prescriptive Path'!$D$7="Market-Rate",IF(Savings!AJ22="Electricity","MPPMREINC","MPPMRGINC"),IF(Savings!AJ22="Electricity","MPPLIEINC","MPPLIGINC")),"")))</f>
        <v/>
      </c>
    </row>
    <row r="23" spans="1:49" ht="38.25" customHeight="1">
      <c r="A23" s="2556" t="s">
        <v>915</v>
      </c>
      <c r="B23" s="1840" t="s">
        <v>10</v>
      </c>
      <c r="C23" s="369">
        <v>0</v>
      </c>
      <c r="D23" s="242">
        <f>IF('Prescriptive Path'!I6="No",'Prescriptive Path'!H24/100*VLOOKUP('Prescriptive Path'!$D$4,ClimateZoneLookup!$A$4:$AQ$65,41)*(13/Proposed!$D$108),'Prescriptive Path'!H24/100*'Gut Rehab Envelope'!F22*(13/Proposed!$D$108))</f>
        <v>0</v>
      </c>
      <c r="E23" s="290">
        <f>IF('Prescriptive Path'!I6="No",'Prescriptive Path'!H24/100*VLOOKUP('Prescriptive Path'!$D$4,ClimateZoneLookup!$A$4:$AQ$65,43)*(0.78/Proposed!$D$109),'Prescriptive Path'!H24/100*'Gut Rehab Envelope'!H22*(0.78/Proposed!$D$109))</f>
        <v>0</v>
      </c>
      <c r="F23" s="290">
        <v>0</v>
      </c>
      <c r="G23" s="299">
        <v>25</v>
      </c>
      <c r="H23" s="2197">
        <f>Baseline!Q31*'Prescriptive Path'!H24*VLOOKUP('Prescriptive Path'!$D$4,ClimateZoneLookup!$A$4:$AT$65,46,FALSE)</f>
        <v>0</v>
      </c>
      <c r="I23" s="2197">
        <f>Proposed!V31*'Prescriptive Path'!H24*VLOOKUP('Prescriptive Path'!$D$4,ClimateZoneLookup!$A$4:$AT$65,46,FALSE)</f>
        <v>0</v>
      </c>
      <c r="J23" s="1044">
        <f t="shared" si="5"/>
        <v>0</v>
      </c>
      <c r="K23" s="1283"/>
      <c r="L23" s="507" t="s">
        <v>455</v>
      </c>
      <c r="M23" s="507" t="s">
        <v>455</v>
      </c>
      <c r="N23" s="507" t="s">
        <v>455</v>
      </c>
      <c r="O23" s="507" t="s">
        <v>455</v>
      </c>
      <c r="P23" s="295">
        <f>IF('Prescriptive Path'!I6="No",'Prescriptive Path'!H24/100*VLOOKUP('Prescriptive Path'!$D$4,ClimateZoneLookup!$A$4:$AQ$65,42)*0.8*(11.1/Proposed!$D$107),'Prescriptive Path'!H24/100*'Gut Rehab Envelope'!G22*0.8*(11.1/Proposed!$D$107))</f>
        <v>0</v>
      </c>
      <c r="Q23" s="290">
        <v>0</v>
      </c>
      <c r="R23" s="370" t="e">
        <f>1.1*D23*HLOOKUP(G23,AvoidCostTable,'Avoided Costs'!$D$44)</f>
        <v>#REF!</v>
      </c>
      <c r="S23" s="370" t="e">
        <f>C23*HLOOKUP(G23,AvoidCostTable,'Avoided Costs'!$D$44)</f>
        <v>#REF!</v>
      </c>
      <c r="T23" s="370" t="e">
        <f>P23*HLOOKUP(G23,AvoidCostTable,'Avoided Costs'!$D$45)</f>
        <v>#REF!</v>
      </c>
      <c r="U23" s="370" t="e">
        <f>E23/10*HLOOKUP(G23,AvoidCostTable,'Avoided Costs'!$D$46)</f>
        <v>#REF!</v>
      </c>
      <c r="V23" s="370" t="e">
        <f>F23/10*HLOOKUP(G23,AvoidCostTable,'Avoided Costs'!$D$47)</f>
        <v>#REF!</v>
      </c>
      <c r="W23" s="370">
        <f>IF('Avoided Costs'!C70="Upstate",-PV('Avoided Costs'!$D$2,G23,Q23*0.003),-PV('Avoided Costs'!$D$2,G23,Q23*0.007))</f>
        <v>0</v>
      </c>
      <c r="X23" s="370">
        <f t="shared" si="0"/>
        <v>0</v>
      </c>
      <c r="Y23" s="370">
        <f t="shared" si="1"/>
        <v>0</v>
      </c>
      <c r="Z23" s="370">
        <f t="shared" si="6"/>
        <v>0</v>
      </c>
      <c r="AA23" s="370">
        <f>IF('Avoided Costs'!$C$44="Upstate",((C23+D23)*0.1936+(E23+F23)*1.486+Q23*0.003),((C23+D23)*0.1936+(E23+F23)*1.486+Q23*0.007))</f>
        <v>0</v>
      </c>
      <c r="AB23" s="1995">
        <f t="shared" si="7"/>
        <v>0</v>
      </c>
      <c r="AC23" s="370">
        <f t="shared" si="12"/>
        <v>0</v>
      </c>
      <c r="AD23" s="371" t="str">
        <f t="shared" si="13"/>
        <v/>
      </c>
      <c r="AE23" s="372" t="str">
        <f t="shared" si="8"/>
        <v/>
      </c>
      <c r="AF23" s="140" t="s">
        <v>448</v>
      </c>
      <c r="AH23" s="1976" t="str">
        <f t="shared" si="4"/>
        <v/>
      </c>
      <c r="AI23" s="102" t="str">
        <f t="shared" si="9"/>
        <v/>
      </c>
      <c r="AJ23" s="102" t="str">
        <f t="shared" si="10"/>
        <v/>
      </c>
      <c r="AK23" s="102" t="str">
        <f t="shared" si="11"/>
        <v/>
      </c>
      <c r="AL23" s="1981" t="str">
        <f>IF('Prescriptive Path'!$D$7="","",(IF(AH23="Yes",IF('Prescriptive Path'!$D$7="Market-Rate",IF(Savings!AJ23="Electricity","MPPMREINC","MPPMRGINC"),IF(Savings!AJ23="Electricity","MPPLIEINC","MPPLIGINC")),"")))</f>
        <v/>
      </c>
    </row>
    <row r="24" spans="1:49">
      <c r="A24" s="2556"/>
      <c r="B24" s="21" t="s">
        <v>41</v>
      </c>
      <c r="C24" s="373">
        <v>0</v>
      </c>
      <c r="D24" s="291">
        <f>IF('Prescriptive Path'!I6="No",'Prescriptive Path'!H25/100*VLOOKUP('Prescriptive Path'!$D$4,ClimateZoneLookup!$A$4:$AQ$65,41)*(13/Proposed!$D$108),'Prescriptive Path'!H25/100*'Gut Rehab Envelope'!F23*(13/Proposed!$D$108))</f>
        <v>0</v>
      </c>
      <c r="E24" s="272">
        <f>IF('Prescriptive Path'!I6="No",'Prescriptive Path'!H25/100*VLOOKUP('Prescriptive Path'!$D$4,ClimateZoneLookup!$A$4:$AQ$65,43)*(0.78/Proposed!$D$109),'Prescriptive Path'!H25/100*'Gut Rehab Envelope'!H23*(0.78/Proposed!$D$109))</f>
        <v>0</v>
      </c>
      <c r="F24" s="272">
        <v>0</v>
      </c>
      <c r="G24" s="374">
        <v>25</v>
      </c>
      <c r="H24" s="2200">
        <f>Baseline!Q32*'Prescriptive Path'!H25*VLOOKUP('Prescriptive Path'!$D$4,ClimateZoneLookup!$A$4:$AT$65,46,FALSE)</f>
        <v>0</v>
      </c>
      <c r="I24" s="2200">
        <f>Proposed!V32*'Prescriptive Path'!H25*VLOOKUP('Prescriptive Path'!$D$4,ClimateZoneLookup!$A$4:$AT$65,46,FALSE)</f>
        <v>0</v>
      </c>
      <c r="J24" s="1045">
        <f t="shared" si="5"/>
        <v>0</v>
      </c>
      <c r="K24" s="1284"/>
      <c r="L24" s="508" t="s">
        <v>455</v>
      </c>
      <c r="M24" s="508" t="s">
        <v>455</v>
      </c>
      <c r="N24" s="508" t="s">
        <v>455</v>
      </c>
      <c r="O24" s="508" t="s">
        <v>455</v>
      </c>
      <c r="P24" s="296">
        <f>IF('Prescriptive Path'!I6="No",'Prescriptive Path'!H25/100*VLOOKUP('Prescriptive Path'!$D$4,ClimateZoneLookup!$A$4:$AQ$65,42)*0.8*(11.1/Proposed!$D$107),'Prescriptive Path'!H25/100*'Gut Rehab Envelope'!G23*0.8*(11.1/Proposed!$D$107))</f>
        <v>0</v>
      </c>
      <c r="Q24" s="272">
        <v>0</v>
      </c>
      <c r="R24" s="375" t="e">
        <f>1.1*D24*HLOOKUP(G24,AvoidCostTable,'Avoided Costs'!$D$44)</f>
        <v>#REF!</v>
      </c>
      <c r="S24" s="375" t="e">
        <f>C24*HLOOKUP(G24,AvoidCostTable,'Avoided Costs'!$D$44)</f>
        <v>#REF!</v>
      </c>
      <c r="T24" s="375" t="e">
        <f>P24*HLOOKUP(G24,AvoidCostTable,'Avoided Costs'!$D$45)</f>
        <v>#REF!</v>
      </c>
      <c r="U24" s="375" t="e">
        <f>E24/10*HLOOKUP(G24,AvoidCostTable,'Avoided Costs'!$D$46)</f>
        <v>#REF!</v>
      </c>
      <c r="V24" s="375" t="e">
        <f>F24/10*HLOOKUP(G24,AvoidCostTable,'Avoided Costs'!$D$47)</f>
        <v>#REF!</v>
      </c>
      <c r="W24" s="375">
        <f>IF('Avoided Costs'!C71="Upstate",-PV('Avoided Costs'!$D$2,G24,Q24*0.003),-PV('Avoided Costs'!$D$2,G24,Q24*0.007))</f>
        <v>0</v>
      </c>
      <c r="X24" s="375">
        <f t="shared" si="0"/>
        <v>0</v>
      </c>
      <c r="Y24" s="375">
        <f t="shared" si="1"/>
        <v>0</v>
      </c>
      <c r="Z24" s="375">
        <f t="shared" si="6"/>
        <v>0</v>
      </c>
      <c r="AA24" s="375">
        <f>IF('Avoided Costs'!$C$44="Upstate",((C24+D24)*0.1936+(E24+F24)*1.486+Q24*0.003),((C24+D24)*0.1936+(E24+F24)*1.486+Q24*0.007))</f>
        <v>0</v>
      </c>
      <c r="AB24" s="1996">
        <f t="shared" si="7"/>
        <v>0</v>
      </c>
      <c r="AC24" s="375">
        <f t="shared" si="12"/>
        <v>0</v>
      </c>
      <c r="AD24" s="376" t="str">
        <f t="shared" si="13"/>
        <v/>
      </c>
      <c r="AE24" s="377" t="str">
        <f t="shared" si="8"/>
        <v/>
      </c>
      <c r="AF24" s="261" t="s">
        <v>448</v>
      </c>
      <c r="AH24" s="1976" t="str">
        <f t="shared" si="4"/>
        <v/>
      </c>
      <c r="AI24" s="102" t="str">
        <f t="shared" si="9"/>
        <v/>
      </c>
      <c r="AJ24" s="102" t="str">
        <f t="shared" si="10"/>
        <v/>
      </c>
      <c r="AK24" s="102" t="str">
        <f t="shared" si="11"/>
        <v/>
      </c>
      <c r="AL24" s="1981" t="str">
        <f>IF('Prescriptive Path'!$D$7="","",(IF(AH24="Yes",IF('Prescriptive Path'!$D$7="Market-Rate",IF(Savings!AJ24="Electricity","MPPMREINC","MPPMRGINC"),IF(Savings!AJ24="Electricity","MPPLIEINC","MPPLIGINC")),"")))</f>
        <v/>
      </c>
      <c r="AM24" s="13"/>
      <c r="AN24" s="13"/>
      <c r="AO24" s="13"/>
      <c r="AP24" s="13"/>
      <c r="AQ24" s="13"/>
      <c r="AR24" s="13"/>
      <c r="AS24" s="13"/>
      <c r="AT24" s="13"/>
      <c r="AU24" s="13"/>
      <c r="AV24" s="13"/>
      <c r="AW24" s="13"/>
    </row>
    <row r="25" spans="1:49">
      <c r="A25" s="2556"/>
      <c r="B25" s="21" t="s">
        <v>11</v>
      </c>
      <c r="C25" s="378"/>
      <c r="D25" s="263"/>
      <c r="E25" s="263"/>
      <c r="F25" s="263"/>
      <c r="G25" s="262"/>
      <c r="H25" s="2201"/>
      <c r="I25" s="2201"/>
      <c r="J25" s="1046"/>
      <c r="K25" s="1285"/>
      <c r="L25" s="379"/>
      <c r="M25" s="379"/>
      <c r="N25" s="379"/>
      <c r="O25" s="379"/>
      <c r="P25" s="380"/>
      <c r="Q25" s="263"/>
      <c r="R25" s="381"/>
      <c r="S25" s="381"/>
      <c r="T25" s="381"/>
      <c r="U25" s="381"/>
      <c r="V25" s="381"/>
      <c r="W25" s="381"/>
      <c r="X25" s="381"/>
      <c r="Y25" s="381"/>
      <c r="Z25" s="381"/>
      <c r="AA25" s="381"/>
      <c r="AB25" s="381"/>
      <c r="AC25" s="381"/>
      <c r="AD25" s="382"/>
      <c r="AE25" s="383"/>
      <c r="AF25" s="384"/>
      <c r="AH25" s="1977"/>
      <c r="AI25" s="103"/>
      <c r="AJ25" s="103"/>
      <c r="AK25" s="103"/>
      <c r="AL25" s="1304"/>
    </row>
    <row r="26" spans="1:49" ht="15.75" thickBot="1">
      <c r="A26" s="2557"/>
      <c r="B26" s="22" t="s">
        <v>12</v>
      </c>
      <c r="C26" s="297">
        <v>0</v>
      </c>
      <c r="D26" s="166">
        <f>IF('Prescriptive Path'!I6="No",'Prescriptive Path'!H26/100*VLOOKUP('Prescriptive Path'!$D$4,ClimateZoneLookup!$A$4:$AQ$65,41)*(13/Proposed!$D$108),'Prescriptive Path'!H26/100*'Gut Rehab Envelope'!F24*(13/Proposed!$D$108))</f>
        <v>0</v>
      </c>
      <c r="E26" s="167">
        <f>IF('Prescriptive Path'!I6="No",'Prescriptive Path'!H26/100*VLOOKUP('Prescriptive Path'!$D$4,ClimateZoneLookup!$A$4:$AQ$65,43)*(0.78/Proposed!$D$109),'Prescriptive Path'!H26/100*'Gut Rehab Envelope'!H24*(0.78/Proposed!$D$109))</f>
        <v>0</v>
      </c>
      <c r="F26" s="167">
        <v>0</v>
      </c>
      <c r="G26" s="168">
        <v>25</v>
      </c>
      <c r="H26" s="2202">
        <f>Baseline!Q34*'Prescriptive Path'!H26*VLOOKUP('Prescriptive Path'!$D$4,ClimateZoneLookup!$A$4:$AT$65,46,FALSE)</f>
        <v>0</v>
      </c>
      <c r="I26" s="2202">
        <f>Proposed!V34*'Prescriptive Path'!H26*VLOOKUP('Prescriptive Path'!$D$4,ClimateZoneLookup!$A$4:$AT$65,46,FALSE)</f>
        <v>0</v>
      </c>
      <c r="J26" s="1044">
        <f>I26-H26</f>
        <v>0</v>
      </c>
      <c r="K26" s="1286"/>
      <c r="L26" s="509" t="s">
        <v>455</v>
      </c>
      <c r="M26" s="509" t="s">
        <v>455</v>
      </c>
      <c r="N26" s="509" t="s">
        <v>455</v>
      </c>
      <c r="O26" s="509" t="s">
        <v>455</v>
      </c>
      <c r="P26" s="295">
        <f>IF('Prescriptive Path'!I6="No",'Prescriptive Path'!H26/100*VLOOKUP('Prescriptive Path'!$D$4,ClimateZoneLookup!$A$4:$AQ$65,42)*0.8*(11.1/Proposed!$D$107),'Prescriptive Path'!H26/100*'Gut Rehab Envelope'!G24*0.8*(11.1/Proposed!$D$107))</f>
        <v>0</v>
      </c>
      <c r="Q26" s="167">
        <v>0</v>
      </c>
      <c r="R26" s="170" t="e">
        <f>1.1*D26*HLOOKUP(G26,AvoidCostTable,'Avoided Costs'!$D$44)</f>
        <v>#REF!</v>
      </c>
      <c r="S26" s="170" t="e">
        <f>C26*HLOOKUP(G26,AvoidCostTable,'Avoided Costs'!$D$44)</f>
        <v>#REF!</v>
      </c>
      <c r="T26" s="170" t="e">
        <f>P26*HLOOKUP(G26,AvoidCostTable,'Avoided Costs'!$D$45)</f>
        <v>#REF!</v>
      </c>
      <c r="U26" s="170" t="e">
        <f>E26/10*HLOOKUP(G26,AvoidCostTable,'Avoided Costs'!$D$46)</f>
        <v>#REF!</v>
      </c>
      <c r="V26" s="170" t="e">
        <f>F26/10*HLOOKUP(G26,AvoidCostTable,'Avoided Costs'!$D$47)</f>
        <v>#REF!</v>
      </c>
      <c r="W26" s="170">
        <f>IF('Avoided Costs'!C73="Upstate",-PV('Avoided Costs'!$D$2,G26,Q26*0.003),-PV('Avoided Costs'!$D$2,G26,Q26*0.007))</f>
        <v>0</v>
      </c>
      <c r="X26" s="170">
        <f t="shared" si="0"/>
        <v>0</v>
      </c>
      <c r="Y26" s="170">
        <f t="shared" si="1"/>
        <v>0</v>
      </c>
      <c r="Z26" s="170">
        <f t="shared" si="6"/>
        <v>0</v>
      </c>
      <c r="AA26" s="170">
        <f>IF('Avoided Costs'!$C$44="Upstate",((C26+D26)*0.1936+(E26+F26)*1.486+Q26*0.003),((C26+D26)*0.1936+(E26+F26)*1.486+Q26*0.007))</f>
        <v>0</v>
      </c>
      <c r="AB26" s="1996">
        <f t="shared" si="7"/>
        <v>0</v>
      </c>
      <c r="AC26" s="170">
        <f t="shared" ref="AC26:AC33" si="14">IF(AA26=0,0,G26*AA26)</f>
        <v>0</v>
      </c>
      <c r="AD26" s="171" t="str">
        <f t="shared" ref="AD26:AD33" si="15">IF(AA26=0,"",IF(AA26&gt;0,-PV(3%,G26,AA26)/J26,0))</f>
        <v/>
      </c>
      <c r="AE26" s="172" t="str">
        <f t="shared" si="8"/>
        <v/>
      </c>
      <c r="AF26" s="140" t="s">
        <v>448</v>
      </c>
      <c r="AH26" s="1976" t="str">
        <f t="shared" ref="AH26:AH46" si="16">IF(AE26="","",IF(J26&lt;0,"No",IF(OR(AE26&lt;0,AE26&gt;0.949),"Yes","No")))</f>
        <v/>
      </c>
      <c r="AI26" s="102" t="str">
        <f t="shared" si="9"/>
        <v/>
      </c>
      <c r="AJ26" s="102" t="str">
        <f t="shared" si="10"/>
        <v/>
      </c>
      <c r="AK26" s="102" t="str">
        <f t="shared" si="11"/>
        <v/>
      </c>
      <c r="AL26" s="1981" t="str">
        <f>IF('Prescriptive Path'!$D$7="","",(IF(AH26="Yes",IF('Prescriptive Path'!$D$7="Market-Rate",IF(Savings!AJ26="Electricity","MPPMREINC","MPPMRGINC"),IF(Savings!AJ26="Electricity","MPPLIEINC","MPPLIGINC")),"")))</f>
        <v/>
      </c>
    </row>
    <row r="27" spans="1:49" ht="25.5" customHeight="1">
      <c r="A27" s="2553" t="s">
        <v>69</v>
      </c>
      <c r="B27" s="138" t="s">
        <v>2519</v>
      </c>
      <c r="C27" s="2142">
        <v>0</v>
      </c>
      <c r="D27" s="87">
        <f>'Prescriptive Path'!H43*'Prescriptive Path'!H44*((12/(Baseline!E37))-(12/(Proposed!E37)))*VLOOKUP('Prescriptive Path'!$D$4,ClimateZoneLookup!$A$4:$AS$65,8,FALSE)</f>
        <v>0</v>
      </c>
      <c r="E27" s="2143">
        <v>0</v>
      </c>
      <c r="F27" s="2143">
        <v>0</v>
      </c>
      <c r="G27" s="2143">
        <v>15</v>
      </c>
      <c r="H27" s="2204">
        <f>Baseline!Q37*'Prescriptive Path'!H43*'Prescriptive Path'!H44</f>
        <v>0</v>
      </c>
      <c r="I27" s="2204">
        <f>Proposed!V37*'Prescriptive Path'!H43*'Prescriptive Path'!H44</f>
        <v>0</v>
      </c>
      <c r="J27" s="2144">
        <f t="shared" ref="J27:J46" si="17">I27-H27</f>
        <v>0</v>
      </c>
      <c r="K27" s="2145"/>
      <c r="L27" s="2146" t="s">
        <v>455</v>
      </c>
      <c r="M27" s="2146" t="s">
        <v>455</v>
      </c>
      <c r="N27" s="2146" t="s">
        <v>455</v>
      </c>
      <c r="O27" s="2146" t="s">
        <v>455</v>
      </c>
      <c r="P27" s="292">
        <f>'Prescriptive Path'!H43*'Prescriptive Path'!H44*(12/Baseline!E37-12/Proposed!E37)*0.8</f>
        <v>0</v>
      </c>
      <c r="Q27" s="2147">
        <v>0</v>
      </c>
      <c r="R27" s="2148" t="e">
        <f>1.1*D27*HLOOKUP(G27,AvoidCostTable,'Avoided Costs'!$D$44)</f>
        <v>#REF!</v>
      </c>
      <c r="S27" s="2148" t="e">
        <f>C27*HLOOKUP(G27,AvoidCostTable,'Avoided Costs'!$D$44)</f>
        <v>#REF!</v>
      </c>
      <c r="T27" s="2148" t="e">
        <f>P27*HLOOKUP(G27,AvoidCostTable,'Avoided Costs'!$D$45)</f>
        <v>#REF!</v>
      </c>
      <c r="U27" s="2148" t="e">
        <f>E27/10*HLOOKUP(G27,AvoidCostTable,'Avoided Costs'!$D$46)</f>
        <v>#REF!</v>
      </c>
      <c r="V27" s="2148" t="e">
        <f>F27/10*HLOOKUP(G27,AvoidCostTable,'Avoided Costs'!$D$47)</f>
        <v>#REF!</v>
      </c>
      <c r="W27" s="149">
        <f>IF('Avoided Costs'!C75="Upstate",-PV('Avoided Costs'!$D$2,G27,Q27*0.003),-PV('Avoided Costs'!$D$2,G27,Q27*0.007))</f>
        <v>0</v>
      </c>
      <c r="X27" s="2148">
        <f t="shared" si="0"/>
        <v>0</v>
      </c>
      <c r="Y27" s="2148">
        <f t="shared" si="1"/>
        <v>0</v>
      </c>
      <c r="Z27" s="2148">
        <f t="shared" si="6"/>
        <v>0</v>
      </c>
      <c r="AA27" s="149">
        <f>IF('Avoided Costs'!$C$44="Upstate",((C27+D27)*0.1936+(E27+F27)*1.486+Q27*0.003),((C27+D27)*0.1936+(E27+F27)*1.486+Q27*0.007))</f>
        <v>0</v>
      </c>
      <c r="AB27" s="1997">
        <f t="shared" si="7"/>
        <v>0</v>
      </c>
      <c r="AC27" s="2148">
        <f t="shared" si="14"/>
        <v>0</v>
      </c>
      <c r="AD27" s="2149" t="str">
        <f t="shared" si="15"/>
        <v/>
      </c>
      <c r="AE27" s="2150" t="str">
        <f t="shared" si="8"/>
        <v/>
      </c>
      <c r="AF27" s="2151" t="s">
        <v>448</v>
      </c>
      <c r="AH27" s="1976" t="str">
        <f t="shared" si="16"/>
        <v/>
      </c>
      <c r="AI27" s="102" t="str">
        <f t="shared" si="9"/>
        <v/>
      </c>
      <c r="AJ27" s="102" t="str">
        <f t="shared" si="10"/>
        <v/>
      </c>
      <c r="AK27" s="102" t="str">
        <f t="shared" si="11"/>
        <v/>
      </c>
      <c r="AL27" s="1981" t="str">
        <f>IF('Prescriptive Path'!$D$7="","",(IF(AH27="Yes",IF('Prescriptive Path'!$D$7="Market-Rate",IF(Savings!AJ27="Electricity","MPPMREINC","MPPMRGINC"),IF(Savings!AJ27="Electricity","MPPLIEINC","MPPLIGINC")),"")))</f>
        <v/>
      </c>
    </row>
    <row r="28" spans="1:49">
      <c r="A28" s="2553"/>
      <c r="B28" s="2141" t="s">
        <v>2520</v>
      </c>
      <c r="C28" s="88">
        <v>0</v>
      </c>
      <c r="D28" s="2152">
        <f>'Prescriptive Path'!H45*'Prescriptive Path'!H46*((12/(Baseline!E38))-(12/(Proposed!E38)))*VLOOKUP('Prescriptive Path'!$D$4,ClimateZoneLookup!$A$4:$AS$65,8,FALSE)</f>
        <v>0</v>
      </c>
      <c r="E28" s="2153">
        <v>0</v>
      </c>
      <c r="F28" s="2153">
        <v>0</v>
      </c>
      <c r="G28" s="2153">
        <v>15</v>
      </c>
      <c r="H28" s="2203">
        <f>Baseline!Q38*'Prescriptive Path'!H45*'Prescriptive Path'!H46</f>
        <v>0</v>
      </c>
      <c r="I28" s="2203">
        <f>Proposed!V38*'Prescriptive Path'!H45*'Prescriptive Path'!H46</f>
        <v>0</v>
      </c>
      <c r="J28" s="2154">
        <f t="shared" si="17"/>
        <v>0</v>
      </c>
      <c r="K28" s="2155"/>
      <c r="L28" s="2156" t="s">
        <v>455</v>
      </c>
      <c r="M28" s="2156" t="s">
        <v>455</v>
      </c>
      <c r="N28" s="2156" t="s">
        <v>455</v>
      </c>
      <c r="O28" s="2156" t="s">
        <v>455</v>
      </c>
      <c r="P28" s="2157">
        <f>'Prescriptive Path'!H45*'Prescriptive Path'!H46*(12/Baseline!E38-12/Proposed!E38)*0.8</f>
        <v>0</v>
      </c>
      <c r="Q28" s="2158">
        <v>0</v>
      </c>
      <c r="R28" s="2159" t="e">
        <f>1.1*D28*HLOOKUP(G28,AvoidCostTable,'Avoided Costs'!$D$44)</f>
        <v>#REF!</v>
      </c>
      <c r="S28" s="2159" t="e">
        <f>C28*HLOOKUP(G28,AvoidCostTable,'Avoided Costs'!$D$44)</f>
        <v>#REF!</v>
      </c>
      <c r="T28" s="2159" t="e">
        <f>P28*HLOOKUP(G28,AvoidCostTable,'Avoided Costs'!$D$45)</f>
        <v>#REF!</v>
      </c>
      <c r="U28" s="2159" t="e">
        <f>E28/10*HLOOKUP(G28,AvoidCostTable,'Avoided Costs'!$D$46)</f>
        <v>#REF!</v>
      </c>
      <c r="V28" s="2159" t="e">
        <f>F28/10*HLOOKUP(G28,AvoidCostTable,'Avoided Costs'!$D$47)</f>
        <v>#REF!</v>
      </c>
      <c r="W28" s="2160">
        <f>IF('Avoided Costs'!C76="Upstate",-PV('Avoided Costs'!$D$2,G28,Q28*0.003),-PV('Avoided Costs'!$D$2,G28,Q28*0.007))</f>
        <v>0</v>
      </c>
      <c r="X28" s="2159">
        <f t="shared" ref="X28" si="18">(D28+C28)*HLOOKUP(G28,AvoidCostTable,12,FALSE)</f>
        <v>0</v>
      </c>
      <c r="Y28" s="2159">
        <f t="shared" ref="Y28" si="19">(F28+E28)/10*HLOOKUP(G28,AvoidCostTable,13)</f>
        <v>0</v>
      </c>
      <c r="Z28" s="2159">
        <f t="shared" ref="Z28" si="20">IF(J28=0,0,SUM(R28:Y28)-W28)</f>
        <v>0</v>
      </c>
      <c r="AA28" s="2160">
        <f>IF('Avoided Costs'!$C$44="Upstate",((C28+D28)*0.1936+(E28+F28)*1.486+Q28*0.003),((C28+D28)*0.1936+(E28+F28)*1.486+Q28*0.007))</f>
        <v>0</v>
      </c>
      <c r="AB28" s="2161">
        <f t="shared" ref="AB28" si="21">(F28+E28)/10+(C28+D28)*3412/1000000</f>
        <v>0</v>
      </c>
      <c r="AC28" s="2159">
        <f t="shared" ref="AC28" si="22">IF(AA28=0,0,G28*AA28)</f>
        <v>0</v>
      </c>
      <c r="AD28" s="2162" t="str">
        <f t="shared" ref="AD28" si="23">IF(AA28=0,"",IF(AA28&gt;0,-PV(3%,G28,AA28)/J28,0))</f>
        <v/>
      </c>
      <c r="AE28" s="150" t="str">
        <f t="shared" ref="AE28" si="24">IF(J28=0,"",Z28/(J28-W28))</f>
        <v/>
      </c>
      <c r="AF28" s="269" t="s">
        <v>448</v>
      </c>
      <c r="AH28" s="1976" t="str">
        <f t="shared" ref="AH28" si="25">IF(AE28="","",IF(J28&lt;0,"No",IF(OR(AE28&lt;0,AE28&gt;0.949),"Yes","No")))</f>
        <v/>
      </c>
      <c r="AI28" s="102" t="str">
        <f t="shared" ref="AI28" si="26">IF(AE28=0,0,IF(AND(AH28="Yes",OR(AE28&lt;0,AE28&gt;0.949),Z28&gt;0)=TRUE,Z28,""))</f>
        <v/>
      </c>
      <c r="AJ28" s="102" t="str">
        <f t="shared" ref="AJ28" si="27">IF(AE28="","",IF((C28+D28)*3412/1000000&gt;(E28+F28),"Electricity","Firm Gas"))</f>
        <v/>
      </c>
      <c r="AK28" s="102" t="str">
        <f t="shared" ref="AK28" si="28">IF(AE28=0,0,IF(AND(AH28="Yes",OR(AE28&lt;0,AE28&gt;0.949),Z28&gt;0)=TRUE,J28,""))</f>
        <v/>
      </c>
      <c r="AL28" s="1981" t="str">
        <f>IF('Prescriptive Path'!$D$7="","",(IF(AH28="Yes",IF('Prescriptive Path'!$D$7="Market-Rate",IF(Savings!AJ28="Electricity","MPPMREINC","MPPMRGINC"),IF(Savings!AJ28="Electricity","MPPLIEINC","MPPLIGINC")),"")))</f>
        <v/>
      </c>
    </row>
    <row r="29" spans="1:49">
      <c r="A29" s="2553"/>
      <c r="B29" s="44" t="s">
        <v>322</v>
      </c>
      <c r="C29" s="88">
        <v>0</v>
      </c>
      <c r="D29" s="89">
        <f>'Prescriptive Path'!H47*((12/(Baseline!E39))-(12/(Proposed!E39)))*VLOOKUP('Prescriptive Path'!$D$4,ClimateZoneLookup!$A$4:$AS$65,8,FALSE)</f>
        <v>0</v>
      </c>
      <c r="E29" s="90">
        <v>0</v>
      </c>
      <c r="F29" s="91">
        <v>0</v>
      </c>
      <c r="G29" s="91">
        <v>15</v>
      </c>
      <c r="H29" s="2224">
        <f>Baseline!Q39*'Prescriptive Path'!H47</f>
        <v>0</v>
      </c>
      <c r="I29" s="2224">
        <f>Proposed!V39*'Prescriptive Path'!H47</f>
        <v>0</v>
      </c>
      <c r="J29" s="1049">
        <f t="shared" si="17"/>
        <v>0</v>
      </c>
      <c r="K29" s="1289"/>
      <c r="L29" s="505" t="s">
        <v>455</v>
      </c>
      <c r="M29" s="505" t="s">
        <v>455</v>
      </c>
      <c r="N29" s="505" t="s">
        <v>455</v>
      </c>
      <c r="O29" s="505" t="s">
        <v>455</v>
      </c>
      <c r="P29" s="80">
        <f>'Prescriptive Path'!H47*(12/Baseline!E39-12/Proposed!E39)*0.8</f>
        <v>0</v>
      </c>
      <c r="Q29" s="89">
        <v>0</v>
      </c>
      <c r="R29" s="93" t="e">
        <f>1.1*D29*HLOOKUP(G29,AvoidCostTable,'Avoided Costs'!$D$44)</f>
        <v>#REF!</v>
      </c>
      <c r="S29" s="93" t="e">
        <f>C29*HLOOKUP(G29,AvoidCostTable,'Avoided Costs'!$D$44)</f>
        <v>#REF!</v>
      </c>
      <c r="T29" s="93" t="e">
        <f>P29*HLOOKUP(G29,AvoidCostTable,'Avoided Costs'!$D$45)</f>
        <v>#REF!</v>
      </c>
      <c r="U29" s="93" t="e">
        <f>E29/10*HLOOKUP(G29,AvoidCostTable,'Avoided Costs'!$D$46)</f>
        <v>#REF!</v>
      </c>
      <c r="V29" s="93" t="e">
        <f>F29/10*HLOOKUP(G29,AvoidCostTable,'Avoided Costs'!$D$47)</f>
        <v>#REF!</v>
      </c>
      <c r="W29" s="132">
        <f>IF('Avoided Costs'!C76="Upstate",-PV('Avoided Costs'!$D$2,G29,Q29*0.003),-PV('Avoided Costs'!$D$2,G29,Q29*0.007))</f>
        <v>0</v>
      </c>
      <c r="X29" s="93">
        <f t="shared" ref="X29:X46" si="29">(D29+C29)*HLOOKUP(G29,AvoidCostTable,12,FALSE)</f>
        <v>0</v>
      </c>
      <c r="Y29" s="93">
        <f t="shared" ref="Y29:Y46" si="30">(F29+E29)/10*HLOOKUP(G29,AvoidCostTable,13)</f>
        <v>0</v>
      </c>
      <c r="Z29" s="93">
        <f t="shared" si="6"/>
        <v>0</v>
      </c>
      <c r="AA29" s="132">
        <f>IF('Avoided Costs'!$C$44="Upstate",((C29+D29)*0.1936+(E29+F29)*1.486+Q29*0.003),((C29+D29)*0.1936+(E29+F29)*1.486+Q29*0.007))</f>
        <v>0</v>
      </c>
      <c r="AB29" s="1985">
        <f t="shared" si="7"/>
        <v>0</v>
      </c>
      <c r="AC29" s="93">
        <f t="shared" si="14"/>
        <v>0</v>
      </c>
      <c r="AD29" s="94" t="str">
        <f t="shared" si="15"/>
        <v/>
      </c>
      <c r="AE29" s="150" t="str">
        <f t="shared" si="8"/>
        <v/>
      </c>
      <c r="AF29" s="269" t="s">
        <v>448</v>
      </c>
      <c r="AH29" s="1976" t="str">
        <f t="shared" si="16"/>
        <v/>
      </c>
      <c r="AI29" s="102" t="str">
        <f t="shared" si="9"/>
        <v/>
      </c>
      <c r="AJ29" s="102" t="str">
        <f t="shared" si="10"/>
        <v/>
      </c>
      <c r="AK29" s="102" t="str">
        <f t="shared" si="11"/>
        <v/>
      </c>
      <c r="AL29" s="1981" t="str">
        <f>IF('Prescriptive Path'!$D$7="","",(IF(AH29="Yes",IF('Prescriptive Path'!$D$7="Market-Rate",IF(Savings!AJ29="Electricity","MPPMREINC","MPPMRGINC"),IF(Savings!AJ29="Electricity","MPPLIEINC","MPPLIGINC")),"")))</f>
        <v/>
      </c>
    </row>
    <row r="30" spans="1:49" ht="30" customHeight="1">
      <c r="A30" s="2553"/>
      <c r="B30" s="42" t="s">
        <v>323</v>
      </c>
      <c r="C30" s="88">
        <v>0</v>
      </c>
      <c r="D30" s="89">
        <f>'Prescriptive Path'!H48*((12/(Baseline!E40))-(12/(Proposed!E40)))*VLOOKUP('Prescriptive Path'!$D$4,ClimateZoneLookup!$A$4:$AS$65,8,FALSE)</f>
        <v>0</v>
      </c>
      <c r="E30" s="90">
        <v>0</v>
      </c>
      <c r="F30" s="91">
        <v>0</v>
      </c>
      <c r="G30" s="91">
        <v>15</v>
      </c>
      <c r="H30" s="2224">
        <f>Baseline!Q40*'Prescriptive Path'!H48</f>
        <v>0</v>
      </c>
      <c r="I30" s="2224">
        <f>Proposed!V40*'Prescriptive Path'!H48</f>
        <v>0</v>
      </c>
      <c r="J30" s="1049">
        <f t="shared" si="17"/>
        <v>0</v>
      </c>
      <c r="K30" s="1289"/>
      <c r="L30" s="505" t="s">
        <v>455</v>
      </c>
      <c r="M30" s="505" t="s">
        <v>455</v>
      </c>
      <c r="N30" s="505" t="s">
        <v>455</v>
      </c>
      <c r="O30" s="505" t="s">
        <v>455</v>
      </c>
      <c r="P30" s="80">
        <f>'Prescriptive Path'!H48*(12/Baseline!E40-12/Proposed!E40)*0.8</f>
        <v>0</v>
      </c>
      <c r="Q30" s="89">
        <v>0</v>
      </c>
      <c r="R30" s="93" t="e">
        <f>1.1*D30*HLOOKUP(G30,AvoidCostTable,'Avoided Costs'!$D$44)</f>
        <v>#REF!</v>
      </c>
      <c r="S30" s="93" t="e">
        <f>C30*HLOOKUP(G30,AvoidCostTable,'Avoided Costs'!$D$44)</f>
        <v>#REF!</v>
      </c>
      <c r="T30" s="93" t="e">
        <f>P30*HLOOKUP(G30,AvoidCostTable,'Avoided Costs'!$D$45)</f>
        <v>#REF!</v>
      </c>
      <c r="U30" s="93" t="e">
        <f>E30/10*HLOOKUP(G30,AvoidCostTable,'Avoided Costs'!$D$46)</f>
        <v>#REF!</v>
      </c>
      <c r="V30" s="93" t="e">
        <f>F30/10*HLOOKUP(G30,AvoidCostTable,'Avoided Costs'!$D$47)</f>
        <v>#REF!</v>
      </c>
      <c r="W30" s="132">
        <f>IF('Avoided Costs'!C77="Upstate",-PV('Avoided Costs'!$D$2,G30,Q30*0.003),-PV('Avoided Costs'!$D$2,G30,Q30*0.007))</f>
        <v>0</v>
      </c>
      <c r="X30" s="93">
        <f t="shared" si="29"/>
        <v>0</v>
      </c>
      <c r="Y30" s="93">
        <f t="shared" si="30"/>
        <v>0</v>
      </c>
      <c r="Z30" s="93">
        <f t="shared" si="6"/>
        <v>0</v>
      </c>
      <c r="AA30" s="132">
        <f>IF('Avoided Costs'!$C$44="Upstate",((C30+D30)*0.1936+(E30+F30)*1.486+Q30*0.003),((C30+D30)*0.1936+(E30+F30)*1.486+Q30*0.007))</f>
        <v>0</v>
      </c>
      <c r="AB30" s="1985">
        <f t="shared" si="7"/>
        <v>0</v>
      </c>
      <c r="AC30" s="93">
        <f t="shared" si="14"/>
        <v>0</v>
      </c>
      <c r="AD30" s="94" t="str">
        <f t="shared" si="15"/>
        <v/>
      </c>
      <c r="AE30" s="150" t="str">
        <f t="shared" si="8"/>
        <v/>
      </c>
      <c r="AF30" s="269" t="s">
        <v>448</v>
      </c>
      <c r="AH30" s="1976" t="str">
        <f t="shared" si="16"/>
        <v/>
      </c>
      <c r="AI30" s="102" t="str">
        <f t="shared" si="9"/>
        <v/>
      </c>
      <c r="AJ30" s="102" t="str">
        <f t="shared" si="10"/>
        <v/>
      </c>
      <c r="AK30" s="102" t="str">
        <f t="shared" si="11"/>
        <v/>
      </c>
      <c r="AL30" s="1981" t="str">
        <f>IF('Prescriptive Path'!$D$7="","",(IF(AH30="Yes",IF('Prescriptive Path'!$D$7="Market-Rate",IF(Savings!AJ30="Electricity","MPPMREINC","MPPMRGINC"),IF(Savings!AJ30="Electricity","MPPLIEINC","MPPLIGINC")),"")))</f>
        <v/>
      </c>
    </row>
    <row r="31" spans="1:49" ht="25.5">
      <c r="A31" s="2553"/>
      <c r="B31" s="23" t="s">
        <v>324</v>
      </c>
      <c r="C31" s="88">
        <v>0</v>
      </c>
      <c r="D31" s="89">
        <f>'Prescriptive Path'!H49*((12/(Baseline!E41))-(12/(Proposed!E41)))*VLOOKUP('Prescriptive Path'!$D$4,ClimateZoneLookup!$A$4:$AS$65,8,FALSE)</f>
        <v>0</v>
      </c>
      <c r="E31" s="90">
        <v>0</v>
      </c>
      <c r="F31" s="91">
        <v>0</v>
      </c>
      <c r="G31" s="91">
        <v>15</v>
      </c>
      <c r="H31" s="2224">
        <f>Baseline!Q41*'Prescriptive Path'!H49</f>
        <v>0</v>
      </c>
      <c r="I31" s="2224">
        <f>Proposed!V41*'Prescriptive Path'!H49</f>
        <v>0</v>
      </c>
      <c r="J31" s="1049">
        <f t="shared" si="17"/>
        <v>0</v>
      </c>
      <c r="K31" s="1289"/>
      <c r="L31" s="505" t="s">
        <v>455</v>
      </c>
      <c r="M31" s="505" t="s">
        <v>455</v>
      </c>
      <c r="N31" s="505" t="s">
        <v>455</v>
      </c>
      <c r="O31" s="505" t="s">
        <v>455</v>
      </c>
      <c r="P31" s="80">
        <f>'Prescriptive Path'!H49*(12/Baseline!E41-12/Proposed!E41)*0.8</f>
        <v>0</v>
      </c>
      <c r="Q31" s="89">
        <v>0</v>
      </c>
      <c r="R31" s="93" t="e">
        <f>1.1*D31*HLOOKUP(G31,AvoidCostTable,'Avoided Costs'!$D$44)</f>
        <v>#REF!</v>
      </c>
      <c r="S31" s="93" t="e">
        <f>C31*HLOOKUP(G31,AvoidCostTable,'Avoided Costs'!$D$44)</f>
        <v>#REF!</v>
      </c>
      <c r="T31" s="93" t="e">
        <f>P31*HLOOKUP(G31,AvoidCostTable,'Avoided Costs'!$D$45)</f>
        <v>#REF!</v>
      </c>
      <c r="U31" s="93" t="e">
        <f>E31/10*HLOOKUP(G31,AvoidCostTable,'Avoided Costs'!$D$46)</f>
        <v>#REF!</v>
      </c>
      <c r="V31" s="93" t="e">
        <f>F31/10*HLOOKUP(G31,AvoidCostTable,'Avoided Costs'!$D$47)</f>
        <v>#REF!</v>
      </c>
      <c r="W31" s="132">
        <f>IF('Avoided Costs'!C78="Upstate",-PV('Avoided Costs'!$D$2,G31,Q31*0.003),-PV('Avoided Costs'!$D$2,G31,Q31*0.007))</f>
        <v>0</v>
      </c>
      <c r="X31" s="93">
        <f t="shared" si="29"/>
        <v>0</v>
      </c>
      <c r="Y31" s="93">
        <f t="shared" si="30"/>
        <v>0</v>
      </c>
      <c r="Z31" s="93">
        <f t="shared" si="6"/>
        <v>0</v>
      </c>
      <c r="AA31" s="132">
        <f>IF('Avoided Costs'!$C$44="Upstate",((C31+D31)*0.1936+(E31+F31)*1.486+Q31*0.003),((C31+D31)*0.1936+(E31+F31)*1.486+Q31*0.007))</f>
        <v>0</v>
      </c>
      <c r="AB31" s="1985">
        <f t="shared" si="7"/>
        <v>0</v>
      </c>
      <c r="AC31" s="93">
        <f t="shared" si="14"/>
        <v>0</v>
      </c>
      <c r="AD31" s="94" t="str">
        <f t="shared" si="15"/>
        <v/>
      </c>
      <c r="AE31" s="150" t="str">
        <f t="shared" si="8"/>
        <v/>
      </c>
      <c r="AF31" s="269" t="s">
        <v>448</v>
      </c>
      <c r="AH31" s="1976" t="str">
        <f t="shared" si="16"/>
        <v/>
      </c>
      <c r="AI31" s="102" t="str">
        <f t="shared" si="9"/>
        <v/>
      </c>
      <c r="AJ31" s="102" t="str">
        <f t="shared" si="10"/>
        <v/>
      </c>
      <c r="AK31" s="102" t="str">
        <f t="shared" si="11"/>
        <v/>
      </c>
      <c r="AL31" s="1981" t="str">
        <f>IF('Prescriptive Path'!$D$7="","",(IF(AH31="Yes",IF('Prescriptive Path'!$D$7="Market-Rate",IF(Savings!AJ31="Electricity","MPPMREINC","MPPMRGINC"),IF(Savings!AJ31="Electricity","MPPLIEINC","MPPLIGINC")),"")))</f>
        <v/>
      </c>
    </row>
    <row r="32" spans="1:49" ht="25.5">
      <c r="A32" s="2553"/>
      <c r="B32" s="23" t="s">
        <v>325</v>
      </c>
      <c r="C32" s="88">
        <v>0</v>
      </c>
      <c r="D32" s="89">
        <f>'Prescriptive Path'!H50*((12/(Baseline!E42))-(12/(Proposed!E42)))*VLOOKUP('Prescriptive Path'!$D$4,ClimateZoneLookup!$A$4:$AS$65,8,FALSE)</f>
        <v>0</v>
      </c>
      <c r="E32" s="90">
        <v>0</v>
      </c>
      <c r="F32" s="91">
        <v>0</v>
      </c>
      <c r="G32" s="91">
        <v>15</v>
      </c>
      <c r="H32" s="2224">
        <f>Baseline!Q42*'Prescriptive Path'!H50</f>
        <v>0</v>
      </c>
      <c r="I32" s="2224">
        <f>Proposed!V42*'Prescriptive Path'!H50</f>
        <v>0</v>
      </c>
      <c r="J32" s="1049">
        <f t="shared" si="17"/>
        <v>0</v>
      </c>
      <c r="K32" s="1289"/>
      <c r="L32" s="505" t="s">
        <v>455</v>
      </c>
      <c r="M32" s="505" t="s">
        <v>455</v>
      </c>
      <c r="N32" s="505" t="s">
        <v>455</v>
      </c>
      <c r="O32" s="505" t="s">
        <v>455</v>
      </c>
      <c r="P32" s="80">
        <f>'Prescriptive Path'!H50*(12/Baseline!E42-12/Proposed!E42)*0.8</f>
        <v>0</v>
      </c>
      <c r="Q32" s="89">
        <v>0</v>
      </c>
      <c r="R32" s="93" t="e">
        <f>1.1*D32*HLOOKUP(G32,AvoidCostTable,'Avoided Costs'!$D$44)</f>
        <v>#REF!</v>
      </c>
      <c r="S32" s="93" t="e">
        <f>C32*HLOOKUP(G32,AvoidCostTable,'Avoided Costs'!$D$44)</f>
        <v>#REF!</v>
      </c>
      <c r="T32" s="93" t="e">
        <f>P32*HLOOKUP(G32,AvoidCostTable,'Avoided Costs'!$D$45)</f>
        <v>#REF!</v>
      </c>
      <c r="U32" s="93" t="e">
        <f>E32/10*HLOOKUP(G32,AvoidCostTable,'Avoided Costs'!$D$46)</f>
        <v>#REF!</v>
      </c>
      <c r="V32" s="93" t="e">
        <f>F32/10*HLOOKUP(G32,AvoidCostTable,'Avoided Costs'!$D$47)</f>
        <v>#REF!</v>
      </c>
      <c r="W32" s="132">
        <f>IF('Avoided Costs'!C79="Upstate",-PV('Avoided Costs'!$D$2,G32,Q32*0.003),-PV('Avoided Costs'!$D$2,G32,Q32*0.007))</f>
        <v>0</v>
      </c>
      <c r="X32" s="93">
        <f t="shared" si="29"/>
        <v>0</v>
      </c>
      <c r="Y32" s="93">
        <f t="shared" si="30"/>
        <v>0</v>
      </c>
      <c r="Z32" s="93">
        <f t="shared" si="6"/>
        <v>0</v>
      </c>
      <c r="AA32" s="132">
        <f>IF('Avoided Costs'!$C$44="Upstate",((C32+D32)*0.1936+(E32+F32)*1.486+Q32*0.003),((C32+D32)*0.1936+(E32+F32)*1.486+Q32*0.007))</f>
        <v>0</v>
      </c>
      <c r="AB32" s="1985">
        <f t="shared" si="7"/>
        <v>0</v>
      </c>
      <c r="AC32" s="93">
        <f t="shared" si="14"/>
        <v>0</v>
      </c>
      <c r="AD32" s="94" t="str">
        <f t="shared" si="15"/>
        <v/>
      </c>
      <c r="AE32" s="150" t="str">
        <f t="shared" si="8"/>
        <v/>
      </c>
      <c r="AF32" s="269" t="s">
        <v>448</v>
      </c>
      <c r="AH32" s="1976" t="str">
        <f t="shared" si="16"/>
        <v/>
      </c>
      <c r="AI32" s="102" t="str">
        <f t="shared" si="9"/>
        <v/>
      </c>
      <c r="AJ32" s="102" t="str">
        <f t="shared" si="10"/>
        <v/>
      </c>
      <c r="AK32" s="102" t="str">
        <f t="shared" si="11"/>
        <v/>
      </c>
      <c r="AL32" s="1981" t="str">
        <f>IF('Prescriptive Path'!$D$7="","",(IF(AH32="Yes",IF('Prescriptive Path'!$D$7="Market-Rate",IF(Savings!AJ32="Electricity","MPPMREINC","MPPMRGINC"),IF(Savings!AJ32="Electricity","MPPLIEINC","MPPLIGINC")),"")))</f>
        <v/>
      </c>
    </row>
    <row r="33" spans="1:38" ht="25.5" customHeight="1">
      <c r="A33" s="2553"/>
      <c r="B33" s="23" t="s">
        <v>326</v>
      </c>
      <c r="C33" s="162">
        <v>0</v>
      </c>
      <c r="D33" s="163">
        <f>'Prescriptive Path'!H51*((12/(Baseline!E43))-(12/(Proposed!E43)))*VLOOKUP('Prescriptive Path'!$D$4,ClimateZoneLookup!$A$4:$AS$65,8,FALSE)</f>
        <v>0</v>
      </c>
      <c r="E33" s="99">
        <v>0</v>
      </c>
      <c r="F33" s="100">
        <v>0</v>
      </c>
      <c r="G33" s="100">
        <v>15</v>
      </c>
      <c r="H33" s="2224">
        <f>Baseline!Q43*'Prescriptive Path'!H51</f>
        <v>0</v>
      </c>
      <c r="I33" s="2224">
        <f>Proposed!V43*'Prescriptive Path'!H51</f>
        <v>0</v>
      </c>
      <c r="J33" s="1049">
        <f t="shared" si="17"/>
        <v>0</v>
      </c>
      <c r="K33" s="1290"/>
      <c r="L33" s="508" t="s">
        <v>455</v>
      </c>
      <c r="M33" s="508" t="s">
        <v>455</v>
      </c>
      <c r="N33" s="508" t="s">
        <v>455</v>
      </c>
      <c r="O33" s="508" t="s">
        <v>455</v>
      </c>
      <c r="P33" s="298">
        <f>'Prescriptive Path'!H51*(12/Baseline!E43-12/Proposed!E43)*0.8</f>
        <v>0</v>
      </c>
      <c r="Q33" s="230">
        <v>0</v>
      </c>
      <c r="R33" s="107" t="e">
        <f>1.1*D33*HLOOKUP(G33,AvoidCostTable,'Avoided Costs'!$D$44)</f>
        <v>#REF!</v>
      </c>
      <c r="S33" s="107" t="e">
        <f>C33*HLOOKUP(G33,AvoidCostTable,'Avoided Costs'!$D$44)</f>
        <v>#REF!</v>
      </c>
      <c r="T33" s="107" t="e">
        <f>P33*HLOOKUP(G33,AvoidCostTable,'Avoided Costs'!$D$45)</f>
        <v>#REF!</v>
      </c>
      <c r="U33" s="107" t="e">
        <f>E33/10*HLOOKUP(G33,AvoidCostTable,'Avoided Costs'!$D$46)</f>
        <v>#REF!</v>
      </c>
      <c r="V33" s="107" t="e">
        <f>F33/10*HLOOKUP(G33,AvoidCostTable,'Avoided Costs'!$D$47)</f>
        <v>#REF!</v>
      </c>
      <c r="W33" s="133">
        <f>IF('Avoided Costs'!C80="Upstate",-PV('Avoided Costs'!$D$2,G33,Q33*0.003),-PV('Avoided Costs'!$D$2,G33,Q33*0.007))</f>
        <v>0</v>
      </c>
      <c r="X33" s="107">
        <f t="shared" si="29"/>
        <v>0</v>
      </c>
      <c r="Y33" s="107">
        <f t="shared" si="30"/>
        <v>0</v>
      </c>
      <c r="Z33" s="107">
        <f t="shared" si="6"/>
        <v>0</v>
      </c>
      <c r="AA33" s="133">
        <f>IF('Avoided Costs'!$C$44="Upstate",((C33+D33)*0.1936+(E33+F33)*1.486+Q33*0.003),((C33+D33)*0.1936+(E33+F33)*1.486+Q33*0.007))</f>
        <v>0</v>
      </c>
      <c r="AB33" s="1986">
        <f t="shared" si="7"/>
        <v>0</v>
      </c>
      <c r="AC33" s="107">
        <f t="shared" si="14"/>
        <v>0</v>
      </c>
      <c r="AD33" s="108" t="str">
        <f t="shared" si="15"/>
        <v/>
      </c>
      <c r="AE33" s="159" t="str">
        <f t="shared" si="8"/>
        <v/>
      </c>
      <c r="AF33" s="269" t="s">
        <v>448</v>
      </c>
      <c r="AH33" s="1976" t="str">
        <f t="shared" si="16"/>
        <v/>
      </c>
      <c r="AI33" s="102" t="str">
        <f t="shared" si="9"/>
        <v/>
      </c>
      <c r="AJ33" s="102" t="str">
        <f t="shared" si="10"/>
        <v/>
      </c>
      <c r="AK33" s="102" t="str">
        <f t="shared" si="11"/>
        <v/>
      </c>
      <c r="AL33" s="1981" t="str">
        <f>IF('Prescriptive Path'!$D$7="","",(IF(AH33="Yes",IF('Prescriptive Path'!$D$7="Market-Rate",IF(Savings!AJ33="Electricity","MPPMREINC","MPPMRGINC"),IF(Savings!AJ33="Electricity","MPPLIEINC","MPPLIGINC")),"")))</f>
        <v/>
      </c>
    </row>
    <row r="34" spans="1:38" ht="25.5" customHeight="1">
      <c r="A34" s="2553"/>
      <c r="B34" s="128" t="s">
        <v>307</v>
      </c>
      <c r="C34" s="270">
        <v>0</v>
      </c>
      <c r="D34" s="78">
        <v>0</v>
      </c>
      <c r="E34" s="77">
        <f>'Prescriptive Path'!H52*1000*(Proposed!D45/Baseline!E45-1)*VLOOKUP('Prescriptive Path'!$D$4,ClimateZoneLookup!$A$2:$J$65,9)/100</f>
        <v>0</v>
      </c>
      <c r="F34" s="78">
        <v>0</v>
      </c>
      <c r="G34" s="78">
        <v>20</v>
      </c>
      <c r="H34" s="2206">
        <f>Baseline!Q45*'Prescriptive Path'!H52</f>
        <v>0</v>
      </c>
      <c r="I34" s="2206">
        <f>Proposed!V45*'Prescriptive Path'!H52</f>
        <v>0</v>
      </c>
      <c r="J34" s="1051">
        <f t="shared" si="17"/>
        <v>0</v>
      </c>
      <c r="K34" s="1291"/>
      <c r="L34" s="92" t="s">
        <v>455</v>
      </c>
      <c r="M34" s="92" t="s">
        <v>455</v>
      </c>
      <c r="N34" s="92" t="s">
        <v>455</v>
      </c>
      <c r="O34" s="92" t="s">
        <v>455</v>
      </c>
      <c r="P34" s="510">
        <v>0</v>
      </c>
      <c r="Q34" s="244">
        <v>0</v>
      </c>
      <c r="R34" s="243" t="e">
        <f>1.1*D34*HLOOKUP(G34,AvoidCostTable,'Avoided Costs'!$D$44)</f>
        <v>#REF!</v>
      </c>
      <c r="S34" s="243" t="e">
        <f>C34*HLOOKUP(G34,AvoidCostTable,'Avoided Costs'!$D$44)</f>
        <v>#REF!</v>
      </c>
      <c r="T34" s="243" t="e">
        <f>P34*HLOOKUP(G34,AvoidCostTable,'Avoided Costs'!$D$45)</f>
        <v>#REF!</v>
      </c>
      <c r="U34" s="243" t="e">
        <f>E34/10*HLOOKUP(G34,AvoidCostTable,'Avoided Costs'!$D$46)</f>
        <v>#REF!</v>
      </c>
      <c r="V34" s="243" t="e">
        <f>F34/10*HLOOKUP(G34,AvoidCostTable,'Avoided Costs'!$D$47)</f>
        <v>#REF!</v>
      </c>
      <c r="W34" s="164">
        <f>IF('Avoided Costs'!C82="Upstate",-PV('Avoided Costs'!$D$2,G34,Q34*0.003),-PV('Avoided Costs'!$D$2,G34,Q34*0.007))</f>
        <v>0</v>
      </c>
      <c r="X34" s="243">
        <f t="shared" si="29"/>
        <v>0</v>
      </c>
      <c r="Y34" s="243">
        <f t="shared" si="30"/>
        <v>0</v>
      </c>
      <c r="Z34" s="243">
        <f t="shared" si="6"/>
        <v>0</v>
      </c>
      <c r="AA34" s="164">
        <f>IF('Avoided Costs'!$C$44="Upstate",((C34+D34)*0.1936+(E34+F34)*1.486+Q34*0.003),((C34+D34)*0.1936+(E34+F34)*1.486+Q34*0.007))</f>
        <v>0</v>
      </c>
      <c r="AB34" s="1984">
        <f t="shared" si="7"/>
        <v>0</v>
      </c>
      <c r="AC34" s="243">
        <f t="shared" ref="AC34:AC35" si="31">IF(AA34=0,0,G34*AA34)</f>
        <v>0</v>
      </c>
      <c r="AD34" s="245" t="str">
        <f t="shared" ref="AD34:AD35" si="32">IF(AA34=0,"",IF(AA34&gt;0,-PV(3%,G34,AA34)/J34,0))</f>
        <v/>
      </c>
      <c r="AE34" s="246" t="str">
        <f t="shared" ref="AE34:AE35" si="33">IF(J34=0,"",Z34/(J34-W34))</f>
        <v/>
      </c>
      <c r="AF34" s="269" t="s">
        <v>448</v>
      </c>
      <c r="AH34" s="1976" t="str">
        <f t="shared" si="16"/>
        <v/>
      </c>
      <c r="AI34" s="102" t="str">
        <f t="shared" si="9"/>
        <v/>
      </c>
      <c r="AJ34" s="102" t="str">
        <f t="shared" si="10"/>
        <v/>
      </c>
      <c r="AK34" s="102" t="str">
        <f t="shared" si="11"/>
        <v/>
      </c>
      <c r="AL34" s="1981" t="str">
        <f>IF('Prescriptive Path'!$D$7="","",(IF(AH34="Yes",IF('Prescriptive Path'!$D$7="Market-Rate",IF(Savings!AJ34="Electricity","MPPMREINC","MPPMRGINC"),IF(Savings!AJ34="Electricity","MPPLIEINC","MPPLIGINC")),"")))</f>
        <v/>
      </c>
    </row>
    <row r="35" spans="1:38" ht="25.5">
      <c r="A35" s="2553"/>
      <c r="B35" s="128" t="s">
        <v>308</v>
      </c>
      <c r="C35" s="270">
        <v>0</v>
      </c>
      <c r="D35" s="78">
        <v>0</v>
      </c>
      <c r="E35" s="77">
        <f>'Prescriptive Path'!H53*1000*(Proposed!D46/Baseline!E46-1)*VLOOKUP('Prescriptive Path'!$D$4,ClimateZoneLookup!$A$2:$J$65,9)/100</f>
        <v>0</v>
      </c>
      <c r="F35" s="78">
        <v>0</v>
      </c>
      <c r="G35" s="78">
        <v>20</v>
      </c>
      <c r="H35" s="2206">
        <f>Baseline!Q46*'Prescriptive Path'!H53</f>
        <v>0</v>
      </c>
      <c r="I35" s="2206">
        <f>Proposed!V46*'Prescriptive Path'!H53</f>
        <v>0</v>
      </c>
      <c r="J35" s="1051">
        <f t="shared" si="17"/>
        <v>0</v>
      </c>
      <c r="K35" s="1291"/>
      <c r="L35" s="92" t="s">
        <v>455</v>
      </c>
      <c r="M35" s="92" t="s">
        <v>455</v>
      </c>
      <c r="N35" s="92" t="s">
        <v>455</v>
      </c>
      <c r="O35" s="92" t="s">
        <v>455</v>
      </c>
      <c r="P35" s="510">
        <v>0</v>
      </c>
      <c r="Q35" s="244">
        <v>0</v>
      </c>
      <c r="R35" s="243" t="e">
        <f>1.1*D35*HLOOKUP(G35,AvoidCostTable,'Avoided Costs'!$D$44)</f>
        <v>#REF!</v>
      </c>
      <c r="S35" s="243" t="e">
        <f>C35*HLOOKUP(G35,AvoidCostTable,'Avoided Costs'!$D$44)</f>
        <v>#REF!</v>
      </c>
      <c r="T35" s="243" t="e">
        <f>P35*HLOOKUP(G35,AvoidCostTable,'Avoided Costs'!$D$45)</f>
        <v>#REF!</v>
      </c>
      <c r="U35" s="243" t="e">
        <f>E35/10*HLOOKUP(G35,AvoidCostTable,'Avoided Costs'!$D$46)</f>
        <v>#REF!</v>
      </c>
      <c r="V35" s="243" t="e">
        <f>F35/10*HLOOKUP(G35,AvoidCostTable,'Avoided Costs'!$D$47)</f>
        <v>#REF!</v>
      </c>
      <c r="W35" s="164">
        <f>IF('Avoided Costs'!C83="Upstate",-PV('Avoided Costs'!$D$2,G35,Q35*0.003),-PV('Avoided Costs'!$D$2,G35,Q35*0.007))</f>
        <v>0</v>
      </c>
      <c r="X35" s="243">
        <f t="shared" si="29"/>
        <v>0</v>
      </c>
      <c r="Y35" s="243">
        <f t="shared" si="30"/>
        <v>0</v>
      </c>
      <c r="Z35" s="243">
        <f t="shared" si="6"/>
        <v>0</v>
      </c>
      <c r="AA35" s="164">
        <f>IF('Avoided Costs'!$C$44="Upstate",((C35+D35)*0.1936+(E35+F35)*1.486+Q35*0.003),((C35+D35)*0.1936+(E35+F35)*1.486+Q35*0.007))</f>
        <v>0</v>
      </c>
      <c r="AB35" s="1984">
        <f t="shared" si="7"/>
        <v>0</v>
      </c>
      <c r="AC35" s="243">
        <f t="shared" si="31"/>
        <v>0</v>
      </c>
      <c r="AD35" s="245" t="str">
        <f t="shared" si="32"/>
        <v/>
      </c>
      <c r="AE35" s="246" t="str">
        <f t="shared" si="33"/>
        <v/>
      </c>
      <c r="AF35" s="269" t="s">
        <v>448</v>
      </c>
      <c r="AH35" s="1976" t="str">
        <f t="shared" si="16"/>
        <v/>
      </c>
      <c r="AI35" s="102" t="str">
        <f t="shared" si="9"/>
        <v/>
      </c>
      <c r="AJ35" s="102" t="str">
        <f t="shared" si="10"/>
        <v/>
      </c>
      <c r="AK35" s="102" t="str">
        <f t="shared" si="11"/>
        <v/>
      </c>
      <c r="AL35" s="1981" t="str">
        <f>IF('Prescriptive Path'!$D$7="","",(IF(AH35="Yes",IF('Prescriptive Path'!$D$7="Market-Rate",IF(Savings!AJ35="Electricity","MPPMREINC","MPPMRGINC"),IF(Savings!AJ35="Electricity","MPPLIEINC","MPPLIGINC")),"")))</f>
        <v/>
      </c>
    </row>
    <row r="36" spans="1:38">
      <c r="A36" s="2553"/>
      <c r="B36" s="128" t="s">
        <v>309</v>
      </c>
      <c r="C36" s="2211"/>
      <c r="D36" s="2212"/>
      <c r="E36" s="2183"/>
      <c r="F36" s="2183"/>
      <c r="G36" s="2183"/>
      <c r="H36" s="2183"/>
      <c r="I36" s="2183"/>
      <c r="J36" s="2213"/>
      <c r="K36" s="2214"/>
      <c r="L36" s="2215"/>
      <c r="M36" s="2215"/>
      <c r="N36" s="2215"/>
      <c r="O36" s="2215"/>
      <c r="P36" s="2216"/>
      <c r="Q36" s="2212"/>
      <c r="R36" s="2217"/>
      <c r="S36" s="2217"/>
      <c r="T36" s="2217"/>
      <c r="U36" s="2217"/>
      <c r="V36" s="2217"/>
      <c r="W36" s="2217"/>
      <c r="X36" s="2217"/>
      <c r="Y36" s="2217"/>
      <c r="Z36" s="2217"/>
      <c r="AA36" s="2217"/>
      <c r="AB36" s="2217"/>
      <c r="AC36" s="2217"/>
      <c r="AD36" s="2218"/>
      <c r="AE36" s="2219"/>
      <c r="AF36" s="2220"/>
      <c r="AH36" s="1976" t="str">
        <f t="shared" si="16"/>
        <v/>
      </c>
      <c r="AI36" s="102">
        <f t="shared" si="9"/>
        <v>0</v>
      </c>
      <c r="AJ36" s="102" t="str">
        <f t="shared" si="10"/>
        <v/>
      </c>
      <c r="AK36" s="102">
        <f t="shared" si="11"/>
        <v>0</v>
      </c>
      <c r="AL36" s="1981" t="str">
        <f>IF('Prescriptive Path'!$D$7="","",(IF(AH36="Yes",IF('Prescriptive Path'!$D$7="Market-Rate",IF(Savings!AJ36="Electricity","MPPMREINC","MPPMRGINC"),IF(Savings!AJ36="Electricity","MPPLIEINC","MPPLIGINC")),"")))</f>
        <v/>
      </c>
    </row>
    <row r="37" spans="1:38">
      <c r="A37" s="2553"/>
      <c r="B37" s="127" t="s">
        <v>312</v>
      </c>
      <c r="C37" s="151">
        <v>0</v>
      </c>
      <c r="D37" s="76">
        <f>'Prescriptive Path'!H55*'Prescriptive Path'!H56*((12/Baseline!E48)-(12/Proposed!E48))*VLOOKUP('Prescriptive Path'!$D$4,ClimateZoneLookup!$A$4:$AS$65,8,FALSE)</f>
        <v>0</v>
      </c>
      <c r="E37" s="77">
        <v>0</v>
      </c>
      <c r="F37" s="77">
        <v>0</v>
      </c>
      <c r="G37" s="78">
        <v>15</v>
      </c>
      <c r="H37" s="2206">
        <f>Baseline!Q48*'Prescriptive Path'!H55*'Prescriptive Path'!H56</f>
        <v>0</v>
      </c>
      <c r="I37" s="2206">
        <f>Proposed!V48*'Prescriptive Path'!H55*'Prescriptive Path'!H56</f>
        <v>0</v>
      </c>
      <c r="J37" s="1039">
        <f t="shared" si="17"/>
        <v>0</v>
      </c>
      <c r="K37" s="1278"/>
      <c r="L37" s="92" t="s">
        <v>455</v>
      </c>
      <c r="M37" s="92" t="s">
        <v>455</v>
      </c>
      <c r="N37" s="92" t="s">
        <v>455</v>
      </c>
      <c r="O37" s="92" t="s">
        <v>455</v>
      </c>
      <c r="P37" s="80">
        <f>('Prescriptive Path'!H55*'Prescriptive Path'!H56)*(12/Baseline!E48-12/Proposed!E48)*0.8</f>
        <v>0</v>
      </c>
      <c r="Q37" s="89">
        <v>0</v>
      </c>
      <c r="R37" s="93" t="e">
        <f>1.1*D37*HLOOKUP(G37,AvoidCostTable,'Avoided Costs'!$D$44)</f>
        <v>#REF!</v>
      </c>
      <c r="S37" s="93" t="e">
        <f>C37*HLOOKUP(G37,AvoidCostTable,'Avoided Costs'!$D$44)</f>
        <v>#REF!</v>
      </c>
      <c r="T37" s="93" t="e">
        <f>P37*HLOOKUP(G37,AvoidCostTable,'Avoided Costs'!$D$45)</f>
        <v>#REF!</v>
      </c>
      <c r="U37" s="93" t="e">
        <f>E37/10*HLOOKUP(G37,AvoidCostTable,'Avoided Costs'!$D$46)</f>
        <v>#REF!</v>
      </c>
      <c r="V37" s="93" t="e">
        <f>F37/10*HLOOKUP(G37,AvoidCostTable,'Avoided Costs'!$D$47)</f>
        <v>#REF!</v>
      </c>
      <c r="W37" s="132">
        <f>IF('Avoided Costs'!C85="Upstate",-PV('Avoided Costs'!$D$2,G37,Q37*0.003),-PV('Avoided Costs'!$D$2,G37,Q37*0.007))</f>
        <v>0</v>
      </c>
      <c r="X37" s="93">
        <f t="shared" si="29"/>
        <v>0</v>
      </c>
      <c r="Y37" s="93">
        <f t="shared" si="30"/>
        <v>0</v>
      </c>
      <c r="Z37" s="93">
        <f t="shared" si="6"/>
        <v>0</v>
      </c>
      <c r="AA37" s="132">
        <f>IF('Avoided Costs'!$C$44="Upstate",((C37+D37)*0.1936+(E37+F37)*1.486+Q37*0.003),((C37+D37)*0.1936+(E37+F37)*1.486+Q37*0.007))</f>
        <v>0</v>
      </c>
      <c r="AB37" s="1985">
        <f t="shared" si="7"/>
        <v>0</v>
      </c>
      <c r="AC37" s="93">
        <f t="shared" ref="AC37:AC46" si="34">IF(AA37=0,0,G37*AA37)</f>
        <v>0</v>
      </c>
      <c r="AD37" s="94" t="str">
        <f t="shared" ref="AD37:AD46" si="35">IF(AA37=0,"",IF(AA37&gt;0,-PV(3%,G37,AA37)/J37,0))</f>
        <v/>
      </c>
      <c r="AE37" s="150" t="str">
        <f>IF(J37=0,"",Z37/(J37-W37))</f>
        <v/>
      </c>
      <c r="AF37" s="269" t="s">
        <v>448</v>
      </c>
      <c r="AH37" s="1976" t="str">
        <f t="shared" si="16"/>
        <v/>
      </c>
      <c r="AI37" s="102" t="str">
        <f t="shared" si="9"/>
        <v/>
      </c>
      <c r="AJ37" s="102" t="str">
        <f t="shared" si="10"/>
        <v/>
      </c>
      <c r="AK37" s="102" t="str">
        <f t="shared" si="11"/>
        <v/>
      </c>
      <c r="AL37" s="1981" t="str">
        <f>IF('Prescriptive Path'!$D$7="","",(IF(AH37="Yes",IF('Prescriptive Path'!$D$7="Market-Rate",IF(Savings!AJ37="Electricity","MPPMREINC","MPPMRGINC"),IF(Savings!AJ37="Electricity","MPPLIEINC","MPPLIGINC")),"")))</f>
        <v/>
      </c>
    </row>
    <row r="38" spans="1:38" ht="25.5">
      <c r="A38" s="2553"/>
      <c r="B38" s="23" t="s">
        <v>313</v>
      </c>
      <c r="C38" s="75">
        <f>(12*'Prescriptive Path'!H57*((1/Baseline!D49)-(1/IF('Prescriptive Path'!$K$1=4,Proposed!$F$49,IF('Prescriptive Path'!$K$1=5,Proposed!$M$49,Proposed!$R$49))))*(1/3.413)*VLOOKUP('Prescriptive Path'!$D$4,ClimateZoneLookup!$A$4:$I$65,9,FALSE))</f>
        <v>0</v>
      </c>
      <c r="D38" s="76">
        <f>('Prescriptive Path'!H57*((12/Baseline!E49)-(12/Proposed!E49))*VLOOKUP('Prescriptive Path'!$D$4,ClimateZoneLookup!$A$4:$AS$65,8,FALSE))</f>
        <v>0</v>
      </c>
      <c r="E38" s="77">
        <v>0</v>
      </c>
      <c r="F38" s="77">
        <v>0</v>
      </c>
      <c r="G38" s="78">
        <v>20</v>
      </c>
      <c r="H38" s="2225">
        <f>Baseline!Q49*'Prescriptive Path'!H57</f>
        <v>0</v>
      </c>
      <c r="I38" s="2226">
        <f>Proposed!V49*'Prescriptive Path'!H57</f>
        <v>0</v>
      </c>
      <c r="J38" s="1049">
        <f t="shared" si="17"/>
        <v>0</v>
      </c>
      <c r="K38" s="1289"/>
      <c r="L38" s="92" t="s">
        <v>455</v>
      </c>
      <c r="M38" s="92" t="s">
        <v>455</v>
      </c>
      <c r="N38" s="92" t="s">
        <v>455</v>
      </c>
      <c r="O38" s="92" t="s">
        <v>455</v>
      </c>
      <c r="P38" s="80">
        <f>'Prescriptive Path'!H57*((12/Baseline!E49)-(12/Proposed!E49))*0.8+(12*'Prescriptive Path'!H57*((1/Baseline!D49)-(1/IF('Prescriptive Path'!$K$1=4,Proposed!$F$49,IF('Prescriptive Path'!$K$1=5,Proposed!$M$49,Proposed!$R$49))))*0.8)</f>
        <v>0</v>
      </c>
      <c r="Q38" s="77">
        <v>0</v>
      </c>
      <c r="R38" s="81" t="e">
        <f>1.1*D38*HLOOKUP(G38,AvoidCostTable,'Avoided Costs'!$D$44)</f>
        <v>#REF!</v>
      </c>
      <c r="S38" s="81" t="e">
        <f>C38*HLOOKUP(G38,AvoidCostTable,'Avoided Costs'!$D$44)</f>
        <v>#REF!</v>
      </c>
      <c r="T38" s="81" t="e">
        <f>P38*HLOOKUP(G38,AvoidCostTable,'Avoided Costs'!$D$45)</f>
        <v>#REF!</v>
      </c>
      <c r="U38" s="81" t="e">
        <f>E38/10*HLOOKUP(G38,AvoidCostTable,'Avoided Costs'!$D$46)</f>
        <v>#REF!</v>
      </c>
      <c r="V38" s="81" t="e">
        <f>F38/10*HLOOKUP(G38,AvoidCostTable,'Avoided Costs'!$D$47)</f>
        <v>#REF!</v>
      </c>
      <c r="W38" s="132">
        <f>IF('Avoided Costs'!C87="Upstate",-PV('Avoided Costs'!$D$2,G38,Q38*0.003),-PV('Avoided Costs'!$D$2,G38,Q38*0.007))</f>
        <v>0</v>
      </c>
      <c r="X38" s="81">
        <f t="shared" si="29"/>
        <v>0</v>
      </c>
      <c r="Y38" s="81">
        <f t="shared" si="30"/>
        <v>0</v>
      </c>
      <c r="Z38" s="93">
        <f t="shared" si="6"/>
        <v>0</v>
      </c>
      <c r="AA38" s="132">
        <f>IF('Avoided Costs'!$C$44="Upstate",((C38+D38)*0.1936+(E38+F38)*1.486+Q38*0.003),((C38+D38)*0.1936+(E38+F38)*1.486+Q38*0.007))</f>
        <v>0</v>
      </c>
      <c r="AB38" s="1985">
        <f t="shared" si="7"/>
        <v>0</v>
      </c>
      <c r="AC38" s="81">
        <f t="shared" si="34"/>
        <v>0</v>
      </c>
      <c r="AD38" s="82" t="str">
        <f t="shared" si="35"/>
        <v/>
      </c>
      <c r="AE38" s="147" t="str">
        <f t="shared" si="8"/>
        <v/>
      </c>
      <c r="AF38" s="269" t="s">
        <v>448</v>
      </c>
      <c r="AH38" s="1976" t="str">
        <f t="shared" si="16"/>
        <v/>
      </c>
      <c r="AI38" s="102" t="str">
        <f t="shared" si="9"/>
        <v/>
      </c>
      <c r="AJ38" s="102" t="str">
        <f t="shared" si="10"/>
        <v/>
      </c>
      <c r="AK38" s="102" t="str">
        <f t="shared" si="11"/>
        <v/>
      </c>
      <c r="AL38" s="1981" t="str">
        <f>IF('Prescriptive Path'!$D$7="","",(IF(AH38="Yes",IF('Prescriptive Path'!$D$7="Market-Rate",IF(Savings!AJ38="Electricity","MPPMREINC","MPPMRGINC"),IF(Savings!AJ38="Electricity","MPPLIEINC","MPPLIGINC")),"")))</f>
        <v/>
      </c>
    </row>
    <row r="39" spans="1:38" ht="25.5">
      <c r="A39" s="2553"/>
      <c r="B39" s="23" t="s">
        <v>328</v>
      </c>
      <c r="C39" s="75">
        <f>(12*'Prescriptive Path'!H58*((1/Baseline!D50)-(1/Proposed!F50))*(1/3.413)*VLOOKUP('Prescriptive Path'!$D$4,ClimateZoneLookup!$A$4:$AS$65,9,FALSE))</f>
        <v>0</v>
      </c>
      <c r="D39" s="76">
        <f>('Prescriptive Path'!H58*((12/Baseline!E50)-(12/Proposed!E50))*VLOOKUP('Prescriptive Path'!$D$4,ClimateZoneLookup!$A$4:$AS$65,8,FALSE))</f>
        <v>0</v>
      </c>
      <c r="E39" s="77">
        <v>0</v>
      </c>
      <c r="F39" s="77">
        <v>0</v>
      </c>
      <c r="G39" s="78">
        <v>20</v>
      </c>
      <c r="H39" s="2225">
        <f>Baseline!Q50*'Prescriptive Path'!H58</f>
        <v>0</v>
      </c>
      <c r="I39" s="2225">
        <f>Proposed!V50*'Prescriptive Path'!H58</f>
        <v>0</v>
      </c>
      <c r="J39" s="1049">
        <f t="shared" si="17"/>
        <v>0</v>
      </c>
      <c r="K39" s="1289"/>
      <c r="L39" s="92" t="s">
        <v>455</v>
      </c>
      <c r="M39" s="92" t="s">
        <v>455</v>
      </c>
      <c r="N39" s="92" t="s">
        <v>455</v>
      </c>
      <c r="O39" s="92" t="s">
        <v>455</v>
      </c>
      <c r="P39" s="80">
        <f>('Prescriptive Path'!H58*((12/Baseline!E50)-(12/Proposed!E50))*0.8)+(12*'Prescriptive Path'!H58*((1/Baseline!D50)-(1/Proposed!F50))*0.8)</f>
        <v>0</v>
      </c>
      <c r="Q39" s="77">
        <v>0</v>
      </c>
      <c r="R39" s="81" t="e">
        <f>1.1*D39*HLOOKUP(G39,AvoidCostTable,'Avoided Costs'!$D$44)</f>
        <v>#REF!</v>
      </c>
      <c r="S39" s="81" t="e">
        <f>C39*HLOOKUP(G39,AvoidCostTable,'Avoided Costs'!$D$44)</f>
        <v>#REF!</v>
      </c>
      <c r="T39" s="81" t="e">
        <f>P39*HLOOKUP(G39,AvoidCostTable,'Avoided Costs'!$D$45)</f>
        <v>#REF!</v>
      </c>
      <c r="U39" s="81" t="e">
        <f>E39/10*HLOOKUP(G39,AvoidCostTable,'Avoided Costs'!$D$46)</f>
        <v>#REF!</v>
      </c>
      <c r="V39" s="81" t="e">
        <f>F39/10*HLOOKUP(G39,AvoidCostTable,'Avoided Costs'!$D$47)</f>
        <v>#REF!</v>
      </c>
      <c r="W39" s="132">
        <f>IF('Avoided Costs'!C88="Upstate",-PV('Avoided Costs'!$D$2,G39,Q39*0.003),-PV('Avoided Costs'!$D$2,G39,Q39*0.007))</f>
        <v>0</v>
      </c>
      <c r="X39" s="81">
        <f t="shared" si="29"/>
        <v>0</v>
      </c>
      <c r="Y39" s="81">
        <f t="shared" si="30"/>
        <v>0</v>
      </c>
      <c r="Z39" s="93">
        <f t="shared" si="6"/>
        <v>0</v>
      </c>
      <c r="AA39" s="136">
        <f>IF('Avoided Costs'!$C$44="Upstate",((C39+D39)*0.1936+(E39+F39)*1.486+Q39*0.003),((C39+D39)*0.1936+(E39+F39)*1.486+Q39*0.007))</f>
        <v>0</v>
      </c>
      <c r="AB39" s="1998">
        <f t="shared" si="7"/>
        <v>0</v>
      </c>
      <c r="AC39" s="81">
        <f t="shared" si="34"/>
        <v>0</v>
      </c>
      <c r="AD39" s="82" t="str">
        <f t="shared" si="35"/>
        <v/>
      </c>
      <c r="AE39" s="147" t="str">
        <f t="shared" si="8"/>
        <v/>
      </c>
      <c r="AF39" s="269" t="s">
        <v>448</v>
      </c>
      <c r="AH39" s="1976" t="str">
        <f t="shared" si="16"/>
        <v/>
      </c>
      <c r="AI39" s="102" t="str">
        <f t="shared" si="9"/>
        <v/>
      </c>
      <c r="AJ39" s="102" t="str">
        <f t="shared" si="10"/>
        <v/>
      </c>
      <c r="AK39" s="102" t="str">
        <f t="shared" si="11"/>
        <v/>
      </c>
      <c r="AL39" s="1981" t="str">
        <f>IF('Prescriptive Path'!$D$7="","",(IF(AH39="Yes",IF('Prescriptive Path'!$D$7="Market-Rate",IF(Savings!AJ39="Electricity","MPPMREINC","MPPMRGINC"),IF(Savings!AJ39="Electricity","MPPLIEINC","MPPLIGINC")),"")))</f>
        <v/>
      </c>
    </row>
    <row r="40" spans="1:38" ht="25.5">
      <c r="A40" s="2553"/>
      <c r="B40" s="23" t="s">
        <v>329</v>
      </c>
      <c r="C40" s="75">
        <f>(12*'Prescriptive Path'!H59*((1/Baseline!D51)-(1/Proposed!F51))*(1/3.413)*VLOOKUP('Prescriptive Path'!$D$4,ClimateZoneLookup!$A$4:$AS$65,9,FALSE))</f>
        <v>0</v>
      </c>
      <c r="D40" s="76">
        <f>'Prescriptive Path'!H59*((12/Baseline!E51)-(12/Proposed!E51))*VLOOKUP('Prescriptive Path'!$D$4,ClimateZoneLookup!$A$4:$AS$65,8,FALSE)</f>
        <v>0</v>
      </c>
      <c r="E40" s="77">
        <v>0</v>
      </c>
      <c r="F40" s="77">
        <v>0</v>
      </c>
      <c r="G40" s="78">
        <v>20</v>
      </c>
      <c r="H40" s="2225">
        <f>Baseline!Q51*'Prescriptive Path'!H59</f>
        <v>0</v>
      </c>
      <c r="I40" s="2225">
        <f>Proposed!V51*'Prescriptive Path'!H59</f>
        <v>0</v>
      </c>
      <c r="J40" s="1049">
        <f t="shared" si="17"/>
        <v>0</v>
      </c>
      <c r="K40" s="1289"/>
      <c r="L40" s="92" t="s">
        <v>455</v>
      </c>
      <c r="M40" s="92" t="s">
        <v>455</v>
      </c>
      <c r="N40" s="92" t="s">
        <v>455</v>
      </c>
      <c r="O40" s="92" t="s">
        <v>455</v>
      </c>
      <c r="P40" s="80">
        <f>('Prescriptive Path'!H59*((12/Baseline!E51)-(12/Proposed!E51)*0.8))+(12*'Prescriptive Path'!H59*((1/Baseline!D51)-(1/Proposed!F51))*0.8)</f>
        <v>0</v>
      </c>
      <c r="Q40" s="77">
        <v>0</v>
      </c>
      <c r="R40" s="81" t="e">
        <f>1.1*D40*HLOOKUP(G40,AvoidCostTable,'Avoided Costs'!$D$44)</f>
        <v>#REF!</v>
      </c>
      <c r="S40" s="81" t="e">
        <f>C40*HLOOKUP(G40,AvoidCostTable,'Avoided Costs'!$D$44)</f>
        <v>#REF!</v>
      </c>
      <c r="T40" s="81" t="e">
        <f>P40*HLOOKUP(G40,AvoidCostTable,'Avoided Costs'!$D$45)</f>
        <v>#REF!</v>
      </c>
      <c r="U40" s="81" t="e">
        <f>E40/10*HLOOKUP(G40,AvoidCostTable,'Avoided Costs'!$D$46)</f>
        <v>#REF!</v>
      </c>
      <c r="V40" s="81" t="e">
        <f>F40/10*HLOOKUP(G40,AvoidCostTable,'Avoided Costs'!$D$47)</f>
        <v>#REF!</v>
      </c>
      <c r="W40" s="132">
        <f>IF('Avoided Costs'!C89="Upstate",-PV('Avoided Costs'!$D$2,G40,Q40*0.003),-PV('Avoided Costs'!$D$2,G40,Q40*0.007))</f>
        <v>0</v>
      </c>
      <c r="X40" s="81">
        <f t="shared" si="29"/>
        <v>0</v>
      </c>
      <c r="Y40" s="81">
        <f t="shared" si="30"/>
        <v>0</v>
      </c>
      <c r="Z40" s="93">
        <f t="shared" si="6"/>
        <v>0</v>
      </c>
      <c r="AA40" s="132">
        <f>IF('Avoided Costs'!$C$44="Upstate",((C40+D40)*0.1936+(E40+F40)*1.486+Q40*0.003),((C40+D40)*0.1936+(E40+F40)*1.486+Q40*0.007))</f>
        <v>0</v>
      </c>
      <c r="AB40" s="1985">
        <f t="shared" si="7"/>
        <v>0</v>
      </c>
      <c r="AC40" s="81">
        <f t="shared" si="34"/>
        <v>0</v>
      </c>
      <c r="AD40" s="82" t="str">
        <f t="shared" si="35"/>
        <v/>
      </c>
      <c r="AE40" s="147" t="str">
        <f t="shared" si="8"/>
        <v/>
      </c>
      <c r="AF40" s="269" t="s">
        <v>448</v>
      </c>
      <c r="AH40" s="1976" t="str">
        <f t="shared" si="16"/>
        <v/>
      </c>
      <c r="AI40" s="102" t="str">
        <f t="shared" si="9"/>
        <v/>
      </c>
      <c r="AJ40" s="102" t="str">
        <f t="shared" si="10"/>
        <v/>
      </c>
      <c r="AK40" s="102" t="str">
        <f t="shared" si="11"/>
        <v/>
      </c>
      <c r="AL40" s="1981" t="str">
        <f>IF('Prescriptive Path'!$D$7="","",(IF(AH40="Yes",IF('Prescriptive Path'!$D$7="Market-Rate",IF(Savings!AJ40="Electricity","MPPMREINC","MPPMRGINC"),IF(Savings!AJ40="Electricity","MPPLIEINC","MPPLIGINC")),"")))</f>
        <v/>
      </c>
    </row>
    <row r="41" spans="1:38">
      <c r="A41" s="2553"/>
      <c r="B41" s="23" t="s">
        <v>314</v>
      </c>
      <c r="C41" s="75">
        <f>(12*'Prescriptive Path'!H60*((1/Baseline!D52)-(1/Proposed!F52))*(1/3.413)*VLOOKUP('Prescriptive Path'!$D$4,ClimateZoneLookup!$A$4:$AS$65,9,FALSE))</f>
        <v>0</v>
      </c>
      <c r="D41" s="76">
        <f>'Prescriptive Path'!H60*((12/Baseline!E52)-(12/Proposed!E52))*VLOOKUP('Prescriptive Path'!$D$4,ClimateZoneLookup!$A$4:$AS$65,8,FALSE)</f>
        <v>0</v>
      </c>
      <c r="E41" s="77">
        <v>0</v>
      </c>
      <c r="F41" s="77">
        <v>0</v>
      </c>
      <c r="G41" s="78">
        <v>20</v>
      </c>
      <c r="H41" s="2225">
        <f>Baseline!Q52*'Prescriptive Path'!H60</f>
        <v>0</v>
      </c>
      <c r="I41" s="2225">
        <f>Proposed!V52*'Prescriptive Path'!H60</f>
        <v>0</v>
      </c>
      <c r="J41" s="1049">
        <f t="shared" si="17"/>
        <v>0</v>
      </c>
      <c r="K41" s="1289"/>
      <c r="L41" s="92" t="s">
        <v>455</v>
      </c>
      <c r="M41" s="92" t="s">
        <v>455</v>
      </c>
      <c r="N41" s="92" t="s">
        <v>455</v>
      </c>
      <c r="O41" s="92" t="s">
        <v>455</v>
      </c>
      <c r="P41" s="80">
        <f>('Prescriptive Path'!H60*((12/Baseline!E52)-(12/Proposed!E52))*0.8)+(12*'Prescriptive Path'!H60*((1/Baseline!D52)-(1/Proposed!F52))*0.8)</f>
        <v>0</v>
      </c>
      <c r="Q41" s="77">
        <v>0</v>
      </c>
      <c r="R41" s="81" t="e">
        <f>1.1*D41*HLOOKUP(G41,AvoidCostTable,'Avoided Costs'!$D$44)</f>
        <v>#REF!</v>
      </c>
      <c r="S41" s="81" t="e">
        <f>C41*HLOOKUP(G41,AvoidCostTable,'Avoided Costs'!$D$44)</f>
        <v>#REF!</v>
      </c>
      <c r="T41" s="81" t="e">
        <f>P41*HLOOKUP(G41,AvoidCostTable,'Avoided Costs'!$D$45)</f>
        <v>#REF!</v>
      </c>
      <c r="U41" s="81" t="e">
        <f>E41/10*HLOOKUP(G41,AvoidCostTable,'Avoided Costs'!$D$46)</f>
        <v>#REF!</v>
      </c>
      <c r="V41" s="81" t="e">
        <f>F41/10*HLOOKUP(G41,AvoidCostTable,'Avoided Costs'!$D$47)</f>
        <v>#REF!</v>
      </c>
      <c r="W41" s="132">
        <f>IF('Avoided Costs'!C90="Upstate",-PV('Avoided Costs'!$D$2,G41,Q41*0.003),-PV('Avoided Costs'!$D$2,G41,Q41*0.007))</f>
        <v>0</v>
      </c>
      <c r="X41" s="81">
        <f t="shared" si="29"/>
        <v>0</v>
      </c>
      <c r="Y41" s="81">
        <f t="shared" si="30"/>
        <v>0</v>
      </c>
      <c r="Z41" s="81">
        <f t="shared" si="6"/>
        <v>0</v>
      </c>
      <c r="AA41" s="132">
        <f>IF('Avoided Costs'!$C$44="Upstate",((C41+D41)*0.1936+(E41+F41)*1.486+Q41*0.003),((C41+D41)*0.1936+(E41+F41)*1.486+Q41*0.007))</f>
        <v>0</v>
      </c>
      <c r="AB41" s="1985">
        <f t="shared" si="7"/>
        <v>0</v>
      </c>
      <c r="AC41" s="81">
        <f t="shared" si="34"/>
        <v>0</v>
      </c>
      <c r="AD41" s="82" t="str">
        <f t="shared" si="35"/>
        <v/>
      </c>
      <c r="AE41" s="147" t="str">
        <f t="shared" si="8"/>
        <v/>
      </c>
      <c r="AF41" s="269" t="s">
        <v>448</v>
      </c>
      <c r="AH41" s="1976" t="str">
        <f t="shared" si="16"/>
        <v/>
      </c>
      <c r="AI41" s="102" t="str">
        <f t="shared" si="9"/>
        <v/>
      </c>
      <c r="AJ41" s="102" t="str">
        <f t="shared" si="10"/>
        <v/>
      </c>
      <c r="AK41" s="102" t="str">
        <f t="shared" si="11"/>
        <v/>
      </c>
      <c r="AL41" s="1981" t="str">
        <f>IF('Prescriptive Path'!$D$7="","",(IF(AH41="Yes",IF('Prescriptive Path'!$D$7="Market-Rate",IF(Savings!AJ41="Electricity","MPPMREINC","MPPMRGINC"),IF(Savings!AJ41="Electricity","MPPLIEINC","MPPLIGINC")),"")))</f>
        <v/>
      </c>
    </row>
    <row r="42" spans="1:38">
      <c r="A42" s="2553"/>
      <c r="B42" s="23" t="s">
        <v>317</v>
      </c>
      <c r="C42" s="75">
        <f>(12*'Prescriptive Path'!H61*((1/Baseline!D53)-(1/Proposed!F53))*(1/3.413)*VLOOKUP('Prescriptive Path'!$D$4,ClimateZoneLookup!$A$4:$AS$65,9,FALSE))</f>
        <v>0</v>
      </c>
      <c r="D42" s="76">
        <f>('Prescriptive Path'!H61*((12/Baseline!E53)-(12/Proposed!E53))*VLOOKUP('Prescriptive Path'!$D$4,ClimateZoneLookup!$A$4:$AS$65,8,FALSE))</f>
        <v>0</v>
      </c>
      <c r="E42" s="77">
        <v>0</v>
      </c>
      <c r="F42" s="77">
        <v>0</v>
      </c>
      <c r="G42" s="78">
        <v>20</v>
      </c>
      <c r="H42" s="2191">
        <f>Baseline!Q53*'Prescriptive Path'!H61</f>
        <v>0</v>
      </c>
      <c r="I42" s="2191">
        <f>Proposed!V53*'Prescriptive Path'!H61</f>
        <v>0</v>
      </c>
      <c r="J42" s="1039">
        <f t="shared" si="17"/>
        <v>0</v>
      </c>
      <c r="K42" s="1278"/>
      <c r="L42" s="92" t="s">
        <v>455</v>
      </c>
      <c r="M42" s="92" t="s">
        <v>455</v>
      </c>
      <c r="N42" s="92" t="s">
        <v>455</v>
      </c>
      <c r="O42" s="92" t="s">
        <v>455</v>
      </c>
      <c r="P42" s="80">
        <f>('Prescriptive Path'!H61*((12/Baseline!E53)-(12/Proposed!E53))*0.8)+(12*'Prescriptive Path'!H61*((1/Baseline!D53)-(1/Proposed!F53))*0.8)</f>
        <v>0</v>
      </c>
      <c r="Q42" s="77">
        <v>0</v>
      </c>
      <c r="R42" s="81" t="e">
        <f>1.1*D42*HLOOKUP(G42,AvoidCostTable,'Avoided Costs'!$D$44)</f>
        <v>#REF!</v>
      </c>
      <c r="S42" s="81" t="e">
        <f>C42*HLOOKUP(G42,AvoidCostTable,'Avoided Costs'!$D$44)</f>
        <v>#REF!</v>
      </c>
      <c r="T42" s="81" t="e">
        <f>P42*HLOOKUP(G42,AvoidCostTable,'Avoided Costs'!$D$45)</f>
        <v>#REF!</v>
      </c>
      <c r="U42" s="81" t="e">
        <f>E42/10*HLOOKUP(G42,AvoidCostTable,'Avoided Costs'!$D$46)</f>
        <v>#REF!</v>
      </c>
      <c r="V42" s="81" t="e">
        <f>F42/10*HLOOKUP(G42,AvoidCostTable,'Avoided Costs'!$D$47)</f>
        <v>#REF!</v>
      </c>
      <c r="W42" s="132">
        <f>IF('Avoided Costs'!C91="Upstate",-PV('Avoided Costs'!$D$2,G42,Q42*0.003),-PV('Avoided Costs'!$D$2,G42,Q42*0.007))</f>
        <v>0</v>
      </c>
      <c r="X42" s="81">
        <f t="shared" si="29"/>
        <v>0</v>
      </c>
      <c r="Y42" s="81">
        <f t="shared" si="30"/>
        <v>0</v>
      </c>
      <c r="Z42" s="81">
        <f t="shared" si="6"/>
        <v>0</v>
      </c>
      <c r="AA42" s="132">
        <f>IF('Avoided Costs'!$C$44="Upstate",((C42+D42)*0.1936+(E42+F42)*1.486+Q42*0.003),((C42+D42)*0.1936+(E42+F42)*1.486+Q42*0.007))</f>
        <v>0</v>
      </c>
      <c r="AB42" s="1985">
        <f t="shared" si="7"/>
        <v>0</v>
      </c>
      <c r="AC42" s="81">
        <f t="shared" si="34"/>
        <v>0</v>
      </c>
      <c r="AD42" s="82" t="str">
        <f t="shared" si="35"/>
        <v/>
      </c>
      <c r="AE42" s="147" t="str">
        <f t="shared" si="8"/>
        <v/>
      </c>
      <c r="AF42" s="269" t="s">
        <v>448</v>
      </c>
      <c r="AH42" s="1976" t="str">
        <f t="shared" si="16"/>
        <v/>
      </c>
      <c r="AI42" s="102" t="str">
        <f t="shared" si="9"/>
        <v/>
      </c>
      <c r="AJ42" s="102" t="str">
        <f t="shared" si="10"/>
        <v/>
      </c>
      <c r="AK42" s="102" t="str">
        <f t="shared" si="11"/>
        <v/>
      </c>
      <c r="AL42" s="1981" t="str">
        <f>IF('Prescriptive Path'!$D$7="","",(IF(AH42="Yes",IF('Prescriptive Path'!$D$7="Market-Rate",IF(Savings!AJ42="Electricity","MPPMREINC","MPPMRGINC"),IF(Savings!AJ42="Electricity","MPPLIEINC","MPPLIGINC")),"")))</f>
        <v/>
      </c>
    </row>
    <row r="43" spans="1:38">
      <c r="A43" s="2553"/>
      <c r="B43" s="23" t="s">
        <v>319</v>
      </c>
      <c r="C43" s="75">
        <v>0</v>
      </c>
      <c r="D43" s="76">
        <v>0</v>
      </c>
      <c r="E43" s="77">
        <f>IF('Prescriptive Path'!K1&lt;&gt;6,'Prescriptive Path'!H62*1000*((Proposed!D54/Baseline!E54)-1)*(1/100)*VLOOKUP('Prescriptive Path'!$D$4,ClimateZoneLookup!$A$4:$AS$65,9,FALSE),'Prescriptive Path'!H62*1000*((Proposed!P54/Baseline!E54)-1)*(1/100)*VLOOKUP('Prescriptive Path'!$D$4,ClimateZoneLookup!$A$4:$AS$65,9,FALSE))</f>
        <v>0</v>
      </c>
      <c r="F43" s="77">
        <v>0</v>
      </c>
      <c r="G43" s="78">
        <v>25</v>
      </c>
      <c r="H43" s="2191">
        <f>Baseline!Q54*'Prescriptive Path'!H62</f>
        <v>0</v>
      </c>
      <c r="I43" s="2191">
        <f>Proposed!V54*'Prescriptive Path'!H62</f>
        <v>0</v>
      </c>
      <c r="J43" s="1039">
        <f t="shared" si="17"/>
        <v>0</v>
      </c>
      <c r="K43" s="1278"/>
      <c r="L43" s="92" t="s">
        <v>455</v>
      </c>
      <c r="M43" s="92" t="s">
        <v>455</v>
      </c>
      <c r="N43" s="92" t="s">
        <v>455</v>
      </c>
      <c r="O43" s="92" t="s">
        <v>455</v>
      </c>
      <c r="P43" s="510">
        <v>0</v>
      </c>
      <c r="Q43" s="77">
        <v>0</v>
      </c>
      <c r="R43" s="81" t="e">
        <f>1.1*D43*HLOOKUP(G43,AvoidCostTable,'Avoided Costs'!$D$44)</f>
        <v>#REF!</v>
      </c>
      <c r="S43" s="81" t="e">
        <f>C43*HLOOKUP(G43,AvoidCostTable,'Avoided Costs'!$D$44)</f>
        <v>#REF!</v>
      </c>
      <c r="T43" s="81" t="e">
        <f>P43*HLOOKUP(G43,AvoidCostTable,'Avoided Costs'!$D$45)</f>
        <v>#REF!</v>
      </c>
      <c r="U43" s="81" t="e">
        <f>E43/10*HLOOKUP(G43,AvoidCostTable,'Avoided Costs'!$D$46)</f>
        <v>#REF!</v>
      </c>
      <c r="V43" s="81" t="e">
        <f>F43/10*HLOOKUP(G43,AvoidCostTable,'Avoided Costs'!$D$47)</f>
        <v>#REF!</v>
      </c>
      <c r="W43" s="132">
        <f>IF('Avoided Costs'!C92="Upstate",-PV('Avoided Costs'!$D$2,G43,Q43*0.003),-PV('Avoided Costs'!$D$2,G43,Q43*0.007))</f>
        <v>0</v>
      </c>
      <c r="X43" s="81">
        <f t="shared" si="29"/>
        <v>0</v>
      </c>
      <c r="Y43" s="81">
        <f t="shared" si="30"/>
        <v>0</v>
      </c>
      <c r="Z43" s="81">
        <f t="shared" si="6"/>
        <v>0</v>
      </c>
      <c r="AA43" s="132">
        <f>IF('Avoided Costs'!$C$44="Upstate",((C43+D43)*0.1936+(E43+F43)*1.486+Q43*0.003),((C43+D43)*0.1936+(E43+F43)*1.486+Q43*0.007))</f>
        <v>0</v>
      </c>
      <c r="AB43" s="1985">
        <f t="shared" si="7"/>
        <v>0</v>
      </c>
      <c r="AC43" s="81">
        <f t="shared" si="34"/>
        <v>0</v>
      </c>
      <c r="AD43" s="82" t="str">
        <f t="shared" si="35"/>
        <v/>
      </c>
      <c r="AE43" s="147" t="str">
        <f t="shared" si="8"/>
        <v/>
      </c>
      <c r="AF43" s="269" t="s">
        <v>448</v>
      </c>
      <c r="AH43" s="1976" t="str">
        <f t="shared" si="16"/>
        <v/>
      </c>
      <c r="AI43" s="102" t="str">
        <f t="shared" si="9"/>
        <v/>
      </c>
      <c r="AJ43" s="102" t="str">
        <f t="shared" si="10"/>
        <v/>
      </c>
      <c r="AK43" s="102" t="str">
        <f t="shared" si="11"/>
        <v/>
      </c>
      <c r="AL43" s="1981" t="str">
        <f>IF('Prescriptive Path'!$D$7="","",(IF(AH43="Yes",IF('Prescriptive Path'!$D$7="Market-Rate",IF(Savings!AJ43="Electricity","MPPMREINC","MPPMRGINC"),IF(Savings!AJ43="Electricity","MPPLIEINC","MPPLIGINC")),"")))</f>
        <v/>
      </c>
    </row>
    <row r="44" spans="1:38">
      <c r="A44" s="2553"/>
      <c r="B44" s="23" t="s">
        <v>320</v>
      </c>
      <c r="C44" s="151">
        <v>0</v>
      </c>
      <c r="D44" s="98">
        <v>0</v>
      </c>
      <c r="E44" s="77">
        <f>'Prescriptive Path'!H63*1000*((Proposed!D55/Baseline!E55)-1)*(1/100)*VLOOKUP('Prescriptive Path'!$D$4,ClimateZoneLookup!$A$4:$AS$65,9,FALSE)</f>
        <v>0</v>
      </c>
      <c r="F44" s="77">
        <v>0</v>
      </c>
      <c r="G44" s="78">
        <v>25</v>
      </c>
      <c r="H44" s="2191">
        <f>Baseline!Q55*'Prescriptive Path'!H63</f>
        <v>0</v>
      </c>
      <c r="I44" s="2191">
        <f>Proposed!V55*'Prescriptive Path'!H63</f>
        <v>0</v>
      </c>
      <c r="J44" s="1039">
        <f t="shared" si="17"/>
        <v>0</v>
      </c>
      <c r="K44" s="1278"/>
      <c r="L44" s="92" t="s">
        <v>455</v>
      </c>
      <c r="M44" s="92" t="s">
        <v>455</v>
      </c>
      <c r="N44" s="92" t="s">
        <v>455</v>
      </c>
      <c r="O44" s="92" t="s">
        <v>455</v>
      </c>
      <c r="P44" s="510">
        <v>0</v>
      </c>
      <c r="Q44" s="77">
        <v>0</v>
      </c>
      <c r="R44" s="81" t="e">
        <f>1.1*D44*HLOOKUP(G44,AvoidCostTable,'Avoided Costs'!$D$44)</f>
        <v>#REF!</v>
      </c>
      <c r="S44" s="81" t="e">
        <f>C44*HLOOKUP(G44,AvoidCostTable,'Avoided Costs'!$D$44)</f>
        <v>#REF!</v>
      </c>
      <c r="T44" s="81" t="e">
        <f>P44*HLOOKUP(G44,AvoidCostTable,'Avoided Costs'!$D$45)</f>
        <v>#REF!</v>
      </c>
      <c r="U44" s="81" t="e">
        <f>E44/10*HLOOKUP(G44,AvoidCostTable,'Avoided Costs'!$D$46)</f>
        <v>#REF!</v>
      </c>
      <c r="V44" s="81" t="e">
        <f>F44/10*HLOOKUP(G44,AvoidCostTable,'Avoided Costs'!$D$47)</f>
        <v>#REF!</v>
      </c>
      <c r="W44" s="132">
        <f>IF('Avoided Costs'!C93="Upstate",-PV('Avoided Costs'!$D$2,G44,Q44*0.003),-PV('Avoided Costs'!$D$2,G44,Q44*0.007))</f>
        <v>0</v>
      </c>
      <c r="X44" s="81">
        <f t="shared" si="29"/>
        <v>0</v>
      </c>
      <c r="Y44" s="81">
        <f t="shared" si="30"/>
        <v>0</v>
      </c>
      <c r="Z44" s="81">
        <f t="shared" si="6"/>
        <v>0</v>
      </c>
      <c r="AA44" s="132">
        <f>IF('Avoided Costs'!$C$44="Upstate",((C44+D44)*0.1936+(E44+F44)*1.486+Q44*0.003),((C44+D44)*0.1936+(E44+F44)*1.486+Q44*0.007))</f>
        <v>0</v>
      </c>
      <c r="AB44" s="1985">
        <f t="shared" si="7"/>
        <v>0</v>
      </c>
      <c r="AC44" s="81">
        <f t="shared" si="34"/>
        <v>0</v>
      </c>
      <c r="AD44" s="82" t="str">
        <f t="shared" si="35"/>
        <v/>
      </c>
      <c r="AE44" s="147" t="str">
        <f t="shared" si="8"/>
        <v/>
      </c>
      <c r="AF44" s="269" t="s">
        <v>448</v>
      </c>
      <c r="AH44" s="1976" t="str">
        <f t="shared" si="16"/>
        <v/>
      </c>
      <c r="AI44" s="102" t="str">
        <f t="shared" si="9"/>
        <v/>
      </c>
      <c r="AJ44" s="102" t="str">
        <f t="shared" si="10"/>
        <v/>
      </c>
      <c r="AK44" s="102" t="str">
        <f t="shared" si="11"/>
        <v/>
      </c>
      <c r="AL44" s="1981" t="str">
        <f>IF('Prescriptive Path'!$D$7="","",(IF(AH44="Yes",IF('Prescriptive Path'!$D$7="Market-Rate",IF(Savings!AJ44="Electricity","MPPMREINC","MPPMRGINC"),IF(Savings!AJ44="Electricity","MPPLIEINC","MPPLIGINC")),"")))</f>
        <v/>
      </c>
    </row>
    <row r="45" spans="1:38">
      <c r="A45" s="2553"/>
      <c r="B45" s="119" t="s">
        <v>321</v>
      </c>
      <c r="C45" s="75">
        <f>IF('Prescriptive Path'!D65="Cooling",0,'Prescriptive Path'!H64/1000*1.12*(1/(Baseline!$U$56*Baseline!D56+Baseline!$V$56)-1/(Baseline!$U$56*Proposed!F56+Proposed!D56*Baseline!$V$56))*VLOOKUP('Prescriptive Path'!D4,ClimateZoneLookup!$A$4:$AS$65,9,FALSE)/3.413)</f>
        <v>0</v>
      </c>
      <c r="D45" s="76">
        <f>'Prescriptive Path'!H65/12000*((12/Baseline!E56)-(12/Proposed!G56))*VLOOKUP('Prescriptive Path'!D4,ClimateZoneLookup!$A$4:$AS$65,8,FALSE)</f>
        <v>0</v>
      </c>
      <c r="E45" s="77">
        <v>0</v>
      </c>
      <c r="F45" s="77">
        <v>0</v>
      </c>
      <c r="G45" s="78">
        <v>20</v>
      </c>
      <c r="H45" s="2225">
        <v>0</v>
      </c>
      <c r="I45" s="2225">
        <f>Proposed!V56*'Prescriptive Path'!H64</f>
        <v>0</v>
      </c>
      <c r="J45" s="1049">
        <f t="shared" si="17"/>
        <v>0</v>
      </c>
      <c r="K45" s="1289"/>
      <c r="L45" s="30" t="s">
        <v>455</v>
      </c>
      <c r="M45" s="30" t="s">
        <v>455</v>
      </c>
      <c r="N45" s="30" t="s">
        <v>455</v>
      </c>
      <c r="O45" s="30" t="s">
        <v>455</v>
      </c>
      <c r="P45" s="80">
        <f>'Prescriptive Path'!H65/12000*(12/Baseline!E56-12/Proposed!E56)*0.8</f>
        <v>0</v>
      </c>
      <c r="Q45" s="77">
        <v>0</v>
      </c>
      <c r="R45" s="81" t="e">
        <f>1.1*D45*HLOOKUP(G45,AvoidCostTable,'Avoided Costs'!$D$44)</f>
        <v>#REF!</v>
      </c>
      <c r="S45" s="81" t="e">
        <f>C45*HLOOKUP(G45,AvoidCostTable,'Avoided Costs'!$D$44)</f>
        <v>#REF!</v>
      </c>
      <c r="T45" s="81" t="e">
        <f>P45*HLOOKUP(G45,AvoidCostTable,'Avoided Costs'!$D$45)</f>
        <v>#REF!</v>
      </c>
      <c r="U45" s="81" t="e">
        <f>E45/10*HLOOKUP(G45,AvoidCostTable,'Avoided Costs'!$D$46)</f>
        <v>#REF!</v>
      </c>
      <c r="V45" s="81" t="e">
        <f>F45/10*HLOOKUP(G45,AvoidCostTable,'Avoided Costs'!$D$47)</f>
        <v>#REF!</v>
      </c>
      <c r="W45" s="132">
        <f>IF('Avoided Costs'!C94="Upstate",-PV('Avoided Costs'!$D$2,G45,Q45*0.003),-PV('Avoided Costs'!$D$2,G45,Q45*0.007))</f>
        <v>0</v>
      </c>
      <c r="X45" s="81">
        <f t="shared" si="29"/>
        <v>0</v>
      </c>
      <c r="Y45" s="81">
        <f t="shared" si="30"/>
        <v>0</v>
      </c>
      <c r="Z45" s="81">
        <f t="shared" si="6"/>
        <v>0</v>
      </c>
      <c r="AA45" s="132">
        <f>IF('Avoided Costs'!$C$44="Upstate",((C45+D45)*0.1936+(E45+F45)*1.486+Q45*0.003),((C45+D45)*0.1936+(E45+F45)*1.486+Q45*0.007))</f>
        <v>0</v>
      </c>
      <c r="AB45" s="1985">
        <f t="shared" si="7"/>
        <v>0</v>
      </c>
      <c r="AC45" s="81">
        <f t="shared" si="34"/>
        <v>0</v>
      </c>
      <c r="AD45" s="82" t="str">
        <f t="shared" si="35"/>
        <v/>
      </c>
      <c r="AE45" s="147" t="str">
        <f t="shared" si="8"/>
        <v/>
      </c>
      <c r="AF45" s="269" t="s">
        <v>448</v>
      </c>
      <c r="AH45" s="1976" t="str">
        <f t="shared" si="16"/>
        <v/>
      </c>
      <c r="AI45" s="102" t="str">
        <f t="shared" si="9"/>
        <v/>
      </c>
      <c r="AJ45" s="102" t="str">
        <f t="shared" si="10"/>
        <v/>
      </c>
      <c r="AK45" s="102" t="str">
        <f t="shared" si="11"/>
        <v/>
      </c>
      <c r="AL45" s="1981" t="str">
        <f>IF('Prescriptive Path'!$D$7="","",(IF(AH45="Yes",IF('Prescriptive Path'!$D$7="Market-Rate",IF(Savings!AJ45="Electricity","MPPMREINC","MPPMRGINC"),IF(Savings!AJ45="Electricity","MPPLIEINC","MPPLIGINC")),"")))</f>
        <v/>
      </c>
    </row>
    <row r="46" spans="1:38">
      <c r="A46" s="2553"/>
      <c r="B46" s="128" t="s">
        <v>2</v>
      </c>
      <c r="C46" s="395">
        <v>0</v>
      </c>
      <c r="D46" s="291">
        <f>'Prescriptive Path'!H66*(3.516/Baseline!F58-3.516/Proposed!G58)*VLOOKUP('Prescriptive Path'!$D$4,ClimateZoneLookup!$A$4:$AS$65,8,FALSE)</f>
        <v>0</v>
      </c>
      <c r="E46" s="374">
        <v>0</v>
      </c>
      <c r="F46" s="374">
        <v>0</v>
      </c>
      <c r="G46" s="374">
        <v>24</v>
      </c>
      <c r="H46" s="2227">
        <f>Baseline!Q58*'Prescriptive Path'!H66</f>
        <v>0</v>
      </c>
      <c r="I46" s="2227">
        <f>Proposed!V58*'Prescriptive Path'!H66</f>
        <v>0</v>
      </c>
      <c r="J46" s="1050">
        <f t="shared" si="17"/>
        <v>0</v>
      </c>
      <c r="K46" s="1290"/>
      <c r="L46" s="106" t="s">
        <v>455</v>
      </c>
      <c r="M46" s="106" t="s">
        <v>455</v>
      </c>
      <c r="N46" s="106" t="s">
        <v>455</v>
      </c>
      <c r="O46" s="106" t="s">
        <v>455</v>
      </c>
      <c r="P46" s="296">
        <f>'Prescriptive Path'!H66*(3.516/Baseline!E58-3.516/Proposed!F58)</f>
        <v>0</v>
      </c>
      <c r="Q46" s="230">
        <v>0</v>
      </c>
      <c r="R46" s="107" t="e">
        <f>1.1*D46*HLOOKUP(G46,AvoidCostTable,'Avoided Costs'!$D$44)</f>
        <v>#REF!</v>
      </c>
      <c r="S46" s="107" t="e">
        <f>C46*HLOOKUP(G46,AvoidCostTable,'Avoided Costs'!$D$44)</f>
        <v>#REF!</v>
      </c>
      <c r="T46" s="107" t="e">
        <f>P46*HLOOKUP(G46,AvoidCostTable,'Avoided Costs'!$D$45)</f>
        <v>#REF!</v>
      </c>
      <c r="U46" s="107" t="e">
        <f>E46/10*HLOOKUP(G46,AvoidCostTable,'Avoided Costs'!$D$46)</f>
        <v>#REF!</v>
      </c>
      <c r="V46" s="107" t="e">
        <f>F46/10*HLOOKUP(G46,AvoidCostTable,'Avoided Costs'!$D$47)</f>
        <v>#REF!</v>
      </c>
      <c r="W46" s="133">
        <f>IF('Avoided Costs'!C95="Upstate",-PV('Avoided Costs'!$D$2,G46,Q46*0.003),-PV('Avoided Costs'!$D$2,G46,Q46*0.007))</f>
        <v>0</v>
      </c>
      <c r="X46" s="107">
        <f t="shared" si="29"/>
        <v>0</v>
      </c>
      <c r="Y46" s="107">
        <f t="shared" si="30"/>
        <v>0</v>
      </c>
      <c r="Z46" s="107">
        <f t="shared" si="6"/>
        <v>0</v>
      </c>
      <c r="AA46" s="133">
        <f>IF('Avoided Costs'!$C$44="Upstate",((C46+D46)*0.1936+(E46+F46)*1.486+Q46*0.003),((C46+D46)*0.1936+(E46+F46)*1.486+Q46*0.007))</f>
        <v>0</v>
      </c>
      <c r="AB46" s="1986">
        <f t="shared" si="7"/>
        <v>0</v>
      </c>
      <c r="AC46" s="107">
        <f t="shared" si="34"/>
        <v>0</v>
      </c>
      <c r="AD46" s="108" t="str">
        <f t="shared" si="35"/>
        <v/>
      </c>
      <c r="AE46" s="159" t="str">
        <f t="shared" si="8"/>
        <v/>
      </c>
      <c r="AF46" s="269" t="s">
        <v>448</v>
      </c>
      <c r="AH46" s="1976" t="str">
        <f t="shared" si="16"/>
        <v/>
      </c>
      <c r="AI46" s="102" t="str">
        <f t="shared" si="9"/>
        <v/>
      </c>
      <c r="AJ46" s="102" t="str">
        <f t="shared" si="10"/>
        <v/>
      </c>
      <c r="AK46" s="102" t="str">
        <f t="shared" si="11"/>
        <v/>
      </c>
      <c r="AL46" s="1981" t="str">
        <f>IF('Prescriptive Path'!$D$7="","",(IF(AH46="Yes",IF('Prescriptive Path'!$D$7="Market-Rate",IF(Savings!AJ46="Electricity","MPPMREINC","MPPMRGINC"),IF(Savings!AJ46="Electricity","MPPLIEINC","MPPLIGINC")),"")))</f>
        <v/>
      </c>
    </row>
    <row r="47" spans="1:38">
      <c r="A47" s="2553"/>
      <c r="B47" s="394" t="s">
        <v>3</v>
      </c>
      <c r="C47" s="2211"/>
      <c r="D47" s="2212"/>
      <c r="E47" s="2183"/>
      <c r="F47" s="2183"/>
      <c r="G47" s="2183"/>
      <c r="H47" s="2183"/>
      <c r="I47" s="2183"/>
      <c r="J47" s="2213"/>
      <c r="K47" s="2214"/>
      <c r="L47" s="2215"/>
      <c r="M47" s="2215"/>
      <c r="N47" s="2215"/>
      <c r="O47" s="2215"/>
      <c r="P47" s="2216"/>
      <c r="Q47" s="2212"/>
      <c r="R47" s="2217"/>
      <c r="S47" s="2217"/>
      <c r="T47" s="2217"/>
      <c r="U47" s="2217"/>
      <c r="V47" s="2217"/>
      <c r="W47" s="2217"/>
      <c r="X47" s="2217"/>
      <c r="Y47" s="2217"/>
      <c r="Z47" s="2217"/>
      <c r="AA47" s="2217"/>
      <c r="AB47" s="2217"/>
      <c r="AC47" s="2217"/>
      <c r="AD47" s="2218"/>
      <c r="AE47" s="2219"/>
      <c r="AF47" s="2220"/>
      <c r="AH47" s="1977"/>
      <c r="AI47" s="103"/>
      <c r="AJ47" s="103"/>
      <c r="AK47" s="103"/>
      <c r="AL47" s="1304"/>
    </row>
    <row r="48" spans="1:38" ht="25.5">
      <c r="A48" s="2553"/>
      <c r="B48" s="128" t="s">
        <v>331</v>
      </c>
      <c r="C48" s="139"/>
      <c r="D48" s="229"/>
      <c r="E48" s="114"/>
      <c r="F48" s="114"/>
      <c r="G48" s="114"/>
      <c r="H48" s="114"/>
      <c r="I48" s="114"/>
      <c r="J48" s="2221"/>
      <c r="K48" s="1294"/>
      <c r="L48" s="2223"/>
      <c r="M48" s="2223"/>
      <c r="N48" s="2223"/>
      <c r="O48" s="2223"/>
      <c r="P48" s="116"/>
      <c r="Q48" s="229"/>
      <c r="R48" s="117"/>
      <c r="S48" s="117"/>
      <c r="T48" s="117"/>
      <c r="U48" s="117"/>
      <c r="V48" s="117"/>
      <c r="W48" s="117"/>
      <c r="X48" s="117"/>
      <c r="Y48" s="117"/>
      <c r="Z48" s="117"/>
      <c r="AA48" s="117"/>
      <c r="AB48" s="117"/>
      <c r="AC48" s="117"/>
      <c r="AD48" s="118"/>
      <c r="AE48" s="118"/>
      <c r="AF48" s="2222"/>
      <c r="AH48" s="1976" t="str">
        <f>IF(AE48="","",IF(J48&lt;0,"No",IF(OR(AE48&lt;0,AE48&gt;0.949),"Yes","No")))</f>
        <v/>
      </c>
      <c r="AI48" s="102">
        <f t="shared" si="9"/>
        <v>0</v>
      </c>
      <c r="AJ48" s="102" t="str">
        <f t="shared" si="10"/>
        <v/>
      </c>
      <c r="AK48" s="102">
        <f t="shared" si="11"/>
        <v>0</v>
      </c>
      <c r="AL48" s="1981" t="str">
        <f>IF('Prescriptive Path'!$D$7="","",(IF(AH48="Yes",IF('Prescriptive Path'!$D$7="Market-Rate",IF(Savings!AJ48="Electricity","MPPMREINC","MPPMRGINC"),IF(Savings!AJ48="Electricity","MPPLIEINC","MPPLIGINC")),"")))</f>
        <v/>
      </c>
    </row>
    <row r="49" spans="1:38" ht="25.5">
      <c r="A49" s="2553"/>
      <c r="B49" s="128" t="s">
        <v>332</v>
      </c>
      <c r="C49" s="139"/>
      <c r="D49" s="229"/>
      <c r="E49" s="114"/>
      <c r="F49" s="114"/>
      <c r="G49" s="114"/>
      <c r="H49" s="114"/>
      <c r="I49" s="114"/>
      <c r="J49" s="2221"/>
      <c r="K49" s="1294"/>
      <c r="L49" s="2223"/>
      <c r="M49" s="2223"/>
      <c r="N49" s="2223"/>
      <c r="O49" s="2223"/>
      <c r="P49" s="116"/>
      <c r="Q49" s="229"/>
      <c r="R49" s="117"/>
      <c r="S49" s="117"/>
      <c r="T49" s="117"/>
      <c r="U49" s="117"/>
      <c r="V49" s="117"/>
      <c r="W49" s="117"/>
      <c r="X49" s="117"/>
      <c r="Y49" s="117"/>
      <c r="Z49" s="117"/>
      <c r="AA49" s="117"/>
      <c r="AB49" s="117"/>
      <c r="AC49" s="117"/>
      <c r="AD49" s="118"/>
      <c r="AE49" s="118"/>
      <c r="AF49" s="2222"/>
      <c r="AH49" s="1976" t="str">
        <f>IF(AE49="","",IF(J49&lt;0,"No",IF(OR(AE49&lt;0,AE49&gt;0.949),"Yes","No")))</f>
        <v/>
      </c>
      <c r="AI49" s="102">
        <f t="shared" si="9"/>
        <v>0</v>
      </c>
      <c r="AJ49" s="102" t="str">
        <f t="shared" si="10"/>
        <v/>
      </c>
      <c r="AK49" s="102">
        <f t="shared" si="11"/>
        <v>0</v>
      </c>
      <c r="AL49" s="1981" t="str">
        <f>IF('Prescriptive Path'!$D$7="","",(IF(AH49="Yes",IF('Prescriptive Path'!$D$7="Market-Rate",IF(Savings!AJ49="Electricity","MPPMREINC","MPPMRGINC"),IF(Savings!AJ49="Electricity","MPPLIEINC","MPPLIGINC")),"")))</f>
        <v/>
      </c>
    </row>
    <row r="50" spans="1:38" ht="25.5">
      <c r="A50" s="2553"/>
      <c r="B50" s="128" t="s">
        <v>333</v>
      </c>
      <c r="C50" s="139"/>
      <c r="D50" s="229"/>
      <c r="E50" s="114"/>
      <c r="F50" s="114"/>
      <c r="G50" s="114"/>
      <c r="H50" s="114"/>
      <c r="I50" s="114"/>
      <c r="J50" s="2221"/>
      <c r="K50" s="1294"/>
      <c r="L50" s="2223"/>
      <c r="M50" s="2223"/>
      <c r="N50" s="2223"/>
      <c r="O50" s="2223"/>
      <c r="P50" s="116"/>
      <c r="Q50" s="229"/>
      <c r="R50" s="117"/>
      <c r="S50" s="117"/>
      <c r="T50" s="117"/>
      <c r="U50" s="117"/>
      <c r="V50" s="117"/>
      <c r="W50" s="117"/>
      <c r="X50" s="117"/>
      <c r="Y50" s="117"/>
      <c r="Z50" s="117"/>
      <c r="AA50" s="117"/>
      <c r="AB50" s="117"/>
      <c r="AC50" s="117"/>
      <c r="AD50" s="118"/>
      <c r="AE50" s="118"/>
      <c r="AF50" s="2222"/>
      <c r="AH50" s="1976" t="str">
        <f>IF(AE50="","",IF(J50&lt;0,"No",IF(OR(AE50&lt;0,AE50&gt;0.949),"Yes","No")))</f>
        <v/>
      </c>
      <c r="AI50" s="102">
        <f t="shared" si="9"/>
        <v>0</v>
      </c>
      <c r="AJ50" s="102" t="str">
        <f t="shared" si="10"/>
        <v/>
      </c>
      <c r="AK50" s="102">
        <f t="shared" si="11"/>
        <v>0</v>
      </c>
      <c r="AL50" s="1981" t="str">
        <f>IF('Prescriptive Path'!$D$7="","",(IF(AH50="Yes",IF('Prescriptive Path'!$D$7="Market-Rate",IF(Savings!AJ50="Electricity","MPPMREINC","MPPMRGINC"),IF(Savings!AJ50="Electricity","MPPLIEINC","MPPLIGINC")),"")))</f>
        <v/>
      </c>
    </row>
    <row r="51" spans="1:38" ht="25.5">
      <c r="A51" s="2553"/>
      <c r="B51" s="128" t="s">
        <v>334</v>
      </c>
      <c r="C51" s="139"/>
      <c r="D51" s="229"/>
      <c r="E51" s="114"/>
      <c r="F51" s="114"/>
      <c r="G51" s="114"/>
      <c r="H51" s="114"/>
      <c r="I51" s="114"/>
      <c r="J51" s="2221"/>
      <c r="K51" s="1294"/>
      <c r="L51" s="2223"/>
      <c r="M51" s="2223"/>
      <c r="N51" s="2223"/>
      <c r="O51" s="2223"/>
      <c r="P51" s="116"/>
      <c r="Q51" s="229"/>
      <c r="R51" s="117"/>
      <c r="S51" s="117"/>
      <c r="T51" s="117"/>
      <c r="U51" s="117"/>
      <c r="V51" s="117"/>
      <c r="W51" s="117"/>
      <c r="X51" s="117"/>
      <c r="Y51" s="117"/>
      <c r="Z51" s="117"/>
      <c r="AA51" s="117"/>
      <c r="AB51" s="117"/>
      <c r="AC51" s="117"/>
      <c r="AD51" s="118"/>
      <c r="AE51" s="118"/>
      <c r="AF51" s="2222"/>
      <c r="AH51" s="1976" t="str">
        <f>IF(AE51="","",IF(J51&lt;0,"No",IF(OR(AE51&lt;0,AE51&gt;0.949),"Yes","No")))</f>
        <v/>
      </c>
      <c r="AI51" s="102">
        <f t="shared" si="9"/>
        <v>0</v>
      </c>
      <c r="AJ51" s="102" t="str">
        <f t="shared" si="10"/>
        <v/>
      </c>
      <c r="AK51" s="102">
        <f t="shared" si="11"/>
        <v>0</v>
      </c>
      <c r="AL51" s="1981" t="str">
        <f>IF('Prescriptive Path'!$D$7="","",(IF(AH51="Yes",IF('Prescriptive Path'!$D$7="Market-Rate",IF(Savings!AJ51="Electricity","MPPMREINC","MPPMRGINC"),IF(Savings!AJ51="Electricity","MPPLIEINC","MPPLIGINC")),"")))</f>
        <v/>
      </c>
    </row>
    <row r="52" spans="1:38" ht="25.5">
      <c r="A52" s="2553"/>
      <c r="B52" s="128" t="s">
        <v>356</v>
      </c>
      <c r="C52" s="139"/>
      <c r="D52" s="229"/>
      <c r="E52" s="114"/>
      <c r="F52" s="114"/>
      <c r="G52" s="114"/>
      <c r="H52" s="114"/>
      <c r="I52" s="114"/>
      <c r="J52" s="2221"/>
      <c r="K52" s="1294"/>
      <c r="L52" s="2223"/>
      <c r="M52" s="2223"/>
      <c r="N52" s="2223"/>
      <c r="O52" s="2223"/>
      <c r="P52" s="116"/>
      <c r="Q52" s="229"/>
      <c r="R52" s="117"/>
      <c r="S52" s="117"/>
      <c r="T52" s="117"/>
      <c r="U52" s="117"/>
      <c r="V52" s="117"/>
      <c r="W52" s="117"/>
      <c r="X52" s="117"/>
      <c r="Y52" s="117"/>
      <c r="Z52" s="117"/>
      <c r="AA52" s="117"/>
      <c r="AB52" s="117"/>
      <c r="AC52" s="117"/>
      <c r="AD52" s="118"/>
      <c r="AE52" s="118"/>
      <c r="AF52" s="2222"/>
      <c r="AH52" s="1976" t="str">
        <f>IF(AE52="","",IF(J52&lt;0,"No",IF(OR(AE52&lt;0,AE52&gt;0.949),"Yes","No")))</f>
        <v/>
      </c>
      <c r="AI52" s="102">
        <f t="shared" si="9"/>
        <v>0</v>
      </c>
      <c r="AJ52" s="102" t="str">
        <f t="shared" si="10"/>
        <v/>
      </c>
      <c r="AK52" s="102">
        <f t="shared" si="11"/>
        <v>0</v>
      </c>
      <c r="AL52" s="1981" t="str">
        <f>IF('Prescriptive Path'!$D$7="","",(IF(AH52="Yes",IF('Prescriptive Path'!$D$7="Market-Rate",IF(Savings!AJ52="Electricity","MPPMREINC","MPPMRGINC"),IF(Savings!AJ52="Electricity","MPPLIEINC","MPPLIGINC")),"")))</f>
        <v/>
      </c>
    </row>
    <row r="53" spans="1:38" ht="25.5">
      <c r="A53" s="2553"/>
      <c r="B53" s="128" t="s">
        <v>357</v>
      </c>
      <c r="C53" s="139"/>
      <c r="D53" s="229"/>
      <c r="E53" s="114"/>
      <c r="F53" s="114"/>
      <c r="G53" s="114"/>
      <c r="H53" s="114"/>
      <c r="I53" s="114"/>
      <c r="J53" s="2221"/>
      <c r="K53" s="1294"/>
      <c r="L53" s="115"/>
      <c r="M53" s="115"/>
      <c r="N53" s="115"/>
      <c r="O53" s="115"/>
      <c r="P53" s="116"/>
      <c r="Q53" s="229"/>
      <c r="R53" s="117"/>
      <c r="S53" s="117"/>
      <c r="T53" s="117"/>
      <c r="U53" s="117"/>
      <c r="V53" s="117"/>
      <c r="W53" s="117"/>
      <c r="X53" s="117"/>
      <c r="Y53" s="117"/>
      <c r="Z53" s="117"/>
      <c r="AA53" s="117"/>
      <c r="AB53" s="117"/>
      <c r="AC53" s="117"/>
      <c r="AD53" s="118"/>
      <c r="AE53" s="156"/>
      <c r="AF53" s="2222"/>
      <c r="AH53" s="1978"/>
      <c r="AI53" s="104"/>
      <c r="AJ53" s="104"/>
      <c r="AK53" s="104"/>
      <c r="AL53" s="1305"/>
    </row>
    <row r="54" spans="1:38" ht="25.5">
      <c r="A54" s="2553"/>
      <c r="B54" s="128" t="s">
        <v>335</v>
      </c>
      <c r="C54" s="139"/>
      <c r="D54" s="229"/>
      <c r="E54" s="114"/>
      <c r="F54" s="114"/>
      <c r="G54" s="114"/>
      <c r="H54" s="114"/>
      <c r="I54" s="114"/>
      <c r="J54" s="2221"/>
      <c r="K54" s="1294"/>
      <c r="L54" s="115"/>
      <c r="M54" s="115"/>
      <c r="N54" s="115"/>
      <c r="O54" s="115"/>
      <c r="P54" s="116"/>
      <c r="Q54" s="229"/>
      <c r="R54" s="117"/>
      <c r="S54" s="117"/>
      <c r="T54" s="117"/>
      <c r="U54" s="117"/>
      <c r="V54" s="117"/>
      <c r="W54" s="117"/>
      <c r="X54" s="117"/>
      <c r="Y54" s="117"/>
      <c r="Z54" s="117"/>
      <c r="AA54" s="117"/>
      <c r="AB54" s="117"/>
      <c r="AC54" s="117"/>
      <c r="AD54" s="118"/>
      <c r="AE54" s="156"/>
      <c r="AF54" s="2222"/>
      <c r="AH54" s="1979"/>
      <c r="AI54" s="756"/>
      <c r="AJ54" s="1975"/>
      <c r="AK54" s="756"/>
      <c r="AL54" s="1306"/>
    </row>
    <row r="55" spans="1:38" ht="25.5">
      <c r="A55" s="2553"/>
      <c r="B55" s="128" t="s">
        <v>336</v>
      </c>
      <c r="C55" s="139"/>
      <c r="D55" s="229"/>
      <c r="E55" s="114"/>
      <c r="F55" s="114"/>
      <c r="G55" s="114"/>
      <c r="H55" s="114"/>
      <c r="I55" s="114"/>
      <c r="J55" s="2221"/>
      <c r="K55" s="1294"/>
      <c r="L55" s="115"/>
      <c r="M55" s="115"/>
      <c r="N55" s="115"/>
      <c r="O55" s="115"/>
      <c r="P55" s="116"/>
      <c r="Q55" s="229"/>
      <c r="R55" s="117"/>
      <c r="S55" s="117"/>
      <c r="T55" s="117"/>
      <c r="U55" s="117"/>
      <c r="V55" s="117"/>
      <c r="W55" s="117"/>
      <c r="X55" s="117"/>
      <c r="Y55" s="117"/>
      <c r="Z55" s="117"/>
      <c r="AA55" s="117"/>
      <c r="AB55" s="117"/>
      <c r="AC55" s="117"/>
      <c r="AD55" s="118"/>
      <c r="AE55" s="156"/>
      <c r="AF55" s="2222"/>
      <c r="AH55" s="1976" t="str">
        <f t="shared" ref="AH55" si="36">IF(AE55="","",IF(J55&lt;0,"No",IF(OR(AE55&lt;0,AE55&gt;0.949),"Yes","No")))</f>
        <v/>
      </c>
      <c r="AI55" s="102">
        <f t="shared" ref="AI55" si="37">IF(AE55=0,0,IF(AND(AH55="Yes",OR(AE55&lt;0,AE55&gt;0.949),Z55&gt;0)=TRUE,Z55,""))</f>
        <v>0</v>
      </c>
      <c r="AJ55" s="102" t="str">
        <f t="shared" ref="AJ55" si="38">IF(AE55="","",IF((C55+D55)*3412/1000000&gt;(E55+F55),"Electricity","Firm Gas"))</f>
        <v/>
      </c>
      <c r="AK55" s="102">
        <f t="shared" ref="AK55" si="39">IF(AE55=0,0,IF(AND(AH55="Yes",OR(AE55&lt;0,AE55&gt;0.949),Z55&gt;0)=TRUE,J55,""))</f>
        <v>0</v>
      </c>
      <c r="AL55" s="1981" t="str">
        <f>IF('Prescriptive Path'!$D$7="","",(IF(AH55="Yes",IF('Prescriptive Path'!$D$7="Market-Rate",IF(Savings!AJ55="Electricity","MPPMREINC","MPPMRGINC"),IF(Savings!AJ55="Electricity","MPPLIEINC","MPPLIGINC")),"")))</f>
        <v/>
      </c>
    </row>
    <row r="56" spans="1:38">
      <c r="A56" s="2553"/>
      <c r="B56" s="128" t="s">
        <v>337</v>
      </c>
      <c r="C56" s="139"/>
      <c r="D56" s="114"/>
      <c r="E56" s="114"/>
      <c r="F56" s="114"/>
      <c r="G56" s="114"/>
      <c r="H56" s="114"/>
      <c r="I56" s="114"/>
      <c r="J56" s="1052"/>
      <c r="K56" s="1294"/>
      <c r="L56" s="115"/>
      <c r="M56" s="115"/>
      <c r="N56" s="115"/>
      <c r="O56" s="115"/>
      <c r="P56" s="116"/>
      <c r="Q56" s="229"/>
      <c r="R56" s="117"/>
      <c r="S56" s="117"/>
      <c r="T56" s="117"/>
      <c r="U56" s="117"/>
      <c r="V56" s="117"/>
      <c r="W56" s="117"/>
      <c r="X56" s="117"/>
      <c r="Y56" s="117"/>
      <c r="Z56" s="117"/>
      <c r="AA56" s="117"/>
      <c r="AB56" s="117"/>
      <c r="AC56" s="117"/>
      <c r="AD56" s="118"/>
      <c r="AE56" s="156"/>
      <c r="AF56" s="2532"/>
      <c r="AH56" s="1978"/>
      <c r="AI56" s="104"/>
      <c r="AJ56" s="104"/>
      <c r="AK56" s="104"/>
      <c r="AL56" s="1305"/>
    </row>
    <row r="57" spans="1:38" ht="25.5">
      <c r="A57" s="2553"/>
      <c r="B57" s="128" t="s">
        <v>338</v>
      </c>
      <c r="C57" s="139"/>
      <c r="D57" s="114"/>
      <c r="E57" s="114"/>
      <c r="F57" s="114"/>
      <c r="G57" s="114"/>
      <c r="H57" s="114"/>
      <c r="I57" s="114"/>
      <c r="J57" s="1052"/>
      <c r="K57" s="1294"/>
      <c r="L57" s="115"/>
      <c r="M57" s="115"/>
      <c r="N57" s="115"/>
      <c r="O57" s="115"/>
      <c r="P57" s="116"/>
      <c r="Q57" s="229"/>
      <c r="R57" s="117"/>
      <c r="S57" s="117"/>
      <c r="T57" s="117"/>
      <c r="U57" s="117"/>
      <c r="V57" s="117"/>
      <c r="W57" s="117"/>
      <c r="X57" s="117"/>
      <c r="Y57" s="117"/>
      <c r="Z57" s="117"/>
      <c r="AA57" s="117"/>
      <c r="AB57" s="117"/>
      <c r="AC57" s="117"/>
      <c r="AD57" s="118"/>
      <c r="AE57" s="156"/>
      <c r="AF57" s="2533"/>
      <c r="AH57" s="1980"/>
      <c r="AI57" s="105"/>
      <c r="AJ57" s="105"/>
      <c r="AK57" s="105"/>
      <c r="AL57" s="1307"/>
    </row>
    <row r="58" spans="1:38" ht="25.5">
      <c r="A58" s="2553"/>
      <c r="B58" s="128" t="s">
        <v>339</v>
      </c>
      <c r="C58" s="139"/>
      <c r="D58" s="114"/>
      <c r="E58" s="114"/>
      <c r="F58" s="114"/>
      <c r="G58" s="114"/>
      <c r="H58" s="114"/>
      <c r="I58" s="114"/>
      <c r="J58" s="1052"/>
      <c r="K58" s="1294"/>
      <c r="L58" s="115"/>
      <c r="M58" s="115"/>
      <c r="N58" s="115"/>
      <c r="O58" s="115"/>
      <c r="P58" s="116"/>
      <c r="Q58" s="229"/>
      <c r="R58" s="117"/>
      <c r="S58" s="117"/>
      <c r="T58" s="117"/>
      <c r="U58" s="117"/>
      <c r="V58" s="117"/>
      <c r="W58" s="117"/>
      <c r="X58" s="117"/>
      <c r="Y58" s="117"/>
      <c r="Z58" s="117"/>
      <c r="AA58" s="117"/>
      <c r="AB58" s="117"/>
      <c r="AC58" s="117"/>
      <c r="AD58" s="118"/>
      <c r="AE58" s="156"/>
      <c r="AF58" s="2533"/>
      <c r="AH58" s="1980"/>
      <c r="AI58" s="105"/>
      <c r="AJ58" s="105"/>
      <c r="AK58" s="105"/>
      <c r="AL58" s="1307"/>
    </row>
    <row r="59" spans="1:38" ht="25.5">
      <c r="A59" s="2553"/>
      <c r="B59" s="128" t="s">
        <v>340</v>
      </c>
      <c r="C59" s="385"/>
      <c r="D59" s="386"/>
      <c r="E59" s="386"/>
      <c r="F59" s="386"/>
      <c r="G59" s="386"/>
      <c r="H59" s="2184"/>
      <c r="I59" s="2184"/>
      <c r="J59" s="1053"/>
      <c r="K59" s="1293"/>
      <c r="L59" s="387"/>
      <c r="M59" s="387"/>
      <c r="N59" s="387"/>
      <c r="O59" s="387"/>
      <c r="P59" s="116"/>
      <c r="Q59" s="388"/>
      <c r="R59" s="389"/>
      <c r="S59" s="389"/>
      <c r="T59" s="389"/>
      <c r="U59" s="389"/>
      <c r="V59" s="389"/>
      <c r="W59" s="389"/>
      <c r="X59" s="389"/>
      <c r="Y59" s="389"/>
      <c r="Z59" s="389"/>
      <c r="AA59" s="389"/>
      <c r="AB59" s="1982"/>
      <c r="AC59" s="389"/>
      <c r="AD59" s="390"/>
      <c r="AE59" s="391"/>
      <c r="AF59" s="2533"/>
      <c r="AH59" s="1979"/>
      <c r="AI59" s="756"/>
      <c r="AJ59" s="1975"/>
      <c r="AK59" s="756"/>
      <c r="AL59" s="1306"/>
    </row>
    <row r="60" spans="1:38" ht="25.5">
      <c r="A60" s="2553"/>
      <c r="B60" s="128" t="s">
        <v>341</v>
      </c>
      <c r="C60" s="165">
        <f>'Prescriptive Path'!H80*VLOOKUP('Prescriptive Path'!$D$4,ClimateZoneLookup!$A$4:$AS$65,16,FALSE)</f>
        <v>0</v>
      </c>
      <c r="D60" s="109">
        <v>0</v>
      </c>
      <c r="E60" s="109">
        <v>0</v>
      </c>
      <c r="F60" s="109">
        <v>0</v>
      </c>
      <c r="G60" s="110">
        <v>24</v>
      </c>
      <c r="H60" s="2225">
        <f>Baseline!Q72*'Prescriptive Path'!H80</f>
        <v>0</v>
      </c>
      <c r="I60" s="2225">
        <f>Proposed!V72*'Prescriptive Path'!H80</f>
        <v>0</v>
      </c>
      <c r="J60" s="1054">
        <f>I60-H60</f>
        <v>0</v>
      </c>
      <c r="K60" s="1292"/>
      <c r="L60" s="111">
        <v>0</v>
      </c>
      <c r="M60" s="111">
        <v>1.8500000000000001E-3</v>
      </c>
      <c r="N60" s="111">
        <v>0</v>
      </c>
      <c r="O60" s="111">
        <v>1.1299999999999999E-3</v>
      </c>
      <c r="P60" s="80">
        <f>IF('Prescriptive Path'!$K$1=4,C60*N60+D60*O60,C60*L60+D60*M60)</f>
        <v>0</v>
      </c>
      <c r="Q60" s="231">
        <v>0</v>
      </c>
      <c r="R60" s="112" t="e">
        <f>1.1*D60*HLOOKUP(G60,AvoidCostTable,'Avoided Costs'!$D$44)</f>
        <v>#REF!</v>
      </c>
      <c r="S60" s="112" t="e">
        <f>C60*HLOOKUP(G60,AvoidCostTable,'Avoided Costs'!$D$44)</f>
        <v>#REF!</v>
      </c>
      <c r="T60" s="112" t="e">
        <f>P60*HLOOKUP(G60,AvoidCostTable,'Avoided Costs'!$D$45)</f>
        <v>#REF!</v>
      </c>
      <c r="U60" s="112" t="e">
        <f>E60/10*HLOOKUP(G60,AvoidCostTable,'Avoided Costs'!$D$46)</f>
        <v>#REF!</v>
      </c>
      <c r="V60" s="112" t="e">
        <f>F60/10*HLOOKUP(G60,AvoidCostTable,'Avoided Costs'!$D$47)</f>
        <v>#REF!</v>
      </c>
      <c r="W60" s="112">
        <f>IF('Avoided Costs'!C109="Upstate",-PV('Avoided Costs'!$D$2,G60,Q60*0.003),-PV('Avoided Costs'!$D$2,G60,Q60*0.007))</f>
        <v>0</v>
      </c>
      <c r="X60" s="112">
        <f t="shared" ref="X60:X78" si="40">(D60+C60)*HLOOKUP(G60,AvoidCostTable,12,FALSE)</f>
        <v>0</v>
      </c>
      <c r="Y60" s="112">
        <f t="shared" ref="Y60:Y78" si="41">(F60+E60)/10*HLOOKUP(G60,AvoidCostTable,13)</f>
        <v>0</v>
      </c>
      <c r="Z60" s="112">
        <f t="shared" ref="Z60:Z78" si="42">IF(J60=0,0,SUM(R60:Y60)-W60)</f>
        <v>0</v>
      </c>
      <c r="AA60" s="164">
        <f>IF('Avoided Costs'!$C$44="Upstate",((C60+D60)*0.1936+(E60+F60)*1.486+Q60*0.003),((C60+D60)*0.1936+(E60+F60)*1.486+Q60*0.007))</f>
        <v>0</v>
      </c>
      <c r="AB60" s="1986">
        <f t="shared" ref="AB60:AB63" si="43">(F60+E60)/10+(C60+D60)*3412/1000000</f>
        <v>0</v>
      </c>
      <c r="AC60" s="112">
        <f>IF(AA60=0,0,G60*AA60)</f>
        <v>0</v>
      </c>
      <c r="AD60" s="113" t="str">
        <f>IF(AA60=0,"",IF(AA60&gt;0,-PV(3%,G60,AA60)/J60,0))</f>
        <v/>
      </c>
      <c r="AE60" s="157" t="str">
        <f t="shared" ref="AE60:AE78" si="44">IF(J60=0,"",Z60/(J60-W60))</f>
        <v/>
      </c>
      <c r="AF60" s="269" t="s">
        <v>448</v>
      </c>
      <c r="AH60" s="1976" t="str">
        <f t="shared" ref="AH60:AH63" si="45">IF(AE60="","",IF(J60&lt;0,"No",IF(OR(AE60&lt;0,AE60&gt;0.949),"Yes","No")))</f>
        <v/>
      </c>
      <c r="AI60" s="102" t="str">
        <f t="shared" ref="AI60:AI63" si="46">IF(AE60=0,0,IF(AND(AH60="Yes",OR(AE60&lt;0,AE60&gt;0.949),Z60&gt;0)=TRUE,Z60,""))</f>
        <v/>
      </c>
      <c r="AJ60" s="102" t="str">
        <f t="shared" ref="AJ60:AJ63" si="47">IF(AE60="","",IF((C60+D60)*3412/1000000&gt;(E60+F60),"Electricity","Firm Gas"))</f>
        <v/>
      </c>
      <c r="AK60" s="102" t="str">
        <f t="shared" ref="AK60:AK63" si="48">IF(AE60=0,0,IF(AND(AH60="Yes",OR(AE60&lt;0,AE60&gt;0.949),Z60&gt;0)=TRUE,J60,""))</f>
        <v/>
      </c>
      <c r="AL60" s="1981" t="str">
        <f>IF('Prescriptive Path'!$D$7="","",(IF(AH60="Yes",IF('Prescriptive Path'!$D$7="Market-Rate",IF(Savings!AJ60="Electricity","MPPMREINC","MPPMRGINC"),IF(Savings!AJ60="Electricity","MPPLIEINC","MPPLIGINC")),"")))</f>
        <v/>
      </c>
    </row>
    <row r="61" spans="1:38" ht="25.5">
      <c r="A61" s="2553"/>
      <c r="B61" s="128" t="s">
        <v>342</v>
      </c>
      <c r="C61" s="121">
        <f>'Prescriptive Path'!H81*VLOOKUP('Prescriptive Path'!$D$4,ClimateZoneLookup!$A$4:$AS$65,16,FALSE)</f>
        <v>0</v>
      </c>
      <c r="D61" s="100">
        <v>0</v>
      </c>
      <c r="E61" s="100">
        <v>0</v>
      </c>
      <c r="F61" s="100">
        <v>0</v>
      </c>
      <c r="G61" s="95">
        <v>24</v>
      </c>
      <c r="H61" s="2225">
        <f>Baseline!Q73*'Prescriptive Path'!H81</f>
        <v>0</v>
      </c>
      <c r="I61" s="2225">
        <f>Proposed!V73*'Prescriptive Path'!H81</f>
        <v>0</v>
      </c>
      <c r="J61" s="1050">
        <f t="shared" ref="J61:J63" si="49">I61-H61</f>
        <v>0</v>
      </c>
      <c r="K61" s="1290"/>
      <c r="L61" s="111">
        <v>0</v>
      </c>
      <c r="M61" s="111">
        <v>1.8500000000000001E-3</v>
      </c>
      <c r="N61" s="111">
        <v>0</v>
      </c>
      <c r="O61" s="111">
        <v>1.1299999999999999E-3</v>
      </c>
      <c r="P61" s="80">
        <f>IF('Prescriptive Path'!$K$1=4,C61*N61+D61*O61,C61*L61+D61*M61)</f>
        <v>0</v>
      </c>
      <c r="Q61" s="232">
        <v>0</v>
      </c>
      <c r="R61" s="96" t="e">
        <f>1.1*D61*HLOOKUP(G61,AvoidCostTable,'Avoided Costs'!$D$44)</f>
        <v>#REF!</v>
      </c>
      <c r="S61" s="96" t="e">
        <f>C61*HLOOKUP(G61,AvoidCostTable,'Avoided Costs'!$D$44)</f>
        <v>#REF!</v>
      </c>
      <c r="T61" s="96" t="e">
        <f>P61*HLOOKUP(G61,AvoidCostTable,'Avoided Costs'!$D$45)</f>
        <v>#REF!</v>
      </c>
      <c r="U61" s="96" t="e">
        <f>E61/10*HLOOKUP(G61,AvoidCostTable,'Avoided Costs'!$D$46)</f>
        <v>#REF!</v>
      </c>
      <c r="V61" s="96" t="e">
        <f>F61/10*HLOOKUP(G61,AvoidCostTable,'Avoided Costs'!$D$47)</f>
        <v>#REF!</v>
      </c>
      <c r="W61" s="96">
        <f>IF('Avoided Costs'!C110="Upstate",-PV('Avoided Costs'!$D$2,G61,Q61*0.003),-PV('Avoided Costs'!$D$2,G61,Q61*0.007))</f>
        <v>0</v>
      </c>
      <c r="X61" s="96">
        <f t="shared" si="40"/>
        <v>0</v>
      </c>
      <c r="Y61" s="96">
        <f t="shared" si="41"/>
        <v>0</v>
      </c>
      <c r="Z61" s="96">
        <f t="shared" si="42"/>
        <v>0</v>
      </c>
      <c r="AA61" s="132">
        <f>IF('Avoided Costs'!$C$44="Upstate",((C61+D61)*0.1936+(E61+F61)*1.486+Q61*0.003),((C61+D61)*0.1936+(E61+F61)*1.486+Q61*0.007))</f>
        <v>0</v>
      </c>
      <c r="AB61" s="1986">
        <f t="shared" si="43"/>
        <v>0</v>
      </c>
      <c r="AC61" s="96">
        <f>IF(AA61=0,0,G61*AA61)</f>
        <v>0</v>
      </c>
      <c r="AD61" s="97" t="str">
        <f>IF(AA61=0,"",IF(AA61&gt;0,-PV(3%,G61,AA61)/J61,0))</f>
        <v/>
      </c>
      <c r="AE61" s="158" t="str">
        <f t="shared" si="44"/>
        <v/>
      </c>
      <c r="AF61" s="269" t="s">
        <v>448</v>
      </c>
      <c r="AH61" s="1976" t="str">
        <f t="shared" si="45"/>
        <v/>
      </c>
      <c r="AI61" s="102" t="str">
        <f t="shared" si="46"/>
        <v/>
      </c>
      <c r="AJ61" s="102" t="str">
        <f t="shared" si="47"/>
        <v/>
      </c>
      <c r="AK61" s="102" t="str">
        <f t="shared" si="48"/>
        <v/>
      </c>
      <c r="AL61" s="1981" t="str">
        <f>IF('Prescriptive Path'!$D$7="","",(IF(AH61="Yes",IF('Prescriptive Path'!$D$7="Market-Rate",IF(Savings!AJ61="Electricity","MPPMREINC","MPPMRGINC"),IF(Savings!AJ61="Electricity","MPPLIEINC","MPPLIGINC")),"")))</f>
        <v/>
      </c>
    </row>
    <row r="62" spans="1:38">
      <c r="A62" s="2553"/>
      <c r="B62" s="128" t="s">
        <v>343</v>
      </c>
      <c r="C62" s="121">
        <f>'Prescriptive Path'!H82*VLOOKUP('Prescriptive Path'!$D$4,ClimateZoneLookup!$A$4:$AS$65,16,FALSE)</f>
        <v>0</v>
      </c>
      <c r="D62" s="100">
        <v>0</v>
      </c>
      <c r="E62" s="100">
        <v>0</v>
      </c>
      <c r="F62" s="100">
        <v>0</v>
      </c>
      <c r="G62" s="95">
        <v>24</v>
      </c>
      <c r="H62" s="2225">
        <f>Baseline!Q74*'Prescriptive Path'!H82</f>
        <v>0</v>
      </c>
      <c r="I62" s="2225">
        <f>Proposed!V74*'Prescriptive Path'!H82</f>
        <v>0</v>
      </c>
      <c r="J62" s="1050">
        <f t="shared" si="49"/>
        <v>0</v>
      </c>
      <c r="K62" s="1290"/>
      <c r="L62" s="111">
        <v>0</v>
      </c>
      <c r="M62" s="111">
        <v>1.8500000000000001E-3</v>
      </c>
      <c r="N62" s="111">
        <v>0</v>
      </c>
      <c r="O62" s="111">
        <v>1.1299999999999999E-3</v>
      </c>
      <c r="P62" s="80">
        <f>IF('Prescriptive Path'!$K$1=4,C62*N62+D62*O62,C62*L62+D62*M62)</f>
        <v>0</v>
      </c>
      <c r="Q62" s="232">
        <v>0</v>
      </c>
      <c r="R62" s="96" t="e">
        <f>1.1*D62*HLOOKUP(G62,AvoidCostTable,'Avoided Costs'!$D$44)</f>
        <v>#REF!</v>
      </c>
      <c r="S62" s="96" t="e">
        <f>C62*HLOOKUP(G62,AvoidCostTable,'Avoided Costs'!$D$44)</f>
        <v>#REF!</v>
      </c>
      <c r="T62" s="96" t="e">
        <f>P62*HLOOKUP(G62,AvoidCostTable,'Avoided Costs'!$D$45)</f>
        <v>#REF!</v>
      </c>
      <c r="U62" s="96" t="e">
        <f>E62/10*HLOOKUP(G62,AvoidCostTable,'Avoided Costs'!$D$46)</f>
        <v>#REF!</v>
      </c>
      <c r="V62" s="96" t="e">
        <f>F62/10*HLOOKUP(G62,AvoidCostTable,'Avoided Costs'!$D$47)</f>
        <v>#REF!</v>
      </c>
      <c r="W62" s="96">
        <f>IF('Avoided Costs'!C111="Upstate",-PV('Avoided Costs'!$D$2,G62,Q62*0.003),-PV('Avoided Costs'!$D$2,G62,Q62*0.007))</f>
        <v>0</v>
      </c>
      <c r="X62" s="96">
        <f t="shared" si="40"/>
        <v>0</v>
      </c>
      <c r="Y62" s="96">
        <f t="shared" si="41"/>
        <v>0</v>
      </c>
      <c r="Z62" s="96">
        <f t="shared" si="42"/>
        <v>0</v>
      </c>
      <c r="AA62" s="132">
        <f>IF('Avoided Costs'!$C$44="Upstate",((C62+D62)*0.1936+(E62+F62)*1.486+Q62*0.003),((C62+D62)*0.1936+(E62+F62)*1.486+Q62*0.007))</f>
        <v>0</v>
      </c>
      <c r="AB62" s="1986">
        <f t="shared" si="43"/>
        <v>0</v>
      </c>
      <c r="AC62" s="96">
        <f>IF(AA62=0,0,G62*AA62)</f>
        <v>0</v>
      </c>
      <c r="AD62" s="97" t="str">
        <f>IF(AA62=0,"",IF(AA62&gt;0,-PV(3%,G62,AA62)/J62,0))</f>
        <v/>
      </c>
      <c r="AE62" s="158" t="str">
        <f t="shared" si="44"/>
        <v/>
      </c>
      <c r="AF62" s="269" t="s">
        <v>448</v>
      </c>
      <c r="AH62" s="1976" t="str">
        <f t="shared" si="45"/>
        <v/>
      </c>
      <c r="AI62" s="102" t="str">
        <f t="shared" si="46"/>
        <v/>
      </c>
      <c r="AJ62" s="102" t="str">
        <f t="shared" si="47"/>
        <v/>
      </c>
      <c r="AK62" s="102" t="str">
        <f t="shared" si="48"/>
        <v/>
      </c>
      <c r="AL62" s="1981" t="str">
        <f>IF('Prescriptive Path'!$D$7="","",(IF(AH62="Yes",IF('Prescriptive Path'!$D$7="Market-Rate",IF(Savings!AJ62="Electricity","MPPMREINC","MPPMRGINC"),IF(Savings!AJ62="Electricity","MPPLIEINC","MPPLIGINC")),"")))</f>
        <v/>
      </c>
    </row>
    <row r="63" spans="1:38" ht="15.75" thickBot="1">
      <c r="A63" s="2554"/>
      <c r="B63" s="129" t="s">
        <v>344</v>
      </c>
      <c r="C63" s="162">
        <f>'Prescriptive Path'!H83*VLOOKUP('Prescriptive Path'!$D$4,ClimateZoneLookup!$A$4:$AS$65,16,FALSE)</f>
        <v>0</v>
      </c>
      <c r="D63" s="100">
        <v>0</v>
      </c>
      <c r="E63" s="100">
        <v>0</v>
      </c>
      <c r="F63" s="100">
        <v>0</v>
      </c>
      <c r="G63" s="100">
        <v>24</v>
      </c>
      <c r="H63" s="2228">
        <f>Baseline!Q75*'Prescriptive Path'!H83</f>
        <v>0</v>
      </c>
      <c r="I63" s="2228">
        <f>Proposed!V75*'Prescriptive Path'!H83</f>
        <v>0</v>
      </c>
      <c r="J63" s="1050">
        <f t="shared" si="49"/>
        <v>0</v>
      </c>
      <c r="K63" s="1290"/>
      <c r="L63" s="111">
        <v>0</v>
      </c>
      <c r="M63" s="111">
        <v>1.8500000000000001E-3</v>
      </c>
      <c r="N63" s="111">
        <v>0</v>
      </c>
      <c r="O63" s="111">
        <v>1.1299999999999999E-3</v>
      </c>
      <c r="P63" s="294">
        <f>IF('Prescriptive Path'!$K$1=4,C63*N63+D63*O63,C63*L63+D63*M63)</f>
        <v>0</v>
      </c>
      <c r="Q63" s="230">
        <v>0</v>
      </c>
      <c r="R63" s="107" t="e">
        <f>1.1*D63*HLOOKUP(G63,AvoidCostTable,'Avoided Costs'!$D$44)</f>
        <v>#REF!</v>
      </c>
      <c r="S63" s="107" t="e">
        <f>C63*HLOOKUP(G63,AvoidCostTable,'Avoided Costs'!$D$44)</f>
        <v>#REF!</v>
      </c>
      <c r="T63" s="107" t="e">
        <f>P63*HLOOKUP(G63,AvoidCostTable,'Avoided Costs'!$D$45)</f>
        <v>#REF!</v>
      </c>
      <c r="U63" s="107" t="e">
        <f>E63/10*HLOOKUP(G63,AvoidCostTable,'Avoided Costs'!$D$46)</f>
        <v>#REF!</v>
      </c>
      <c r="V63" s="107" t="e">
        <f>F63/10*HLOOKUP(G63,AvoidCostTable,'Avoided Costs'!$D$47)</f>
        <v>#REF!</v>
      </c>
      <c r="W63" s="107">
        <f>IF('Avoided Costs'!C112="Upstate",-PV('Avoided Costs'!$D$2,G63,Q63*0.003),-PV('Avoided Costs'!$D$2,G63,Q63*0.007))</f>
        <v>0</v>
      </c>
      <c r="X63" s="107">
        <f t="shared" si="40"/>
        <v>0</v>
      </c>
      <c r="Y63" s="107">
        <f t="shared" si="41"/>
        <v>0</v>
      </c>
      <c r="Z63" s="107">
        <f t="shared" si="42"/>
        <v>0</v>
      </c>
      <c r="AA63" s="136">
        <f>IF('Avoided Costs'!$C$44="Upstate",((C63+D63)*0.1936+(E63+F63)*1.486+Q63*0.003),((C63+D63)*0.1936+(E63+F63)*1.486+Q63*0.007))</f>
        <v>0</v>
      </c>
      <c r="AB63" s="1986">
        <f t="shared" si="43"/>
        <v>0</v>
      </c>
      <c r="AC63" s="107">
        <f>IF(AA63=0,0,G63*AA63)</f>
        <v>0</v>
      </c>
      <c r="AD63" s="108" t="str">
        <f>IF(AA63=0,"",IF(AA63&gt;0,-PV(3%,G63,AA63)/J63,0))</f>
        <v/>
      </c>
      <c r="AE63" s="159" t="str">
        <f t="shared" si="44"/>
        <v/>
      </c>
      <c r="AF63" s="223" t="s">
        <v>448</v>
      </c>
      <c r="AH63" s="1976" t="str">
        <f t="shared" si="45"/>
        <v/>
      </c>
      <c r="AI63" s="102" t="str">
        <f t="shared" si="46"/>
        <v/>
      </c>
      <c r="AJ63" s="102" t="str">
        <f t="shared" si="47"/>
        <v/>
      </c>
      <c r="AK63" s="102" t="str">
        <f t="shared" si="48"/>
        <v/>
      </c>
      <c r="AL63" s="1981" t="str">
        <f>IF('Prescriptive Path'!$D$7="","",(IF(AH63="Yes",IF('Prescriptive Path'!$D$7="Market-Rate",IF(Savings!AJ63="Electricity","MPPMREINC","MPPMRGINC"),IF(Savings!AJ63="Electricity","MPPLIEINC","MPPLIGINC")),"")))</f>
        <v/>
      </c>
    </row>
    <row r="64" spans="1:38">
      <c r="A64" s="2555" t="s">
        <v>39</v>
      </c>
      <c r="B64" s="160" t="s">
        <v>201</v>
      </c>
      <c r="C64" s="740"/>
      <c r="D64" s="741"/>
      <c r="E64" s="741"/>
      <c r="F64" s="741"/>
      <c r="G64" s="741"/>
      <c r="H64" s="744"/>
      <c r="I64" s="744"/>
      <c r="J64" s="1055"/>
      <c r="K64" s="1295"/>
      <c r="L64" s="741"/>
      <c r="M64" s="741"/>
      <c r="N64" s="741"/>
      <c r="O64" s="741"/>
      <c r="P64" s="741"/>
      <c r="Q64" s="741"/>
      <c r="R64" s="741"/>
      <c r="S64" s="741"/>
      <c r="T64" s="741"/>
      <c r="U64" s="741"/>
      <c r="V64" s="741"/>
      <c r="W64" s="741"/>
      <c r="X64" s="741"/>
      <c r="Y64" s="741"/>
      <c r="Z64" s="741"/>
      <c r="AA64" s="741"/>
      <c r="AB64" s="741"/>
      <c r="AC64" s="741"/>
      <c r="AD64" s="741"/>
      <c r="AE64" s="742"/>
      <c r="AF64" s="2534"/>
      <c r="AH64" s="1980"/>
      <c r="AI64" s="105"/>
      <c r="AJ64" s="105"/>
      <c r="AK64" s="105"/>
      <c r="AL64" s="1307"/>
    </row>
    <row r="65" spans="1:38" ht="15" customHeight="1">
      <c r="A65" s="2553"/>
      <c r="B65" s="17" t="s">
        <v>200</v>
      </c>
      <c r="C65" s="743"/>
      <c r="D65" s="744"/>
      <c r="E65" s="744"/>
      <c r="F65" s="744"/>
      <c r="G65" s="744"/>
      <c r="H65" s="744"/>
      <c r="I65" s="744"/>
      <c r="J65" s="1056"/>
      <c r="K65" s="1296"/>
      <c r="L65" s="744"/>
      <c r="M65" s="744"/>
      <c r="N65" s="744"/>
      <c r="O65" s="744"/>
      <c r="P65" s="744"/>
      <c r="Q65" s="744"/>
      <c r="R65" s="744"/>
      <c r="S65" s="744"/>
      <c r="T65" s="744"/>
      <c r="U65" s="744"/>
      <c r="V65" s="744"/>
      <c r="W65" s="744"/>
      <c r="X65" s="744"/>
      <c r="Y65" s="744"/>
      <c r="Z65" s="744"/>
      <c r="AA65" s="744"/>
      <c r="AB65" s="744"/>
      <c r="AC65" s="744"/>
      <c r="AD65" s="744"/>
      <c r="AE65" s="745"/>
      <c r="AF65" s="2535"/>
      <c r="AH65" s="1980"/>
      <c r="AI65" s="105"/>
      <c r="AJ65" s="105"/>
      <c r="AK65" s="105"/>
      <c r="AL65" s="1307"/>
    </row>
    <row r="66" spans="1:38">
      <c r="A66" s="2553"/>
      <c r="B66" s="17" t="s">
        <v>431</v>
      </c>
      <c r="C66" s="743"/>
      <c r="D66" s="744"/>
      <c r="E66" s="744"/>
      <c r="F66" s="744"/>
      <c r="G66" s="744"/>
      <c r="H66" s="744"/>
      <c r="I66" s="744"/>
      <c r="J66" s="1056"/>
      <c r="K66" s="1296"/>
      <c r="L66" s="744"/>
      <c r="M66" s="744"/>
      <c r="N66" s="744"/>
      <c r="O66" s="744"/>
      <c r="P66" s="744"/>
      <c r="Q66" s="744"/>
      <c r="R66" s="744"/>
      <c r="S66" s="744"/>
      <c r="T66" s="744"/>
      <c r="U66" s="744"/>
      <c r="V66" s="744"/>
      <c r="W66" s="744"/>
      <c r="X66" s="744"/>
      <c r="Y66" s="744"/>
      <c r="Z66" s="744"/>
      <c r="AA66" s="744"/>
      <c r="AB66" s="744"/>
      <c r="AC66" s="744"/>
      <c r="AD66" s="744"/>
      <c r="AE66" s="745"/>
      <c r="AF66" s="2535"/>
      <c r="AH66" s="1980"/>
      <c r="AI66" s="105"/>
      <c r="AJ66" s="105"/>
      <c r="AK66" s="105"/>
      <c r="AL66" s="1307"/>
    </row>
    <row r="67" spans="1:38">
      <c r="A67" s="2553"/>
      <c r="B67" s="233" t="s">
        <v>202</v>
      </c>
      <c r="C67" s="746"/>
      <c r="D67" s="747"/>
      <c r="E67" s="747"/>
      <c r="F67" s="747"/>
      <c r="G67" s="747"/>
      <c r="H67" s="1983"/>
      <c r="I67" s="1983"/>
      <c r="J67" s="1057"/>
      <c r="K67" s="1297"/>
      <c r="L67" s="747"/>
      <c r="M67" s="747"/>
      <c r="N67" s="747"/>
      <c r="O67" s="747"/>
      <c r="P67" s="747"/>
      <c r="Q67" s="747"/>
      <c r="R67" s="747"/>
      <c r="S67" s="747"/>
      <c r="T67" s="747"/>
      <c r="U67" s="747"/>
      <c r="V67" s="747"/>
      <c r="W67" s="747"/>
      <c r="X67" s="747"/>
      <c r="Y67" s="747"/>
      <c r="Z67" s="747"/>
      <c r="AA67" s="747"/>
      <c r="AB67" s="1983"/>
      <c r="AC67" s="747"/>
      <c r="AD67" s="747"/>
      <c r="AE67" s="748"/>
      <c r="AF67" s="2536"/>
      <c r="AH67" s="1979"/>
      <c r="AI67" s="756"/>
      <c r="AJ67" s="1975"/>
      <c r="AK67" s="756"/>
      <c r="AL67" s="1306"/>
    </row>
    <row r="68" spans="1:38" ht="15.75" thickBot="1">
      <c r="A68" s="2554"/>
      <c r="B68" s="161" t="s">
        <v>38</v>
      </c>
      <c r="C68" s="297">
        <f>(0.6*'Prescriptive Path'!H84)/1000*(8760-(8760*0.65))*(1+VLOOKUP('Prescriptive Path'!$D$4,ClimateZoneLookup!$A$2:$AS$65,13,FALSE))+(0.5*'Prescriptive Path'!H85)/1000*(8760-(8760*0.75))*(1+VLOOKUP('Prescriptive Path'!$D$4,ClimateZoneLookup!$A$2:$AS$65,13,FALSE))+(1.3*'Prescriptive Path'!H86)/1000*(8760-(8760*0.9))*(1+VLOOKUP('Prescriptive Path'!$D$4,ClimateZoneLookup!$A$2:$AS$65,13,FALSE))</f>
        <v>0</v>
      </c>
      <c r="D68" s="166">
        <v>0</v>
      </c>
      <c r="E68" s="300">
        <f>C68*VLOOKUP('Prescriptive Path'!$D$4,ClimateZoneLookup!$A$4:$AS$65,14,FALSE)</f>
        <v>0</v>
      </c>
      <c r="F68" s="168">
        <v>0</v>
      </c>
      <c r="G68" s="168">
        <v>10</v>
      </c>
      <c r="H68" s="2207">
        <f>Baseline!Q86*'Prescriptive Path'!H88</f>
        <v>0</v>
      </c>
      <c r="I68" s="2207">
        <f>Proposed!V86*'Prescriptive Path'!H88</f>
        <v>0</v>
      </c>
      <c r="J68" s="1058">
        <f>I68-H68</f>
        <v>0</v>
      </c>
      <c r="K68" s="1298"/>
      <c r="L68" s="169" t="s">
        <v>455</v>
      </c>
      <c r="M68" s="169" t="s">
        <v>455</v>
      </c>
      <c r="N68" s="169" t="s">
        <v>455</v>
      </c>
      <c r="O68" s="169" t="s">
        <v>455</v>
      </c>
      <c r="P68" s="295">
        <f>(0.6*'Prescriptive Path'!H84/1000)*0.3*(1+VLOOKUP('Prescriptive Path'!$D$4,ClimateZoneLookup!$A$4:$AS$65,12))+(0.5*'Prescriptive Path'!H85/1000)*0.3*(1+VLOOKUP('Prescriptive Path'!$D$4,ClimateZoneLookup!$A$4:$AS$65,12))+(1.3*'Prescriptive Path'!H86/1000)*0.3*(1+VLOOKUP('Prescriptive Path'!$D$4,ClimateZoneLookup!$A$4:$AS$65,12))</f>
        <v>0</v>
      </c>
      <c r="Q68" s="167">
        <v>0</v>
      </c>
      <c r="R68" s="170" t="e">
        <f>1.1*D68*HLOOKUP(G68,AvoidCostTable,'Avoided Costs'!$D$44)</f>
        <v>#REF!</v>
      </c>
      <c r="S68" s="170" t="e">
        <f>C68*HLOOKUP(G68,AvoidCostTable,'Avoided Costs'!$D$44)</f>
        <v>#REF!</v>
      </c>
      <c r="T68" s="170" t="e">
        <f>P68*HLOOKUP(G68,AvoidCostTable,'Avoided Costs'!$D$45)</f>
        <v>#REF!</v>
      </c>
      <c r="U68" s="170" t="e">
        <f>E68/10*HLOOKUP(G68,AvoidCostTable,'Avoided Costs'!$D$46)</f>
        <v>#REF!</v>
      </c>
      <c r="V68" s="170" t="e">
        <f>F68/10*HLOOKUP(G68,AvoidCostTable,'Avoided Costs'!$D$47)</f>
        <v>#REF!</v>
      </c>
      <c r="W68" s="170">
        <f>IF('Avoided Costs'!C118="Upstate",-PV('Avoided Costs'!$D$2,G68,Q68*0.003),-PV('Avoided Costs'!$D$2,G68,Q68*0.007))</f>
        <v>0</v>
      </c>
      <c r="X68" s="170">
        <f t="shared" si="40"/>
        <v>0</v>
      </c>
      <c r="Y68" s="170">
        <f t="shared" si="41"/>
        <v>0</v>
      </c>
      <c r="Z68" s="170">
        <f t="shared" si="42"/>
        <v>0</v>
      </c>
      <c r="AA68" s="134">
        <f>IF('Avoided Costs'!$C$44="Upstate",((C68+D68)*0.1936+(E68+F68)*1.486+Q68*0.003),((C68+D68)*0.1936+(E68+F68)*1.486+Q68*0.007))</f>
        <v>0</v>
      </c>
      <c r="AB68" s="1986">
        <f t="shared" ref="AB68" si="50">(F68+E68)/10+(C68+D68)*3412/1000000</f>
        <v>0</v>
      </c>
      <c r="AC68" s="170">
        <f>IF(AA68=0,0,G68*AA68)</f>
        <v>0</v>
      </c>
      <c r="AD68" s="171" t="str">
        <f>IF(AA68=0,"",IF(AA68&gt;0,-PV(3%,G68,AA68)/J68,0))</f>
        <v/>
      </c>
      <c r="AE68" s="172" t="str">
        <f t="shared" si="44"/>
        <v/>
      </c>
      <c r="AF68" s="301" t="s">
        <v>448</v>
      </c>
      <c r="AH68" s="1976" t="str">
        <f t="shared" ref="AH68" si="51">IF(AE68="","",IF(J68&lt;0,"No",IF(OR(AE68&lt;0,AE68&gt;0.949),"Yes","No")))</f>
        <v/>
      </c>
      <c r="AI68" s="102" t="str">
        <f t="shared" ref="AI68" si="52">IF(AE68=0,0,IF(AND(AH68="Yes",OR(AE68&lt;0,AE68&gt;0.949),Z68&gt;0)=TRUE,Z68,""))</f>
        <v/>
      </c>
      <c r="AJ68" s="102" t="str">
        <f t="shared" ref="AJ68" si="53">IF(AE68="","",IF((C68+D68)*3412/1000000&gt;(E68+F68),"Electricity","Firm Gas"))</f>
        <v/>
      </c>
      <c r="AK68" s="102" t="str">
        <f t="shared" ref="AK68" si="54">IF(AE68=0,0,IF(AND(AH68="Yes",OR(AE68&lt;0,AE68&gt;0.949),Z68&gt;0)=TRUE,J68,""))</f>
        <v/>
      </c>
      <c r="AL68" s="1981" t="str">
        <f>IF('Prescriptive Path'!$D$7="","",(IF(AH68="Yes",IF('Prescriptive Path'!$D$7="Market-Rate",IF(Savings!AJ68="Electricity","MPPMREINC","MPPMRGINC"),IF(Savings!AJ68="Electricity","MPPLIEINC","MPPLIGINC")),"")))</f>
        <v/>
      </c>
    </row>
    <row r="69" spans="1:38" ht="15.75" thickBot="1">
      <c r="A69" s="218" t="s">
        <v>49</v>
      </c>
      <c r="B69" s="219" t="s">
        <v>50</v>
      </c>
      <c r="C69" s="749"/>
      <c r="D69" s="750"/>
      <c r="E69" s="750"/>
      <c r="F69" s="750"/>
      <c r="G69" s="750"/>
      <c r="H69" s="750"/>
      <c r="I69" s="750"/>
      <c r="J69" s="1059"/>
      <c r="K69" s="1299"/>
      <c r="L69" s="750"/>
      <c r="M69" s="750"/>
      <c r="N69" s="750"/>
      <c r="O69" s="750"/>
      <c r="P69" s="750"/>
      <c r="Q69" s="750"/>
      <c r="R69" s="750"/>
      <c r="S69" s="750"/>
      <c r="T69" s="750"/>
      <c r="U69" s="750"/>
      <c r="V69" s="750"/>
      <c r="W69" s="750"/>
      <c r="X69" s="750"/>
      <c r="Y69" s="750"/>
      <c r="Z69" s="750"/>
      <c r="AA69" s="750"/>
      <c r="AB69" s="750"/>
      <c r="AC69" s="750"/>
      <c r="AD69" s="750"/>
      <c r="AE69" s="751"/>
      <c r="AF69" s="392"/>
      <c r="AH69" s="1978"/>
      <c r="AI69" s="104"/>
      <c r="AJ69" s="104"/>
      <c r="AK69" s="104"/>
      <c r="AL69" s="1305"/>
    </row>
    <row r="70" spans="1:38" ht="25.5">
      <c r="A70" s="2531" t="s">
        <v>43</v>
      </c>
      <c r="B70" s="176" t="s">
        <v>388</v>
      </c>
      <c r="C70" s="327">
        <f>'Prescriptive Path'!H91*(VLOOKUP('Prescriptive Path'!D4,ClimateZoneLookup!$A$4:$AS$65,44,FALSE))</f>
        <v>0</v>
      </c>
      <c r="D70" s="327">
        <v>0</v>
      </c>
      <c r="E70" s="328">
        <v>0</v>
      </c>
      <c r="F70" s="328">
        <v>0</v>
      </c>
      <c r="G70" s="328">
        <v>20</v>
      </c>
      <c r="H70" s="2193">
        <f>Baseline!Q90*'Prescriptive Path'!H91</f>
        <v>0</v>
      </c>
      <c r="I70" s="2193">
        <f>Proposed!V90*'Prescriptive Path'!H91</f>
        <v>0</v>
      </c>
      <c r="J70" s="1060">
        <f>I70-H70</f>
        <v>0</v>
      </c>
      <c r="K70" s="1300"/>
      <c r="L70" s="329" t="s">
        <v>455</v>
      </c>
      <c r="M70" s="329" t="s">
        <v>455</v>
      </c>
      <c r="N70" s="329" t="s">
        <v>455</v>
      </c>
      <c r="O70" s="329" t="s">
        <v>455</v>
      </c>
      <c r="P70" s="330">
        <f>'Prescriptive Path'!$H$91*(VLOOKUP('Prescriptive Path'!$D$4,ClimateZoneLookup!$A$4:$AS$65,45,FALSE))*0.8</f>
        <v>0</v>
      </c>
      <c r="Q70" s="264">
        <v>0</v>
      </c>
      <c r="R70" s="265" t="e">
        <f>1.1*D70*HLOOKUP(G70,AvoidCostTable,'Avoided Costs'!$D$44)</f>
        <v>#REF!</v>
      </c>
      <c r="S70" s="265" t="e">
        <f>C70*HLOOKUP(G70,AvoidCostTable,'Avoided Costs'!$D$44)</f>
        <v>#REF!</v>
      </c>
      <c r="T70" s="265" t="e">
        <f>P70*HLOOKUP(G70,AvoidCostTable,'Avoided Costs'!$D$45)</f>
        <v>#REF!</v>
      </c>
      <c r="U70" s="265" t="e">
        <f>E70/10*HLOOKUP(G70,AvoidCostTable,'Avoided Costs'!$D$46)</f>
        <v>#REF!</v>
      </c>
      <c r="V70" s="265" t="e">
        <f>F70/10*HLOOKUP(G70,AvoidCostTable,'Avoided Costs'!$D$47)</f>
        <v>#REF!</v>
      </c>
      <c r="W70" s="265">
        <f>IF('Avoided Costs'!C121="Upstate",-PV('Avoided Costs'!$D$2,G70,Q70*0.003),-PV('Avoided Costs'!$D$2,G70,Q70*0.007))</f>
        <v>0</v>
      </c>
      <c r="X70" s="265">
        <f t="shared" si="40"/>
        <v>0</v>
      </c>
      <c r="Y70" s="265">
        <f t="shared" si="41"/>
        <v>0</v>
      </c>
      <c r="Z70" s="265">
        <f t="shared" si="42"/>
        <v>0</v>
      </c>
      <c r="AA70" s="265">
        <f>IF('Avoided Costs'!$C$44="Upstate",((C70+D70)*0.1936+(E70+F70)*1.486+Q70*0.003),((C70+D70)*0.1936+(E70+F70)*1.486+Q70*0.007))</f>
        <v>0</v>
      </c>
      <c r="AB70" s="1999">
        <f t="shared" ref="AB70:AB78" si="55">(F70+E70)/10+(C70+D70)*3412/1000000</f>
        <v>0</v>
      </c>
      <c r="AC70" s="265">
        <f>IF(AA70=0,0,G70*AA70)</f>
        <v>0</v>
      </c>
      <c r="AD70" s="266" t="str">
        <f>IF(AA70=0,"",IF(AA70&gt;0,-PV(3%,G70,AA70)/J70,0))</f>
        <v/>
      </c>
      <c r="AE70" s="278" t="str">
        <f t="shared" si="44"/>
        <v/>
      </c>
      <c r="AF70" s="396" t="s">
        <v>448</v>
      </c>
      <c r="AH70" s="1976" t="str">
        <f t="shared" ref="AH70:AH78" si="56">IF(AE70="","",IF(J70&lt;0,"No",IF(OR(AE70&lt;0,AE70&gt;0.949),"Yes","No")))</f>
        <v/>
      </c>
      <c r="AI70" s="102" t="str">
        <f t="shared" ref="AI70:AI78" si="57">IF(AE70=0,0,IF(AND(AH70="Yes",OR(AE70&lt;0,AE70&gt;0.949),Z70&gt;0)=TRUE,Z70,""))</f>
        <v/>
      </c>
      <c r="AJ70" s="102" t="str">
        <f t="shared" ref="AJ70:AJ74" si="58">IF(AE70="","",IF((C70+D70)*3412/1000000&gt;(E70+F70),"Electricity","Firm Gas"))</f>
        <v/>
      </c>
      <c r="AK70" s="102" t="str">
        <f t="shared" ref="AK70:AK78" si="59">IF(AE70=0,0,IF(AND(AH70="Yes",OR(AE70&lt;0,AE70&gt;0.949),Z70&gt;0)=TRUE,J70,""))</f>
        <v/>
      </c>
      <c r="AL70" s="1981" t="str">
        <f>IF('Prescriptive Path'!$D$7="","",(IF(AH70="Yes",IF('Prescriptive Path'!$D$7="Market-Rate",IF(Savings!AJ70="Electricity","MPPMREINC","MPPMRGINC"),IF(Savings!AJ70="Electricity","MPPLIEINC","MPPLIGINC")),"")))</f>
        <v/>
      </c>
    </row>
    <row r="71" spans="1:38" ht="26.25" thickBot="1">
      <c r="A71" s="2531"/>
      <c r="B71" s="489" t="s">
        <v>389</v>
      </c>
      <c r="C71" s="490">
        <f>'Prescriptive Path'!H92*(VLOOKUP('Prescriptive Path'!D4,ClimateZoneLookup!$A$4:$AS$65,44,FALSE))</f>
        <v>0</v>
      </c>
      <c r="D71" s="490">
        <v>0</v>
      </c>
      <c r="E71" s="491">
        <v>0</v>
      </c>
      <c r="F71" s="491">
        <v>0</v>
      </c>
      <c r="G71" s="491">
        <v>20</v>
      </c>
      <c r="H71" s="2208">
        <f>Baseline!Q91*'Prescriptive Path'!H92</f>
        <v>0</v>
      </c>
      <c r="I71" s="2208">
        <f>Proposed!V91*'Prescriptive Path'!H92</f>
        <v>0</v>
      </c>
      <c r="J71" s="1061">
        <f t="shared" ref="J71:J74" si="60">I71-H71</f>
        <v>0</v>
      </c>
      <c r="K71" s="1301"/>
      <c r="L71" s="492" t="s">
        <v>455</v>
      </c>
      <c r="M71" s="492" t="s">
        <v>455</v>
      </c>
      <c r="N71" s="492" t="s">
        <v>455</v>
      </c>
      <c r="O71" s="492" t="s">
        <v>455</v>
      </c>
      <c r="P71" s="493">
        <f>'Prescriptive Path'!$H$92*(VLOOKUP('Prescriptive Path'!$D$4,ClimateZoneLookup!$A$4:$AS$65,45,FALSE)*0.8)</f>
        <v>0</v>
      </c>
      <c r="Q71" s="494">
        <v>0</v>
      </c>
      <c r="R71" s="495" t="e">
        <f>1.1*D71*HLOOKUP(G71,AvoidCostTable,'Avoided Costs'!$D$44)</f>
        <v>#REF!</v>
      </c>
      <c r="S71" s="495" t="e">
        <f>C71*HLOOKUP(G71,AvoidCostTable,'Avoided Costs'!$D$44)</f>
        <v>#REF!</v>
      </c>
      <c r="T71" s="495" t="e">
        <f>P71*HLOOKUP(G71,AvoidCostTable,'Avoided Costs'!$D$45)</f>
        <v>#REF!</v>
      </c>
      <c r="U71" s="495" t="e">
        <f>E71/10*HLOOKUP(G71,AvoidCostTable,'Avoided Costs'!$D$46)</f>
        <v>#REF!</v>
      </c>
      <c r="V71" s="495" t="e">
        <f>F71/10*HLOOKUP(G71,AvoidCostTable,'Avoided Costs'!$D$47)</f>
        <v>#REF!</v>
      </c>
      <c r="W71" s="495">
        <f>IF('Avoided Costs'!C122="Upstate",-PV('Avoided Costs'!$D$2,G71,Q71*0.003),-PV('Avoided Costs'!$D$2,G71,Q71*0.007))</f>
        <v>0</v>
      </c>
      <c r="X71" s="495">
        <f t="shared" si="40"/>
        <v>0</v>
      </c>
      <c r="Y71" s="495">
        <f t="shared" si="41"/>
        <v>0</v>
      </c>
      <c r="Z71" s="495">
        <f t="shared" si="42"/>
        <v>0</v>
      </c>
      <c r="AA71" s="495">
        <f>IF('Avoided Costs'!$C$44="Upstate",((C71+D71)*0.1936+(E71+F71)*1.486+Q71*0.003),((C71+D71)*0.1936+(E71+F71)*1.486+Q71*0.007))</f>
        <v>0</v>
      </c>
      <c r="AB71" s="2000">
        <f t="shared" si="55"/>
        <v>0</v>
      </c>
      <c r="AC71" s="495">
        <f>IF(AA71=0,0,G71*AA71)</f>
        <v>0</v>
      </c>
      <c r="AD71" s="496" t="str">
        <f>IF(AA71=0,"",IF(AA71&gt;0,-PV(3%,G71,AA71)/J71,0))</f>
        <v/>
      </c>
      <c r="AE71" s="497" t="str">
        <f t="shared" si="44"/>
        <v/>
      </c>
      <c r="AF71" s="498" t="s">
        <v>448</v>
      </c>
      <c r="AH71" s="1976" t="str">
        <f t="shared" si="56"/>
        <v/>
      </c>
      <c r="AI71" s="102" t="str">
        <f t="shared" si="57"/>
        <v/>
      </c>
      <c r="AJ71" s="102" t="str">
        <f t="shared" si="58"/>
        <v/>
      </c>
      <c r="AK71" s="102" t="str">
        <f t="shared" si="59"/>
        <v/>
      </c>
      <c r="AL71" s="1981" t="str">
        <f>IF('Prescriptive Path'!$D$7="","",(IF(AH71="Yes",IF('Prescriptive Path'!$D$7="Market-Rate",IF(Savings!AJ71="Electricity","MPPMREINC","MPPMRGINC"),IF(Savings!AJ71="Electricity","MPPLIEINC","MPPLIGINC")),"")))</f>
        <v/>
      </c>
    </row>
    <row r="72" spans="1:38">
      <c r="A72" s="2529" t="s">
        <v>229</v>
      </c>
      <c r="B72" s="19" t="s">
        <v>481</v>
      </c>
      <c r="C72" s="500">
        <f>IF('Prescriptive Path'!H93="",0,((('Prescriptive Path'!H93/Baseline!E95) - ('Prescriptive Path'!H93/Proposed!E95))/1000)*8760)</f>
        <v>0</v>
      </c>
      <c r="D72" s="70">
        <v>0</v>
      </c>
      <c r="E72" s="71">
        <v>0</v>
      </c>
      <c r="F72" s="71">
        <v>0</v>
      </c>
      <c r="G72" s="71">
        <v>10</v>
      </c>
      <c r="H72" s="2209">
        <f>Baseline!Q95*'Prescriptive Path'!H93</f>
        <v>0</v>
      </c>
      <c r="I72" s="2209">
        <f>Proposed!V95*'Prescriptive Path'!H93</f>
        <v>0</v>
      </c>
      <c r="J72" s="1048">
        <f t="shared" si="60"/>
        <v>0</v>
      </c>
      <c r="K72" s="1288"/>
      <c r="L72" s="72" t="s">
        <v>455</v>
      </c>
      <c r="M72" s="72" t="s">
        <v>455</v>
      </c>
      <c r="N72" s="72" t="s">
        <v>455</v>
      </c>
      <c r="O72" s="72" t="s">
        <v>455</v>
      </c>
      <c r="P72" s="293">
        <f>C72/365/24*1</f>
        <v>0</v>
      </c>
      <c r="Q72" s="70">
        <v>0</v>
      </c>
      <c r="R72" s="73" t="e">
        <f>1.1*D72*HLOOKUP(G72,AvoidCostTable,'Avoided Costs'!$D$44)</f>
        <v>#REF!</v>
      </c>
      <c r="S72" s="73" t="e">
        <f>C72*HLOOKUP(G72,AvoidCostTable,'Avoided Costs'!$D$44)</f>
        <v>#REF!</v>
      </c>
      <c r="T72" s="73" t="e">
        <f>P72*HLOOKUP(G72,AvoidCostTable,'Avoided Costs'!$D$45)</f>
        <v>#REF!</v>
      </c>
      <c r="U72" s="73" t="e">
        <f>E72/10*HLOOKUP(G72,AvoidCostTable,'Avoided Costs'!$D$46)</f>
        <v>#REF!</v>
      </c>
      <c r="V72" s="73" t="e">
        <f>F72/10*HLOOKUP(G72,AvoidCostTable,'Avoided Costs'!$D$47)</f>
        <v>#REF!</v>
      </c>
      <c r="W72" s="73">
        <f>IF('Avoided Costs'!C123="Upstate",-PV('Avoided Costs'!$D$2,G72,Q72*0.003),-PV('Avoided Costs'!$D$2,G72,Q72*0.007))</f>
        <v>0</v>
      </c>
      <c r="X72" s="73">
        <f t="shared" si="40"/>
        <v>0</v>
      </c>
      <c r="Y72" s="73">
        <f t="shared" si="41"/>
        <v>0</v>
      </c>
      <c r="Z72" s="73">
        <f t="shared" si="42"/>
        <v>0</v>
      </c>
      <c r="AA72" s="73">
        <f>IF('Avoided Costs'!$C$44="Upstate",((C72+D72)*0.1936+(E72+F72)*1.486+Q72*0.003),((C72+D72)*0.1936+(E72+F72)*1.486+Q72*0.007))</f>
        <v>0</v>
      </c>
      <c r="AB72" s="2001">
        <f t="shared" si="55"/>
        <v>0</v>
      </c>
      <c r="AC72" s="73">
        <f>IF(AA72=0,0,G72*AA72)</f>
        <v>0</v>
      </c>
      <c r="AD72" s="74" t="str">
        <f>IF(AA72=0,"",IF(AA72&gt;0,-PV(3%,G72,AA72)/J72,0))</f>
        <v/>
      </c>
      <c r="AE72" s="146" t="str">
        <f t="shared" si="44"/>
        <v/>
      </c>
      <c r="AF72" s="499" t="s">
        <v>510</v>
      </c>
      <c r="AH72" s="1976" t="str">
        <f t="shared" si="56"/>
        <v/>
      </c>
      <c r="AI72" s="102" t="str">
        <f t="shared" si="57"/>
        <v/>
      </c>
      <c r="AJ72" s="102" t="str">
        <f t="shared" si="58"/>
        <v/>
      </c>
      <c r="AK72" s="102" t="str">
        <f t="shared" si="59"/>
        <v/>
      </c>
      <c r="AL72" s="1981" t="str">
        <f>IF('Prescriptive Path'!$D$7="","",(IF(AH72="Yes",IF('Prescriptive Path'!$D$7="Market-Rate",IF(Savings!AJ72="Electricity","MPPMREINC","MPPMRGINC"),IF(Savings!AJ72="Electricity","MPPLIEINC","MPPLIGINC")),"")))</f>
        <v/>
      </c>
    </row>
    <row r="73" spans="1:38">
      <c r="A73" s="2530"/>
      <c r="B73" s="17" t="s">
        <v>439</v>
      </c>
      <c r="C73" s="76">
        <f>'Prescriptive Path'!H95*1768</f>
        <v>0</v>
      </c>
      <c r="D73" s="101">
        <v>0</v>
      </c>
      <c r="E73" s="77">
        <v>0</v>
      </c>
      <c r="F73" s="77">
        <v>0</v>
      </c>
      <c r="G73" s="91">
        <v>15</v>
      </c>
      <c r="H73" s="2225">
        <v>0</v>
      </c>
      <c r="I73" s="2225">
        <f>Proposed!V96*'Prescriptive Path'!H95</f>
        <v>0</v>
      </c>
      <c r="J73" s="1049">
        <f t="shared" si="60"/>
        <v>0</v>
      </c>
      <c r="K73" s="1289"/>
      <c r="L73" s="79" t="s">
        <v>455</v>
      </c>
      <c r="M73" s="79" t="s">
        <v>455</v>
      </c>
      <c r="N73" s="79" t="s">
        <v>455</v>
      </c>
      <c r="O73" s="79" t="s">
        <v>455</v>
      </c>
      <c r="P73" s="80">
        <f>'Prescriptive Path'!H95*0.119*0.8</f>
        <v>0</v>
      </c>
      <c r="Q73" s="89">
        <v>0</v>
      </c>
      <c r="R73" s="93" t="e">
        <f>1.1*D73*HLOOKUP(G73,AvoidCostTable,'Avoided Costs'!$D$44)</f>
        <v>#REF!</v>
      </c>
      <c r="S73" s="93" t="e">
        <f>C73*HLOOKUP(G73,AvoidCostTable,'Avoided Costs'!$D$44)</f>
        <v>#REF!</v>
      </c>
      <c r="T73" s="93" t="e">
        <f>P73*HLOOKUP(G73,AvoidCostTable,'Avoided Costs'!$D$45)</f>
        <v>#REF!</v>
      </c>
      <c r="U73" s="93" t="e">
        <f>E73/10*HLOOKUP(G73,AvoidCostTable,'Avoided Costs'!$D$46)</f>
        <v>#REF!</v>
      </c>
      <c r="V73" s="93" t="e">
        <f>F73/10*HLOOKUP(G73,AvoidCostTable,'Avoided Costs'!$D$47)</f>
        <v>#REF!</v>
      </c>
      <c r="W73" s="93">
        <f>IF('Avoided Costs'!C125="Upstate",-PV('Avoided Costs'!$D$2,G73,Q73*0.003),-PV('Avoided Costs'!$D$2,G73,Q73*0.007))</f>
        <v>0</v>
      </c>
      <c r="X73" s="93">
        <f t="shared" si="40"/>
        <v>0</v>
      </c>
      <c r="Y73" s="93">
        <f t="shared" si="41"/>
        <v>0</v>
      </c>
      <c r="Z73" s="93">
        <f t="shared" si="42"/>
        <v>0</v>
      </c>
      <c r="AA73" s="93">
        <f>IF('Avoided Costs'!$C$44="Upstate",((C73+D73)*0.1936+(E73+F73)*1.486+Q73*0.003),((C73+D73)*0.1936+(E73+F73)*1.486+Q73*0.007))</f>
        <v>0</v>
      </c>
      <c r="AB73" s="2002">
        <f t="shared" si="55"/>
        <v>0</v>
      </c>
      <c r="AC73" s="93">
        <f>IF(AA73=0,0,G73*AA73)</f>
        <v>0</v>
      </c>
      <c r="AD73" s="94" t="str">
        <f>IF(AA73=0,"",IF(AA73&gt;0,-PV(3%,G73,AA73)/J73,0))</f>
        <v/>
      </c>
      <c r="AE73" s="279" t="str">
        <f t="shared" si="44"/>
        <v/>
      </c>
      <c r="AF73" s="282" t="s">
        <v>448</v>
      </c>
      <c r="AH73" s="1976" t="str">
        <f t="shared" si="56"/>
        <v/>
      </c>
      <c r="AI73" s="102" t="str">
        <f t="shared" si="57"/>
        <v/>
      </c>
      <c r="AJ73" s="102" t="str">
        <f t="shared" si="58"/>
        <v/>
      </c>
      <c r="AK73" s="102" t="str">
        <f t="shared" si="59"/>
        <v/>
      </c>
      <c r="AL73" s="1981" t="str">
        <f>IF('Prescriptive Path'!$D$7="","",(IF(AH73="Yes",IF('Prescriptive Path'!$D$7="Market-Rate",IF(Savings!AJ73="Electricity","MPPMREINC","MPPMRGINC"),IF(Savings!AJ73="Electricity","MPPLIEINC","MPPLIGINC")),"")))</f>
        <v/>
      </c>
    </row>
    <row r="74" spans="1:38">
      <c r="A74" s="2530"/>
      <c r="B74" s="17" t="s">
        <v>440</v>
      </c>
      <c r="C74" s="291">
        <f>'Prescriptive Path'!H96*1768</f>
        <v>0</v>
      </c>
      <c r="D74" s="271">
        <v>0</v>
      </c>
      <c r="E74" s="272">
        <v>0</v>
      </c>
      <c r="F74" s="272">
        <v>0</v>
      </c>
      <c r="G74" s="273">
        <v>15</v>
      </c>
      <c r="H74" s="2229">
        <v>0</v>
      </c>
      <c r="I74" s="2225">
        <f>Proposed!V97*'Prescriptive Path'!H96</f>
        <v>0</v>
      </c>
      <c r="J74" s="1050">
        <f t="shared" si="60"/>
        <v>0</v>
      </c>
      <c r="K74" s="1290"/>
      <c r="L74" s="274" t="s">
        <v>455</v>
      </c>
      <c r="M74" s="274" t="s">
        <v>455</v>
      </c>
      <c r="N74" s="274" t="s">
        <v>455</v>
      </c>
      <c r="O74" s="274" t="s">
        <v>455</v>
      </c>
      <c r="P74" s="296">
        <f>'Prescriptive Path'!H96*0.119*0.8</f>
        <v>0</v>
      </c>
      <c r="Q74" s="163">
        <v>0</v>
      </c>
      <c r="R74" s="93" t="e">
        <f>1.1*D74*HLOOKUP(G74,AvoidCostTable,'Avoided Costs'!$D$44)</f>
        <v>#REF!</v>
      </c>
      <c r="S74" s="275" t="e">
        <f>C74*HLOOKUP(G74,AvoidCostTable,'Avoided Costs'!$D$44)</f>
        <v>#REF!</v>
      </c>
      <c r="T74" s="275" t="e">
        <f>P74*HLOOKUP(G74,AvoidCostTable,'Avoided Costs'!$D$45)</f>
        <v>#REF!</v>
      </c>
      <c r="U74" s="275" t="e">
        <f>E74/10*HLOOKUP(G74,AvoidCostTable,'Avoided Costs'!$D$46)</f>
        <v>#REF!</v>
      </c>
      <c r="V74" s="275" t="e">
        <f>F74/10*HLOOKUP(G74,AvoidCostTable,'Avoided Costs'!$D$47)</f>
        <v>#REF!</v>
      </c>
      <c r="W74" s="275">
        <f>IF('Avoided Costs'!C126="Upstate",-PV('Avoided Costs'!$D$2,G74,Q74*0.003),-PV('Avoided Costs'!$D$2,G74,Q74*0.007))</f>
        <v>0</v>
      </c>
      <c r="X74" s="275">
        <f t="shared" si="40"/>
        <v>0</v>
      </c>
      <c r="Y74" s="275">
        <f t="shared" si="41"/>
        <v>0</v>
      </c>
      <c r="Z74" s="275">
        <f t="shared" si="42"/>
        <v>0</v>
      </c>
      <c r="AA74" s="275">
        <f>IF('Avoided Costs'!$C$44="Upstate",((C74+D74)*0.1936+(E74+F74)*1.486+Q74*0.003),((C74+D74)*0.1936+(E74+F74)*1.486+Q74*0.007))</f>
        <v>0</v>
      </c>
      <c r="AB74" s="2003">
        <f t="shared" si="55"/>
        <v>0</v>
      </c>
      <c r="AC74" s="275">
        <f>IF(AA74=0,0,G74*AA74)</f>
        <v>0</v>
      </c>
      <c r="AD74" s="276" t="str">
        <f>IF(AA74=0,"",IF(AA74&gt;0,-PV(3%,G74,AA74)/J74,0))</f>
        <v/>
      </c>
      <c r="AE74" s="280" t="str">
        <f t="shared" si="44"/>
        <v/>
      </c>
      <c r="AF74" s="269" t="s">
        <v>448</v>
      </c>
      <c r="AH74" s="1976" t="str">
        <f t="shared" si="56"/>
        <v/>
      </c>
      <c r="AI74" s="102" t="str">
        <f t="shared" si="57"/>
        <v/>
      </c>
      <c r="AJ74" s="102" t="str">
        <f t="shared" si="58"/>
        <v/>
      </c>
      <c r="AK74" s="102" t="str">
        <f t="shared" si="59"/>
        <v/>
      </c>
      <c r="AL74" s="1981" t="str">
        <f>IF('Prescriptive Path'!$D$7="","",(IF(AH74="Yes",IF('Prescriptive Path'!$D$7="Market-Rate",IF(Savings!AJ74="Electricity","MPPMREINC","MPPMRGINC"),IF(Savings!AJ74="Electricity","MPPLIEINC","MPPLIGINC")),"")))</f>
        <v/>
      </c>
    </row>
    <row r="75" spans="1:38">
      <c r="A75" s="2530"/>
      <c r="B75" s="17" t="s">
        <v>441</v>
      </c>
      <c r="C75" s="752"/>
      <c r="D75" s="753"/>
      <c r="E75" s="753"/>
      <c r="F75" s="753"/>
      <c r="G75" s="753"/>
      <c r="H75" s="753"/>
      <c r="I75" s="753"/>
      <c r="J75" s="1062"/>
      <c r="K75" s="1302"/>
      <c r="L75" s="753"/>
      <c r="M75" s="753"/>
      <c r="N75" s="753"/>
      <c r="O75" s="753"/>
      <c r="P75" s="753"/>
      <c r="Q75" s="753"/>
      <c r="R75" s="753"/>
      <c r="S75" s="753"/>
      <c r="T75" s="753"/>
      <c r="U75" s="753"/>
      <c r="V75" s="753"/>
      <c r="W75" s="753"/>
      <c r="X75" s="753"/>
      <c r="Y75" s="753"/>
      <c r="Z75" s="753"/>
      <c r="AA75" s="753"/>
      <c r="AB75" s="753"/>
      <c r="AC75" s="753"/>
      <c r="AD75" s="753"/>
      <c r="AE75" s="754"/>
      <c r="AF75" s="384"/>
      <c r="AH75" s="1979"/>
      <c r="AI75" s="756"/>
      <c r="AJ75" s="1975"/>
      <c r="AK75" s="756"/>
      <c r="AL75" s="1306"/>
    </row>
    <row r="76" spans="1:38">
      <c r="A76" s="2530"/>
      <c r="B76" s="119" t="s">
        <v>442</v>
      </c>
      <c r="C76" s="242">
        <f>'Prescriptive Path'!H97*0.0015*12*365*0.746</f>
        <v>0</v>
      </c>
      <c r="D76" s="302">
        <f>IF('Prescriptive Path'!H97="",0,(Baseline!D94-Proposed!D94)*(('Prescriptive Path'!I3/1000*VLOOKUP('Prescriptive Path'!D4,ClimateZoneLookup!A4:AT65,17,FALSE))/Proposed!D94)*(Baseline!D99/Proposed!D108))</f>
        <v>0</v>
      </c>
      <c r="E76" s="290">
        <f>IF('Prescriptive Path'!H97="",0,(Baseline!D94-Proposed!D94)*(('Prescriptive Path'!I3/1000*VLOOKUP('Prescriptive Path'!D4,ClimateZoneLookup!A4:AT65,18,FALSE))/Proposed!D94)*(Baseline!D100/Proposed!D109))</f>
        <v>0</v>
      </c>
      <c r="F76" s="290">
        <v>0</v>
      </c>
      <c r="G76" s="299">
        <v>10</v>
      </c>
      <c r="H76" s="2209">
        <v>0</v>
      </c>
      <c r="I76" s="2197">
        <f>Proposed!V94*'Prescriptive Path'!H97</f>
        <v>0</v>
      </c>
      <c r="J76" s="1044">
        <f>I76-H76</f>
        <v>0</v>
      </c>
      <c r="K76" s="1283"/>
      <c r="L76" s="277" t="s">
        <v>455</v>
      </c>
      <c r="M76" s="277" t="s">
        <v>455</v>
      </c>
      <c r="N76" s="277" t="s">
        <v>455</v>
      </c>
      <c r="O76" s="277" t="s">
        <v>455</v>
      </c>
      <c r="P76" s="295">
        <f>IF('Prescriptive Path'!H97="",0,(Baseline!D94-Proposed!D94)*(('Prescriptive Path'!I3/1000*VLOOKUP('Prescriptive Path'!D4,ClimateZoneLookup!A4:AT65,19,FALSE))/Proposed!D94)*(Baseline!D98/Proposed!D107))</f>
        <v>0</v>
      </c>
      <c r="Q76" s="244">
        <v>0</v>
      </c>
      <c r="R76" s="243" t="e">
        <f>1.1*D76*HLOOKUP(G76,AvoidCostTable,'Avoided Costs'!$D$44)</f>
        <v>#REF!</v>
      </c>
      <c r="S76" s="243" t="e">
        <f>C76*HLOOKUP(G76,AvoidCostTable,'Avoided Costs'!$D$44)</f>
        <v>#REF!</v>
      </c>
      <c r="T76" s="243" t="e">
        <f>P76*HLOOKUP(G76,AvoidCostTable,'Avoided Costs'!$D$45)</f>
        <v>#REF!</v>
      </c>
      <c r="U76" s="243" t="e">
        <f>E76/10*HLOOKUP(G76,AvoidCostTable,'Avoided Costs'!$D$46)</f>
        <v>#REF!</v>
      </c>
      <c r="V76" s="243" t="e">
        <f>F76/10*HLOOKUP(G76,AvoidCostTable,'Avoided Costs'!$D$47)</f>
        <v>#REF!</v>
      </c>
      <c r="W76" s="243">
        <f>IF('Avoided Costs'!C128="Upstate",-PV('Avoided Costs'!$D$2,G76,Q76*0.003),-PV('Avoided Costs'!$D$2,G76,Q76*0.007))</f>
        <v>0</v>
      </c>
      <c r="X76" s="243">
        <f t="shared" si="40"/>
        <v>0</v>
      </c>
      <c r="Y76" s="243">
        <f t="shared" si="41"/>
        <v>0</v>
      </c>
      <c r="Z76" s="243">
        <f t="shared" si="42"/>
        <v>0</v>
      </c>
      <c r="AA76" s="243">
        <f>IF('Avoided Costs'!$C$44="Upstate",((C76+D76)*0.1936+(E76+F76)*1.486+Q76*0.003),((C76+D76)*0.1936+(E76+F76)*1.486+Q76*0.007))</f>
        <v>0</v>
      </c>
      <c r="AB76" s="2003">
        <f t="shared" si="55"/>
        <v>0</v>
      </c>
      <c r="AC76" s="243">
        <f>IF(AA76=0,0,G76*AA76)</f>
        <v>0</v>
      </c>
      <c r="AD76" s="245" t="str">
        <f>IF(AA76=0,"",IF(AA76&gt;0,-PV(3%,G76,AA76)/J76,0))</f>
        <v/>
      </c>
      <c r="AE76" s="281" t="str">
        <f t="shared" si="44"/>
        <v/>
      </c>
      <c r="AF76" s="269" t="s">
        <v>448</v>
      </c>
      <c r="AH76" s="1976" t="str">
        <f t="shared" si="56"/>
        <v/>
      </c>
      <c r="AI76" s="102" t="str">
        <f t="shared" si="57"/>
        <v/>
      </c>
      <c r="AJ76" s="102" t="str">
        <f t="shared" ref="AJ76" si="61">IF(AE76="","",IF((C76+D76)*3412/1000000&gt;(E76+F76),"Electricity","Firm Gas"))</f>
        <v/>
      </c>
      <c r="AK76" s="102" t="str">
        <f t="shared" si="59"/>
        <v/>
      </c>
      <c r="AL76" s="1981" t="str">
        <f>IF('Prescriptive Path'!$D$7="","",(IF(AH76="Yes",IF('Prescriptive Path'!$D$7="Market-Rate",IF(Savings!AJ76="Electricity","MPPMREINC","MPPMRGINC"),IF(Savings!AJ76="Electricity","MPPLIEINC","MPPLIGINC")),"")))</f>
        <v/>
      </c>
    </row>
    <row r="77" spans="1:38" ht="25.5">
      <c r="A77" s="2530"/>
      <c r="B77" s="17" t="s">
        <v>67</v>
      </c>
      <c r="C77" s="752"/>
      <c r="D77" s="753"/>
      <c r="E77" s="753"/>
      <c r="F77" s="753"/>
      <c r="G77" s="753"/>
      <c r="H77" s="753"/>
      <c r="I77" s="753"/>
      <c r="J77" s="1062"/>
      <c r="K77" s="1302"/>
      <c r="L77" s="753"/>
      <c r="M77" s="753"/>
      <c r="N77" s="753"/>
      <c r="O77" s="753"/>
      <c r="P77" s="753"/>
      <c r="Q77" s="753"/>
      <c r="R77" s="753"/>
      <c r="S77" s="753"/>
      <c r="T77" s="753"/>
      <c r="U77" s="753"/>
      <c r="V77" s="753"/>
      <c r="W77" s="753"/>
      <c r="X77" s="753"/>
      <c r="Y77" s="753"/>
      <c r="Z77" s="753"/>
      <c r="AA77" s="753"/>
      <c r="AB77" s="753"/>
      <c r="AC77" s="753"/>
      <c r="AD77" s="753"/>
      <c r="AE77" s="754"/>
      <c r="AF77" s="384"/>
      <c r="AG77"/>
      <c r="AH77" s="1979"/>
      <c r="AI77" s="756"/>
      <c r="AJ77" s="1975"/>
      <c r="AK77" s="756"/>
      <c r="AL77" s="1306"/>
    </row>
    <row r="78" spans="1:38" ht="15.75" thickBot="1">
      <c r="A78" s="2530"/>
      <c r="B78" s="17" t="s">
        <v>254</v>
      </c>
      <c r="C78" s="76">
        <v>0</v>
      </c>
      <c r="D78" s="76">
        <f>VLOOKUP('Prescriptive Path'!$D$4,ClimateZoneLookup!$A$4:$R$65,17,FALSE)*'Prescriptive Path'!$I$3/1000</f>
        <v>0</v>
      </c>
      <c r="E78" s="76">
        <f>VLOOKUP('Prescriptive Path'!$D$4,ClimateZoneLookup!$A$4:$R$65,18,FALSE)*'Prescriptive Path'!$I$3/1000</f>
        <v>0</v>
      </c>
      <c r="F78" s="76">
        <v>0</v>
      </c>
      <c r="G78" s="78">
        <v>13</v>
      </c>
      <c r="H78" s="2191">
        <v>0</v>
      </c>
      <c r="I78" s="2205">
        <f>'Prescriptive Path'!I3*Proposed!V99</f>
        <v>0</v>
      </c>
      <c r="J78" s="1039">
        <f>I78-H78</f>
        <v>0</v>
      </c>
      <c r="K78" s="1278"/>
      <c r="L78" s="79" t="s">
        <v>455</v>
      </c>
      <c r="M78" s="79" t="s">
        <v>455</v>
      </c>
      <c r="N78" s="79" t="s">
        <v>455</v>
      </c>
      <c r="O78" s="79" t="s">
        <v>455</v>
      </c>
      <c r="P78" s="700">
        <f>VLOOKUP('Prescriptive Path'!$D$4,ClimateZoneLookup!$A$4:$S$65,19,FALSE)*'Prescriptive Path'!$I$3/1000*0.8*1</f>
        <v>0</v>
      </c>
      <c r="Q78" s="89">
        <v>0</v>
      </c>
      <c r="R78" s="243" t="e">
        <f>1.1*D78*HLOOKUP(G78,AvoidCostTable,'Avoided Costs'!$D$44)</f>
        <v>#REF!</v>
      </c>
      <c r="S78" s="93" t="e">
        <f>C78*HLOOKUP(G78,AvoidCostTable,'Avoided Costs'!$D$44)</f>
        <v>#REF!</v>
      </c>
      <c r="T78" s="93" t="e">
        <f>P78*HLOOKUP(G78,AvoidCostTable,'Avoided Costs'!$D$45)</f>
        <v>#REF!</v>
      </c>
      <c r="U78" s="93" t="e">
        <f>E78/10*HLOOKUP(G78,AvoidCostTable,'Avoided Costs'!$D$46)</f>
        <v>#REF!</v>
      </c>
      <c r="V78" s="93" t="e">
        <f>F78/10*HLOOKUP(G78,AvoidCostTable,'Avoided Costs'!$D$47)</f>
        <v>#REF!</v>
      </c>
      <c r="W78" s="93">
        <f>IF('Avoided Costs'!C130="Upstate",-PV('Avoided Costs'!$D$2,G78,Q78*0.003),-PV('Avoided Costs'!$D$2,G78,Q78*0.007))</f>
        <v>0</v>
      </c>
      <c r="X78" s="93">
        <f t="shared" si="40"/>
        <v>0</v>
      </c>
      <c r="Y78" s="93">
        <f t="shared" si="41"/>
        <v>0</v>
      </c>
      <c r="Z78" s="93">
        <f t="shared" si="42"/>
        <v>0</v>
      </c>
      <c r="AA78" s="135">
        <f>IF('Avoided Costs'!$C$44="Upstate",((C78+D78)*0.1936+(E78+F78)*1.486+Q78*0.003),((C78+D78)*0.1936+(E78+F78)*1.486+Q78*0.007))</f>
        <v>0</v>
      </c>
      <c r="AB78" s="2003">
        <f t="shared" si="55"/>
        <v>0</v>
      </c>
      <c r="AC78" s="93">
        <f>IF(AA78=0,0,G78*AA78)</f>
        <v>0</v>
      </c>
      <c r="AD78" s="94" t="str">
        <f>IF(AA78=0,"",IF(AA78&gt;0,-PV(3%,G78,AA78)/J78,0))</f>
        <v/>
      </c>
      <c r="AE78" s="279" t="str">
        <f t="shared" si="44"/>
        <v/>
      </c>
      <c r="AF78" s="269" t="s">
        <v>448</v>
      </c>
      <c r="AG78"/>
      <c r="AH78" s="1976" t="str">
        <f t="shared" si="56"/>
        <v/>
      </c>
      <c r="AI78" s="102" t="str">
        <f t="shared" si="57"/>
        <v/>
      </c>
      <c r="AJ78" s="102" t="str">
        <f t="shared" ref="AJ78" si="62">IF(AE78="","",IF((C78+D78)*3412/1000000&gt;(E78+F78),"Electricity","Firm Gas"))</f>
        <v/>
      </c>
      <c r="AK78" s="102" t="str">
        <f t="shared" si="59"/>
        <v/>
      </c>
      <c r="AL78" s="1981" t="str">
        <f>IF('Prescriptive Path'!$D$7="","",(IF(AH78="Yes",IF('Prescriptive Path'!$D$7="Market-Rate",IF(Savings!AJ78="Electricity","MPPMREINC","MPPMRGINC"),IF(Savings!AJ78="Electricity","MPPLIEINC","MPPLIGINC")),"")))</f>
        <v/>
      </c>
    </row>
    <row r="79" spans="1:38" ht="15.75" thickBot="1">
      <c r="A79" s="248" t="s">
        <v>213</v>
      </c>
      <c r="B79" s="248"/>
      <c r="C79" s="249">
        <f>SUM(C2:C63)+ SUM(C68:C78)</f>
        <v>0</v>
      </c>
      <c r="D79" s="249">
        <f>SUM(D2:D63)+ SUM(D68:D78)</f>
        <v>0</v>
      </c>
      <c r="E79" s="249">
        <f>SUM(E2:E63)+ SUM(E68:E78)</f>
        <v>0</v>
      </c>
      <c r="F79" s="249">
        <f>SUM(F2:F63)+ SUM(F68:F78)</f>
        <v>0</v>
      </c>
      <c r="G79" s="250"/>
      <c r="H79" s="2210">
        <f>SUM(H2:H78)</f>
        <v>0</v>
      </c>
      <c r="I79" s="2210">
        <f>SUM(I2:I78)+'Prescriptive Path'!H101</f>
        <v>0</v>
      </c>
      <c r="J79" s="569">
        <f>SUM(J2:J78)+'Prescriptive Path'!H101</f>
        <v>0</v>
      </c>
      <c r="K79" s="1303"/>
      <c r="L79" s="251"/>
      <c r="M79" s="251"/>
      <c r="N79" s="251"/>
      <c r="O79" s="251"/>
      <c r="P79" s="252">
        <f>SUM(P2:P63)+ SUM(P68:P78)</f>
        <v>0</v>
      </c>
      <c r="Q79" s="253">
        <f>SUM(Q2:Q63)+ SUM(Q68:Q78)</f>
        <v>0</v>
      </c>
      <c r="R79" s="254"/>
      <c r="S79" s="254"/>
      <c r="T79" s="254"/>
      <c r="U79" s="254"/>
      <c r="V79" s="254"/>
      <c r="W79" s="255">
        <f>SUM(W2:W78)</f>
        <v>0</v>
      </c>
      <c r="X79" s="254"/>
      <c r="Y79" s="254"/>
      <c r="Z79" s="255">
        <f>SUM(Z70:Z78,Z68:Z69,Z23:Z45,Z2:Z18)</f>
        <v>0</v>
      </c>
      <c r="AA79" s="255">
        <f>SUM(AA2:AA78)</f>
        <v>0</v>
      </c>
      <c r="AB79" s="255">
        <f>SUM(AB2:AB78)</f>
        <v>0</v>
      </c>
      <c r="AC79" s="256" t="e">
        <f>SUM(AC2:AC78)/AA79</f>
        <v>#DIV/0!</v>
      </c>
      <c r="AD79" s="257">
        <f>IF(AA79&gt;0, -PV(3%, AC79, AA79)/(J79+'Prescriptive Path'!H101), 0)</f>
        <v>0</v>
      </c>
      <c r="AE79" s="252" t="e">
        <f>'Funding Overview'!E17</f>
        <v>#DIV/0!</v>
      </c>
      <c r="AF79" s="393"/>
      <c r="AG79" s="258"/>
      <c r="AH79" s="757"/>
      <c r="AI79" s="758"/>
      <c r="AJ79" s="758"/>
      <c r="AK79" s="759"/>
      <c r="AL79" s="760"/>
    </row>
    <row r="80" spans="1:38" s="258" customFormat="1" ht="15.75" thickBot="1">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39"/>
      <c r="AA80" s="39"/>
      <c r="AB80" s="241"/>
      <c r="AC80" s="39"/>
      <c r="AD80" s="39"/>
      <c r="AE80" s="39"/>
      <c r="AF80" s="12"/>
      <c r="AG80" s="11"/>
      <c r="AH80" s="762"/>
      <c r="AI80" s="762"/>
      <c r="AJ80" s="762"/>
      <c r="AK80" s="763"/>
      <c r="AL80" s="762"/>
    </row>
    <row r="81" spans="1:38" ht="15.75" thickBot="1">
      <c r="A81" s="259" t="s">
        <v>223</v>
      </c>
      <c r="B81" s="20">
        <f>'Prescriptive Path'!I3*30000/3412</f>
        <v>0</v>
      </c>
      <c r="AH81" s="762"/>
      <c r="AI81" s="762"/>
      <c r="AJ81" s="762"/>
      <c r="AK81" s="763"/>
      <c r="AL81" s="762"/>
    </row>
    <row r="82" spans="1:38" ht="15.75" thickBot="1">
      <c r="A82" s="259" t="s">
        <v>224</v>
      </c>
      <c r="B82" s="20">
        <f>'Prescriptive Path'!$I$3*43000/100000</f>
        <v>0</v>
      </c>
      <c r="AH82" s="67"/>
      <c r="AI82" s="39"/>
      <c r="AJ82" s="241"/>
      <c r="AK82" s="39"/>
    </row>
    <row r="83" spans="1:38" ht="15.75" thickBot="1">
      <c r="A83" s="259" t="s">
        <v>225</v>
      </c>
      <c r="B83" s="20">
        <f>B81-C79-D79</f>
        <v>0</v>
      </c>
      <c r="AH83" s="67"/>
    </row>
    <row r="84" spans="1:38" ht="15.75" thickBot="1">
      <c r="A84" s="259" t="s">
        <v>226</v>
      </c>
      <c r="B84" s="20">
        <f>B82-E79-F79</f>
        <v>0</v>
      </c>
      <c r="D84" s="123"/>
      <c r="AH84" s="67"/>
    </row>
    <row r="85" spans="1:38" ht="30.75" thickBot="1">
      <c r="A85" s="260" t="s">
        <v>227</v>
      </c>
      <c r="B85" s="303" t="e">
        <f>(0.1936*(B81-B83)+1.486*(B82-B84))/(B82*1.486+B81*0.1936)</f>
        <v>#DIV/0!</v>
      </c>
      <c r="D85" s="123"/>
      <c r="E85" s="124"/>
      <c r="AH85" s="68"/>
      <c r="AL85" s="68"/>
    </row>
    <row r="86" spans="1:38">
      <c r="AH86" s="68"/>
    </row>
    <row r="87" spans="1:38" ht="15" customHeight="1">
      <c r="C87" s="39"/>
      <c r="D87" s="40"/>
      <c r="E87" s="48"/>
      <c r="F87" s="48"/>
      <c r="G87" s="48"/>
      <c r="H87" s="48"/>
      <c r="I87" s="48"/>
      <c r="J87" s="48"/>
      <c r="K87" s="48"/>
      <c r="L87" s="39"/>
      <c r="M87" s="40"/>
      <c r="N87" s="40"/>
      <c r="O87" s="39"/>
      <c r="P87" s="39"/>
      <c r="Q87" s="39"/>
      <c r="R87" s="39"/>
      <c r="S87" s="39"/>
      <c r="T87" s="39"/>
      <c r="U87" s="39"/>
      <c r="V87" s="39"/>
      <c r="W87" s="39"/>
      <c r="X87" s="39"/>
      <c r="Y87" s="39"/>
      <c r="Z87" s="39"/>
      <c r="AA87" s="39"/>
      <c r="AB87" s="241"/>
      <c r="AC87" s="39"/>
      <c r="AD87" s="39"/>
      <c r="AE87" s="39"/>
      <c r="AF87" s="241"/>
      <c r="AG87" s="39"/>
      <c r="AH87" s="68"/>
      <c r="AL87" s="39"/>
    </row>
    <row r="88" spans="1:38" s="39" customFormat="1">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2"/>
      <c r="AG88" s="11"/>
      <c r="AH88" s="68"/>
      <c r="AI88" s="11"/>
      <c r="AJ88" s="11"/>
      <c r="AK88" s="11"/>
      <c r="AL88" s="11"/>
    </row>
    <row r="89" spans="1:38">
      <c r="AH89" s="39"/>
      <c r="AL89" s="39"/>
    </row>
    <row r="90" spans="1:38">
      <c r="J90"/>
      <c r="K90" s="241"/>
      <c r="L90"/>
      <c r="M90"/>
      <c r="N90"/>
      <c r="O90"/>
    </row>
    <row r="94" spans="1:38">
      <c r="E94" s="11">
        <v>3</v>
      </c>
      <c r="F94" s="11">
        <v>1</v>
      </c>
      <c r="G94" s="11">
        <f>12/10.2</f>
        <v>1.1764705882352942</v>
      </c>
      <c r="J94" s="11">
        <f>12/10.7</f>
        <v>1.1214953271028039</v>
      </c>
      <c r="K94" s="11">
        <v>382</v>
      </c>
      <c r="P94" s="11">
        <f>Savings!F94*Savings!E94*(Savings!G94-Savings!J94)*Savings!K94</f>
        <v>63.001649257833876</v>
      </c>
    </row>
    <row r="95" spans="1:38" ht="15" hidden="1" customHeight="1"/>
  </sheetData>
  <mergeCells count="12">
    <mergeCell ref="A72:A78"/>
    <mergeCell ref="A70:A71"/>
    <mergeCell ref="AF56:AF59"/>
    <mergeCell ref="AF64:AF67"/>
    <mergeCell ref="A2:A6"/>
    <mergeCell ref="A7:A10"/>
    <mergeCell ref="A11:A13"/>
    <mergeCell ref="A14:A17"/>
    <mergeCell ref="A19:A21"/>
    <mergeCell ref="A27:A63"/>
    <mergeCell ref="A64:A68"/>
    <mergeCell ref="A23:A26"/>
  </mergeCells>
  <conditionalFormatting sqref="AE29:AE35 AE53:AE54 AE37:AE47 AE56:AE79 AE2:AE27">
    <cfRule type="expression" dxfId="42" priority="5" stopIfTrue="1">
      <formula>OR(AND(AE2&lt;0.95,AE2&gt;0),Z2&lt;0)</formula>
    </cfRule>
  </conditionalFormatting>
  <conditionalFormatting sqref="AE28">
    <cfRule type="expression" dxfId="41" priority="4" stopIfTrue="1">
      <formula>OR(AND(AE28&lt;0.95,AE28&gt;0),Z28&lt;0)</formula>
    </cfRule>
  </conditionalFormatting>
  <conditionalFormatting sqref="AE48:AE52">
    <cfRule type="expression" dxfId="40" priority="3" stopIfTrue="1">
      <formula>OR(AND(AE48&lt;0.95,AE48&gt;0),Z48&lt;0)</formula>
    </cfRule>
  </conditionalFormatting>
  <conditionalFormatting sqref="AE36">
    <cfRule type="expression" dxfId="39" priority="2" stopIfTrue="1">
      <formula>OR(AND(AE36&lt;0.95,AE36&gt;0),Z36&lt;0)</formula>
    </cfRule>
  </conditionalFormatting>
  <conditionalFormatting sqref="AE55">
    <cfRule type="expression" dxfId="38" priority="1" stopIfTrue="1">
      <formula>OR(AND(AE55&lt;0.95,AE55&gt;0),Z55&lt;0)</formula>
    </cfRule>
  </conditionalFormatting>
  <pageMargins left="0.7" right="0.7" top="0.75" bottom="0.75" header="0.3" footer="0.3"/>
  <pageSetup orientation="portrait" horizontalDpi="200" verticalDpi="200" r:id="rId1"/>
  <ignoredErrors>
    <ignoredError sqref="P29:P33" formula="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49</vt:i4>
      </vt:variant>
    </vt:vector>
  </HeadingPairs>
  <TitlesOfParts>
    <vt:vector size="86" baseType="lpstr">
      <vt:lpstr>Instructions</vt:lpstr>
      <vt:lpstr>Prescriptive Path</vt:lpstr>
      <vt:lpstr>Version History</vt:lpstr>
      <vt:lpstr>Baseline</vt:lpstr>
      <vt:lpstr>Proposed</vt:lpstr>
      <vt:lpstr>ClimateZoneLookup</vt:lpstr>
      <vt:lpstr>Avoided Costs</vt:lpstr>
      <vt:lpstr>Gut Rehab Envelope</vt:lpstr>
      <vt:lpstr>Savings</vt:lpstr>
      <vt:lpstr>Funding Overview</vt:lpstr>
      <vt:lpstr>T&amp;V Instructions</vt:lpstr>
      <vt:lpstr>Project Info</vt:lpstr>
      <vt:lpstr>Table Of Contents</vt:lpstr>
      <vt:lpstr>ERMs</vt:lpstr>
      <vt:lpstr>Prescriptive Path Checklist</vt:lpstr>
      <vt:lpstr>Prescriptive Tables 1, 2 &amp;  (2</vt:lpstr>
      <vt:lpstr>Overview</vt:lpstr>
      <vt:lpstr>1.1 - APPLIANCES</vt:lpstr>
      <vt:lpstr>2.1-2.2 - DOMESTIC HOT WATER</vt:lpstr>
      <vt:lpstr>3.1 - ENV_BELOW GRADE WALLS</vt:lpstr>
      <vt:lpstr>3.1 - ENV_ABOVE GRADE WALLS</vt:lpstr>
      <vt:lpstr>3.2 - ENV_ROOF</vt:lpstr>
      <vt:lpstr>3.3 - ENV_FLOORS</vt:lpstr>
      <vt:lpstr>3.4 - ENV_WINDOWS</vt:lpstr>
      <vt:lpstr>3.5 - ENV_EXTERIOR DOORS</vt:lpstr>
      <vt:lpstr>4.1 - GARAGES_CMPTZ &amp; HEATING </vt:lpstr>
      <vt:lpstr>5.1, 5.3 - HEATING</vt:lpstr>
      <vt:lpstr>5.2, 5.4 - COOLING</vt:lpstr>
      <vt:lpstr>6.1, 6.2, 6.3 - LIGHTING</vt:lpstr>
      <vt:lpstr>7.1 - MOTORS</vt:lpstr>
      <vt:lpstr>8.1 - INF_EXT AIR BARRIER</vt:lpstr>
      <vt:lpstr>8.1-INF_COMPTZN VIS INSPECTION</vt:lpstr>
      <vt:lpstr>8.1 - INF_BLOWER DOOR TEST</vt:lpstr>
      <vt:lpstr>8.2 - VENT_SCHEDULE&amp;TAB REPORT</vt:lpstr>
      <vt:lpstr>8.2 - VENT_DUCT TIGHTNESS</vt:lpstr>
      <vt:lpstr>9.1 - METERS</vt:lpstr>
      <vt:lpstr>Prescriptive Tables 1, 2 &amp; 3</vt:lpstr>
      <vt:lpstr>AvoidCostTable</vt:lpstr>
      <vt:lpstr>'Funding Overview'!AvoidedCostTable</vt:lpstr>
      <vt:lpstr>'Funding Overview'!CentralHudson</vt:lpstr>
      <vt:lpstr>'Funding Overview'!ConEd</vt:lpstr>
      <vt:lpstr>counties</vt:lpstr>
      <vt:lpstr>EEPS_Funding</vt:lpstr>
      <vt:lpstr>ElecUtility</vt:lpstr>
      <vt:lpstr>FanType</vt:lpstr>
      <vt:lpstr>Funding_Source_Code</vt:lpstr>
      <vt:lpstr>GasList</vt:lpstr>
      <vt:lpstr>GasUtility</vt:lpstr>
      <vt:lpstr>'Funding Overview'!KEDLI</vt:lpstr>
      <vt:lpstr>'Funding Overview'!NationalGrid</vt:lpstr>
      <vt:lpstr>'Funding Overview'!NYSEG</vt:lpstr>
      <vt:lpstr>'Funding Overview'!OandR</vt:lpstr>
      <vt:lpstr>'1.1 - APPLIANCES'!Print_Area</vt:lpstr>
      <vt:lpstr>'2.1-2.2 - DOMESTIC HOT WATER'!Print_Area</vt:lpstr>
      <vt:lpstr>'3.1 - ENV_ABOVE GRADE WALLS'!Print_Area</vt:lpstr>
      <vt:lpstr>'3.1 - ENV_BELOW GRADE WALLS'!Print_Area</vt:lpstr>
      <vt:lpstr>'3.2 - ENV_ROOF'!Print_Area</vt:lpstr>
      <vt:lpstr>'3.3 - ENV_FLOORS'!Print_Area</vt:lpstr>
      <vt:lpstr>'3.4 - ENV_WINDOWS'!Print_Area</vt:lpstr>
      <vt:lpstr>'3.5 - ENV_EXTERIOR DOORS'!Print_Area</vt:lpstr>
      <vt:lpstr>'4.1 - GARAGES_CMPTZ &amp; HEATING '!Print_Area</vt:lpstr>
      <vt:lpstr>'5.1, 5.3 - HEATING'!Print_Area</vt:lpstr>
      <vt:lpstr>'5.2, 5.4 - COOLING'!Print_Area</vt:lpstr>
      <vt:lpstr>'6.1, 6.2, 6.3 - LIGHTING'!Print_Area</vt:lpstr>
      <vt:lpstr>'7.1 - MOTORS'!Print_Area</vt:lpstr>
      <vt:lpstr>'8.1 - INF_BLOWER DOOR TEST'!Print_Area</vt:lpstr>
      <vt:lpstr>'8.1 - INF_EXT AIR BARRIER'!Print_Area</vt:lpstr>
      <vt:lpstr>'8.1-INF_COMPTZN VIS INSPECTION'!Print_Area</vt:lpstr>
      <vt:lpstr>'8.2 - VENT_DUCT TIGHTNESS'!Print_Area</vt:lpstr>
      <vt:lpstr>'8.2 - VENT_SCHEDULE&amp;TAB REPORT'!Print_Area</vt:lpstr>
      <vt:lpstr>'9.1 - METERS'!Print_Area</vt:lpstr>
      <vt:lpstr>ERMs!Print_Area</vt:lpstr>
      <vt:lpstr>Overview!Print_Area</vt:lpstr>
      <vt:lpstr>'Prescriptive Path Checklist'!Print_Area</vt:lpstr>
      <vt:lpstr>'Prescriptive Tables 1, 2 &amp;  (2'!Print_Area</vt:lpstr>
      <vt:lpstr>'Project Info'!Print_Area</vt:lpstr>
      <vt:lpstr>'Table Of Contents'!Print_Area</vt:lpstr>
      <vt:lpstr>ERMs!Print_Titles</vt:lpstr>
      <vt:lpstr>'Funding Overview'!RGandE</vt:lpstr>
      <vt:lpstr>RoofRValue</vt:lpstr>
      <vt:lpstr>'Funding Overview'!SplitType</vt:lpstr>
      <vt:lpstr>Utilities</vt:lpstr>
      <vt:lpstr>WallRValue</vt:lpstr>
      <vt:lpstr>WindowType</vt:lpstr>
      <vt:lpstr>YesNo</vt:lpstr>
      <vt:lpstr>YN</vt:lpstr>
    </vt:vector>
  </TitlesOfParts>
  <Company>SWinter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smaxwell</dc:creator>
  <cp:lastModifiedBy>Nicolella, Tiffany</cp:lastModifiedBy>
  <cp:lastPrinted>2011-05-05T20:51:40Z</cp:lastPrinted>
  <dcterms:created xsi:type="dcterms:W3CDTF">2010-02-03T16:16:48Z</dcterms:created>
  <dcterms:modified xsi:type="dcterms:W3CDTF">2015-08-31T20:14:36Z</dcterms:modified>
</cp:coreProperties>
</file>